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worksheets/sheet308.xml" ContentType="application/vnd.openxmlformats-officedocument.spreadsheetml.worksheet+xml"/>
  <Override PartName="/xl/worksheets/sheet309.xml" ContentType="application/vnd.openxmlformats-officedocument.spreadsheetml.worksheet+xml"/>
  <Override PartName="/xl/worksheets/sheet310.xml" ContentType="application/vnd.openxmlformats-officedocument.spreadsheetml.worksheet+xml"/>
  <Override PartName="/xl/worksheets/sheet311.xml" ContentType="application/vnd.openxmlformats-officedocument.spreadsheetml.worksheet+xml"/>
  <Override PartName="/xl/worksheets/sheet312.xml" ContentType="application/vnd.openxmlformats-officedocument.spreadsheetml.worksheet+xml"/>
  <Override PartName="/xl/worksheets/sheet313.xml" ContentType="application/vnd.openxmlformats-officedocument.spreadsheetml.worksheet+xml"/>
  <Override PartName="/xl/worksheets/sheet314.xml" ContentType="application/vnd.openxmlformats-officedocument.spreadsheetml.worksheet+xml"/>
  <Override PartName="/xl/worksheets/sheet315.xml" ContentType="application/vnd.openxmlformats-officedocument.spreadsheetml.worksheet+xml"/>
  <Override PartName="/xl/worksheets/sheet316.xml" ContentType="application/vnd.openxmlformats-officedocument.spreadsheetml.worksheet+xml"/>
  <Override PartName="/xl/worksheets/sheet317.xml" ContentType="application/vnd.openxmlformats-officedocument.spreadsheetml.worksheet+xml"/>
  <Override PartName="/xl/worksheets/sheet318.xml" ContentType="application/vnd.openxmlformats-officedocument.spreadsheetml.worksheet+xml"/>
  <Override PartName="/xl/worksheets/sheet319.xml" ContentType="application/vnd.openxmlformats-officedocument.spreadsheetml.worksheet+xml"/>
  <Override PartName="/xl/worksheets/sheet320.xml" ContentType="application/vnd.openxmlformats-officedocument.spreadsheetml.worksheet+xml"/>
  <Override PartName="/xl/worksheets/sheet3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9.xml" ContentType="application/vnd.openxmlformats-officedocument.drawing+xml"/>
  <Override PartName="/xl/charts/chart10.xml" ContentType="application/vnd.openxmlformats-officedocument.drawingml.chart+xml"/>
  <Override PartName="/xl/drawings/drawing10.xml" ContentType="application/vnd.openxmlformats-officedocument.drawing+xml"/>
  <Override PartName="/xl/charts/chart11.xml" ContentType="application/vnd.openxmlformats-officedocument.drawingml.chart+xml"/>
  <Override PartName="/xl/drawings/drawing11.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drawings/drawing12.xml" ContentType="application/vnd.openxmlformats-officedocument.drawing+xml"/>
  <Override PartName="/xl/charts/chart14.xml" ContentType="application/vnd.openxmlformats-officedocument.drawingml.chart+xml"/>
  <Override PartName="/xl/drawings/drawing13.xml" ContentType="application/vnd.openxmlformats-officedocument.drawing+xml"/>
  <Override PartName="/xl/charts/chart15.xml" ContentType="application/vnd.openxmlformats-officedocument.drawingml.chart+xml"/>
  <Override PartName="/xl/drawings/drawing14.xml" ContentType="application/vnd.openxmlformats-officedocument.drawing+xml"/>
  <Override PartName="/xl/charts/chart16.xml" ContentType="application/vnd.openxmlformats-officedocument.drawingml.chart+xml"/>
  <Override PartName="/xl/drawings/drawing15.xml" ContentType="application/vnd.openxmlformats-officedocument.drawing+xml"/>
  <Override PartName="/xl/charts/chart17.xml" ContentType="application/vnd.openxmlformats-officedocument.drawingml.chart+xml"/>
  <Override PartName="/xl/drawings/drawing16.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drawings/drawing17.xml" ContentType="application/vnd.openxmlformats-officedocument.drawing+xml"/>
  <Override PartName="/xl/charts/chart20.xml" ContentType="application/vnd.openxmlformats-officedocument.drawingml.chart+xml"/>
  <Override PartName="/xl/drawings/drawing18.xml" ContentType="application/vnd.openxmlformats-officedocument.drawing+xml"/>
  <Override PartName="/xl/charts/chart2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029"/>
  <workbookPr codeName="ThisWorkbook"/>
  <mc:AlternateContent xmlns:mc="http://schemas.openxmlformats.org/markup-compatibility/2006">
    <mc:Choice Requires="x15">
      <x15ac:absPath xmlns:x15ac="http://schemas.microsoft.com/office/spreadsheetml/2010/11/ac" url="C:\Users\aldor\Desktop\Pega\2020-ESTUDIOS\SITIO WEB OC\A SUBIR\"/>
    </mc:Choice>
  </mc:AlternateContent>
  <xr:revisionPtr revIDLastSave="0" documentId="13_ncr:1_{1E8E4D61-BF7B-4399-8254-597C1D5CDA0D}" xr6:coauthVersionLast="45" xr6:coauthVersionMax="45" xr10:uidLastSave="{00000000-0000-0000-0000-000000000000}"/>
  <bookViews>
    <workbookView xWindow="-108" yWindow="-108" windowWidth="23256" windowHeight="12720" tabRatio="962" xr2:uid="{00000000-000D-0000-FFFF-FFFF00000000}"/>
  </bookViews>
  <sheets>
    <sheet name="2.1" sheetId="24" r:id="rId1"/>
    <sheet name="2.1-01" sheetId="1" r:id="rId2"/>
    <sheet name="2.1-02" sheetId="2" r:id="rId3"/>
    <sheet name="2.1-03" sheetId="3" r:id="rId4"/>
    <sheet name="2.1-04" sheetId="4" r:id="rId5"/>
    <sheet name="2.2" sheetId="27" r:id="rId6"/>
    <sheet name="2.2-01" sheetId="28" r:id="rId7"/>
    <sheet name="2.2-02" sheetId="29" r:id="rId8"/>
    <sheet name="2.2-03" sheetId="30" r:id="rId9"/>
    <sheet name="2.2-04" sheetId="31" r:id="rId10"/>
    <sheet name="2.2-05" sheetId="32" r:id="rId11"/>
    <sheet name="2.2-06" sheetId="33" r:id="rId12"/>
    <sheet name="2.3" sheetId="35" r:id="rId13"/>
    <sheet name="2.3-01" sheetId="36" r:id="rId14"/>
    <sheet name="2.3-02" sheetId="37" r:id="rId15"/>
    <sheet name="2.3-03" sheetId="38" r:id="rId16"/>
    <sheet name="2.4" sheetId="40" r:id="rId17"/>
    <sheet name="2.4-01" sheetId="41" r:id="rId18"/>
    <sheet name="2.4-02" sheetId="42" r:id="rId19"/>
    <sheet name="2.4-03" sheetId="43" r:id="rId20"/>
    <sheet name="2.4-04" sheetId="44" r:id="rId21"/>
    <sheet name="2.4-05" sheetId="45" r:id="rId22"/>
    <sheet name="2.4-06" sheetId="46" r:id="rId23"/>
    <sheet name="2.4-07" sheetId="47" r:id="rId24"/>
    <sheet name="2.4-08" sheetId="48" r:id="rId25"/>
    <sheet name="2.4-09" sheetId="49" r:id="rId26"/>
    <sheet name="2.5" sheetId="51" r:id="rId27"/>
    <sheet name="2.5-01" sheetId="52" r:id="rId28"/>
    <sheet name="2.5-02" sheetId="53" r:id="rId29"/>
    <sheet name="2.5-03" sheetId="54" r:id="rId30"/>
    <sheet name="2.5-04" sheetId="55" r:id="rId31"/>
    <sheet name="2.5-05" sheetId="56" r:id="rId32"/>
    <sheet name="2.5-06" sheetId="57" r:id="rId33"/>
    <sheet name="2.5-07" sheetId="58" r:id="rId34"/>
    <sheet name="2.5-08" sheetId="59" r:id="rId35"/>
    <sheet name="2.6" sheetId="61" r:id="rId36"/>
    <sheet name="2.6-01" sheetId="62" r:id="rId37"/>
    <sheet name="2.6-02" sheetId="63" r:id="rId38"/>
    <sheet name="2.6-03" sheetId="64" r:id="rId39"/>
    <sheet name="2.6-04" sheetId="65" r:id="rId40"/>
    <sheet name="2.6-05" sheetId="66" r:id="rId41"/>
    <sheet name="2.7" sheetId="68" r:id="rId42"/>
    <sheet name="2.7-01" sheetId="69" r:id="rId43"/>
    <sheet name="2.7-02" sheetId="70" r:id="rId44"/>
    <sheet name="2.7-03" sheetId="71" r:id="rId45"/>
    <sheet name="2.7-04" sheetId="72" r:id="rId46"/>
    <sheet name="2.7-05" sheetId="73" r:id="rId47"/>
    <sheet name="2.7-06" sheetId="74" r:id="rId48"/>
    <sheet name="2.7-07" sheetId="75" r:id="rId49"/>
    <sheet name="2.7-08" sheetId="76" r:id="rId50"/>
    <sheet name="2.7-09" sheetId="77" r:id="rId51"/>
    <sheet name="2.7-10" sheetId="78" r:id="rId52"/>
    <sheet name="2-7-11" sheetId="79" r:id="rId53"/>
    <sheet name="2.7-12" sheetId="80" r:id="rId54"/>
    <sheet name="2.7-13" sheetId="81" r:id="rId55"/>
    <sheet name="2.7-14" sheetId="82" r:id="rId56"/>
    <sheet name="2.7-15" sheetId="83" r:id="rId57"/>
    <sheet name="2.7-16" sheetId="84" r:id="rId58"/>
    <sheet name="2.7-17" sheetId="85" r:id="rId59"/>
    <sheet name="2.7-18" sheetId="86" r:id="rId60"/>
    <sheet name="2.7-19" sheetId="87" r:id="rId61"/>
    <sheet name="3.1" sheetId="89" r:id="rId62"/>
    <sheet name="3.1-01" sheetId="90" r:id="rId63"/>
    <sheet name="3.1-02" sheetId="91" r:id="rId64"/>
    <sheet name="3.1.1.1" sheetId="92" r:id="rId65"/>
    <sheet name="3.1.1.1-01" sheetId="93" r:id="rId66"/>
    <sheet name="3.1.1.1-02" sheetId="94" r:id="rId67"/>
    <sheet name="3.1.1.1-03" sheetId="95" r:id="rId68"/>
    <sheet name="3.1.1.1-04" sheetId="96" r:id="rId69"/>
    <sheet name="3.1.1.2" sheetId="97" r:id="rId70"/>
    <sheet name="3.1.1.2-01" sheetId="98" r:id="rId71"/>
    <sheet name="3.1.1.2-02" sheetId="99" r:id="rId72"/>
    <sheet name="3.1.1.2-03" sheetId="100" r:id="rId73"/>
    <sheet name="3.1.1.2-04" sheetId="101" r:id="rId74"/>
    <sheet name="3.1.1.2-05" sheetId="102" r:id="rId75"/>
    <sheet name="3.1.1.2-06" sheetId="103" r:id="rId76"/>
    <sheet name="3.1.1.2-07" sheetId="104" r:id="rId77"/>
    <sheet name="3.1.1.2-08" sheetId="105" r:id="rId78"/>
    <sheet name="3.1.1.2-09" sheetId="106" r:id="rId79"/>
    <sheet name="3.1.1.2-10" sheetId="107" r:id="rId80"/>
    <sheet name="3.1.1.2-11" sheetId="108" r:id="rId81"/>
    <sheet name="3.1.1.2-12" sheetId="109" r:id="rId82"/>
    <sheet name="3.1.2.1" sheetId="110" r:id="rId83"/>
    <sheet name="3.1.2.1-01" sheetId="111" r:id="rId84"/>
    <sheet name="3.1.2.1-02" sheetId="112" r:id="rId85"/>
    <sheet name="3.1.2.1-03" sheetId="113" r:id="rId86"/>
    <sheet name="3.1.2.1-04" sheetId="114" r:id="rId87"/>
    <sheet name="3.1.2.1-05" sheetId="115" r:id="rId88"/>
    <sheet name="3.1.2.1-06" sheetId="116" r:id="rId89"/>
    <sheet name="3.1.2.1-07" sheetId="117" r:id="rId90"/>
    <sheet name="3.1.2.2" sheetId="118" r:id="rId91"/>
    <sheet name="3.1.2.2-01" sheetId="119" r:id="rId92"/>
    <sheet name="3.1.2.2-02" sheetId="120" r:id="rId93"/>
    <sheet name="3.1.2.3" sheetId="121" r:id="rId94"/>
    <sheet name="3.1.2.3-01" sheetId="122" r:id="rId95"/>
    <sheet name="3.1.2.3-02" sheetId="123" r:id="rId96"/>
    <sheet name="3.1.2.3-03" sheetId="124" r:id="rId97"/>
    <sheet name="3.1.2.3-04" sheetId="125" r:id="rId98"/>
    <sheet name="3.1.2.3-05" sheetId="126" r:id="rId99"/>
    <sheet name="3.1.2.3-06" sheetId="127" r:id="rId100"/>
    <sheet name="3.1.2.3-07" sheetId="128" r:id="rId101"/>
    <sheet name="3.1.2.3-08" sheetId="129" r:id="rId102"/>
    <sheet name="3.1.2.3-09" sheetId="130" r:id="rId103"/>
    <sheet name="3.1.2.3-10" sheetId="131" r:id="rId104"/>
    <sheet name="3.1.2.3-11" sheetId="132" r:id="rId105"/>
    <sheet name="3.1.2.3-12" sheetId="133" r:id="rId106"/>
    <sheet name="3.1.2.3-13" sheetId="134" r:id="rId107"/>
    <sheet name="3.1.2.3-14" sheetId="135" r:id="rId108"/>
    <sheet name="3.1.2.3-15" sheetId="136" r:id="rId109"/>
    <sheet name="3.1.2.3-16" sheetId="137" r:id="rId110"/>
    <sheet name="3.1.2.3-17" sheetId="138" r:id="rId111"/>
    <sheet name="3.1.2.3-18" sheetId="139" r:id="rId112"/>
    <sheet name="3.1.2.3-19" sheetId="140" r:id="rId113"/>
    <sheet name="3.1.3" sheetId="141" r:id="rId114"/>
    <sheet name="3.1.3-01" sheetId="142" r:id="rId115"/>
    <sheet name="3.1.3-02" sheetId="143" r:id="rId116"/>
    <sheet name="3.1.3-03" sheetId="144" r:id="rId117"/>
    <sheet name="3.1.3-04" sheetId="145" r:id="rId118"/>
    <sheet name="3.1.3-05" sheetId="146" r:id="rId119"/>
    <sheet name="3.1.3-06" sheetId="147" r:id="rId120"/>
    <sheet name="3.1.3-07" sheetId="148" r:id="rId121"/>
    <sheet name="3.1.3-08" sheetId="149" r:id="rId122"/>
    <sheet name="3.1.3-09" sheetId="150" r:id="rId123"/>
    <sheet name="3.1.3-10" sheetId="151" r:id="rId124"/>
    <sheet name="3.1.3-11" sheetId="152" r:id="rId125"/>
    <sheet name="3.2" sheetId="154" r:id="rId126"/>
    <sheet name="3.2-01" sheetId="155" r:id="rId127"/>
    <sheet name="3.2-02" sheetId="156" r:id="rId128"/>
    <sheet name="3.2-03" sheetId="157" r:id="rId129"/>
    <sheet name="3.2-04" sheetId="158" r:id="rId130"/>
    <sheet name="3.2-05" sheetId="159" r:id="rId131"/>
    <sheet name="3.3" sheetId="161" r:id="rId132"/>
    <sheet name="3.3-01" sheetId="162" r:id="rId133"/>
    <sheet name="3.3-02" sheetId="163" r:id="rId134"/>
    <sheet name="3.3-03" sheetId="164" r:id="rId135"/>
    <sheet name="3.3-04" sheetId="165" r:id="rId136"/>
    <sheet name="3.3-05" sheetId="166" r:id="rId137"/>
    <sheet name="3.3-06" sheetId="167" r:id="rId138"/>
    <sheet name="3.4" sheetId="169" r:id="rId139"/>
    <sheet name="3.4-01" sheetId="170" r:id="rId140"/>
    <sheet name="3.4-02" sheetId="171" r:id="rId141"/>
    <sheet name="3.4-03" sheetId="172" r:id="rId142"/>
    <sheet name="3.4-04" sheetId="173" r:id="rId143"/>
    <sheet name="3.4-05" sheetId="174" r:id="rId144"/>
    <sheet name="3.4-06" sheetId="175" r:id="rId145"/>
    <sheet name="3.4-07" sheetId="176" r:id="rId146"/>
    <sheet name="3.4-08" sheetId="177" r:id="rId147"/>
    <sheet name="3.4-09" sheetId="178" r:id="rId148"/>
    <sheet name="3.4-10" sheetId="179" r:id="rId149"/>
    <sheet name="3.4-11" sheetId="180" r:id="rId150"/>
    <sheet name="3.4-12" sheetId="181" r:id="rId151"/>
    <sheet name="3.4-13" sheetId="182" r:id="rId152"/>
    <sheet name="3.4-14" sheetId="183" r:id="rId153"/>
    <sheet name="3.4-15" sheetId="184" r:id="rId154"/>
    <sheet name="3.4-16" sheetId="185" r:id="rId155"/>
    <sheet name="3.4-17" sheetId="186" r:id="rId156"/>
    <sheet name="3.4-18" sheetId="187" r:id="rId157"/>
    <sheet name="3.4-19" sheetId="188" r:id="rId158"/>
    <sheet name="3.5" sheetId="190" r:id="rId159"/>
    <sheet name="3.5-01" sheetId="191" r:id="rId160"/>
    <sheet name="3.5-02" sheetId="192" r:id="rId161"/>
    <sheet name="3.5-03" sheetId="193" r:id="rId162"/>
    <sheet name="3.5-04" sheetId="194" r:id="rId163"/>
    <sheet name="3.5-05" sheetId="195" r:id="rId164"/>
    <sheet name="3.5-06" sheetId="196" r:id="rId165"/>
    <sheet name="3.5-07" sheetId="197" r:id="rId166"/>
    <sheet name="3.5-08" sheetId="198" r:id="rId167"/>
    <sheet name="3.5-09" sheetId="199" r:id="rId168"/>
    <sheet name="3.5-10" sheetId="200" r:id="rId169"/>
    <sheet name="3.5-11" sheetId="201" r:id="rId170"/>
    <sheet name="3.5-12" sheetId="202" r:id="rId171"/>
    <sheet name="3.5-13" sheetId="203" r:id="rId172"/>
    <sheet name="3.5-14" sheetId="204" r:id="rId173"/>
    <sheet name="3.5-15" sheetId="205" r:id="rId174"/>
    <sheet name="3.5-16" sheetId="206" r:id="rId175"/>
    <sheet name="3.5-17" sheetId="207" r:id="rId176"/>
    <sheet name="3.5-18" sheetId="208" r:id="rId177"/>
    <sheet name="3.5-19" sheetId="209" r:id="rId178"/>
    <sheet name="3.5-20" sheetId="210" r:id="rId179"/>
    <sheet name="3.5-21" sheetId="211" r:id="rId180"/>
    <sheet name="3.5-22" sheetId="212" r:id="rId181"/>
    <sheet name="3.5-23" sheetId="213" r:id="rId182"/>
    <sheet name="3.5-24" sheetId="214" r:id="rId183"/>
    <sheet name="3.5-25" sheetId="215" r:id="rId184"/>
    <sheet name="3.5-26" sheetId="216" r:id="rId185"/>
    <sheet name="3.5-27" sheetId="217" r:id="rId186"/>
    <sheet name="3.5-28" sheetId="218" r:id="rId187"/>
    <sheet name="3.5-29" sheetId="219" r:id="rId188"/>
    <sheet name="3.6.1" sheetId="221" r:id="rId189"/>
    <sheet name="3.6.1-01" sheetId="222" r:id="rId190"/>
    <sheet name="3.6.1-02" sheetId="223" r:id="rId191"/>
    <sheet name="3.6.1-03" sheetId="224" r:id="rId192"/>
    <sheet name="3.6.1-04" sheetId="225" r:id="rId193"/>
    <sheet name="3.6.1-05" sheetId="226" r:id="rId194"/>
    <sheet name="3.6.1-06" sheetId="227" r:id="rId195"/>
    <sheet name="3.6.1-07" sheetId="228" r:id="rId196"/>
    <sheet name="3.6.1-08" sheetId="229" r:id="rId197"/>
    <sheet name="3.6.1-09" sheetId="230" r:id="rId198"/>
    <sheet name="3.6.1-10" sheetId="231" r:id="rId199"/>
    <sheet name="3.6.1-11" sheetId="232" r:id="rId200"/>
    <sheet name="3.6.1-12" sheetId="233" r:id="rId201"/>
    <sheet name="3.6.1-13" sheetId="234" r:id="rId202"/>
    <sheet name="3.6.1-14" sheetId="235" r:id="rId203"/>
    <sheet name="3.6.1-15" sheetId="236" r:id="rId204"/>
    <sheet name="3.6.1-16" sheetId="237" r:id="rId205"/>
    <sheet name="3.6.1-17" sheetId="238" r:id="rId206"/>
    <sheet name="3.6.1-18" sheetId="239" r:id="rId207"/>
    <sheet name="3.6.2" sheetId="240" r:id="rId208"/>
    <sheet name="3.6.2-01" sheetId="241" r:id="rId209"/>
    <sheet name="3.6.2-02" sheetId="242" r:id="rId210"/>
    <sheet name="3.6.2-03" sheetId="243" r:id="rId211"/>
    <sheet name="3.6.2-04" sheetId="244" r:id="rId212"/>
    <sheet name="3.6.2-05" sheetId="245" r:id="rId213"/>
    <sheet name="3.6.2-06" sheetId="246" r:id="rId214"/>
    <sheet name="3.6.2-07" sheetId="247" r:id="rId215"/>
    <sheet name="3.6.2-08" sheetId="248" r:id="rId216"/>
    <sheet name="3.6.2-09" sheetId="249" r:id="rId217"/>
    <sheet name="3.6.2-10" sheetId="250" r:id="rId218"/>
    <sheet name="3.6.2-11" sheetId="251" r:id="rId219"/>
    <sheet name="3.6.2-12" sheetId="252" r:id="rId220"/>
    <sheet name="3.6.2-13" sheetId="253" r:id="rId221"/>
    <sheet name="3.6.2-14" sheetId="254" r:id="rId222"/>
    <sheet name="3.6.2-15" sheetId="255" r:id="rId223"/>
    <sheet name="3.6.2-16" sheetId="256" r:id="rId224"/>
    <sheet name="3.6.2-17" sheetId="257" r:id="rId225"/>
    <sheet name="3.6.3" sheetId="258" r:id="rId226"/>
    <sheet name="3.6.3-01" sheetId="259" r:id="rId227"/>
    <sheet name="3.6.3-02" sheetId="260" r:id="rId228"/>
    <sheet name="3.6.3-03" sheetId="261" r:id="rId229"/>
    <sheet name="3.7.1" sheetId="263" r:id="rId230"/>
    <sheet name="3.7.1-01" sheetId="264" r:id="rId231"/>
    <sheet name="3.7.1-02" sheetId="265" r:id="rId232"/>
    <sheet name="3.7.1-03" sheetId="266" r:id="rId233"/>
    <sheet name="3.7.1-04" sheetId="267" r:id="rId234"/>
    <sheet name="3.7.1-05" sheetId="268" r:id="rId235"/>
    <sheet name="3.7.1-06" sheetId="269" r:id="rId236"/>
    <sheet name="3.7.1-07" sheetId="270" r:id="rId237"/>
    <sheet name="3.7.1-08" sheetId="271" r:id="rId238"/>
    <sheet name="3.7.1-09" sheetId="272" r:id="rId239"/>
    <sheet name="3.7.1-10" sheetId="273" r:id="rId240"/>
    <sheet name="3.7.1-11" sheetId="274" r:id="rId241"/>
    <sheet name="3.7.1-12" sheetId="275" r:id="rId242"/>
    <sheet name="3.7.1-13" sheetId="276" r:id="rId243"/>
    <sheet name="3.7.1-14" sheetId="277" r:id="rId244"/>
    <sheet name="3.7.1-15" sheetId="278" r:id="rId245"/>
    <sheet name="3.7.2" sheetId="279" r:id="rId246"/>
    <sheet name="3.7.2-01" sheetId="280" r:id="rId247"/>
    <sheet name="3.7.2-02" sheetId="281" r:id="rId248"/>
    <sheet name="3.7.2-03" sheetId="282" r:id="rId249"/>
    <sheet name="3.7.2-04" sheetId="283" r:id="rId250"/>
    <sheet name="3.7.2-05" sheetId="284" r:id="rId251"/>
    <sheet name="3.7.2-06" sheetId="285" r:id="rId252"/>
    <sheet name="3.7.2-07" sheetId="286" r:id="rId253"/>
    <sheet name="3.7.2-08" sheetId="287" r:id="rId254"/>
    <sheet name="3.7.2-09" sheetId="288" r:id="rId255"/>
    <sheet name="3.7.2-10" sheetId="289" r:id="rId256"/>
    <sheet name="3.7.2-11" sheetId="290" r:id="rId257"/>
    <sheet name="3.7.2-12" sheetId="291" r:id="rId258"/>
    <sheet name="3.7.2-13" sheetId="292" r:id="rId259"/>
    <sheet name="3.7.2-14" sheetId="293" r:id="rId260"/>
    <sheet name="3.7.2-15" sheetId="294" r:id="rId261"/>
    <sheet name="3.7.2-16" sheetId="295" r:id="rId262"/>
    <sheet name="3.7.2-17" sheetId="296" r:id="rId263"/>
    <sheet name="3.7.3" sheetId="297" r:id="rId264"/>
    <sheet name="3.7.3-01" sheetId="298" r:id="rId265"/>
    <sheet name="3.7.3-02" sheetId="299" r:id="rId266"/>
    <sheet name="3.7.3-03" sheetId="300" r:id="rId267"/>
    <sheet name="3.7.3-04" sheetId="301" r:id="rId268"/>
    <sheet name="3.7.3-05" sheetId="302" r:id="rId269"/>
    <sheet name="3.7.3-06" sheetId="303" r:id="rId270"/>
    <sheet name="3.7.3-07" sheetId="304" r:id="rId271"/>
    <sheet name="3.7.3-08" sheetId="305" r:id="rId272"/>
    <sheet name="3.7.3-09" sheetId="306" r:id="rId273"/>
    <sheet name="3.7.3-10" sheetId="307" r:id="rId274"/>
    <sheet name="3.7.3-11_Corregido" sheetId="308" r:id="rId275"/>
    <sheet name="3.7.3-12_Corregido" sheetId="309" r:id="rId276"/>
    <sheet name="3.7.3-13" sheetId="310" r:id="rId277"/>
    <sheet name="3.7.3-14" sheetId="311" r:id="rId278"/>
    <sheet name="3.7.3-15" sheetId="312" r:id="rId279"/>
    <sheet name="3.7.3-16" sheetId="313" r:id="rId280"/>
    <sheet name="3.7.3-17" sheetId="314" r:id="rId281"/>
    <sheet name="3.8" sheetId="316" r:id="rId282"/>
    <sheet name="3.8.1-01" sheetId="317" r:id="rId283"/>
    <sheet name="3.8.1-02" sheetId="318" r:id="rId284"/>
    <sheet name="3.8.1-03" sheetId="319" r:id="rId285"/>
    <sheet name="3.8.1-04" sheetId="320" r:id="rId286"/>
    <sheet name="3.8.1-05" sheetId="321" r:id="rId287"/>
    <sheet name="3.8.1-06" sheetId="322" r:id="rId288"/>
    <sheet name="3.8.1-07" sheetId="323" r:id="rId289"/>
    <sheet name="3.8.1-08" sheetId="324" r:id="rId290"/>
    <sheet name="4.1" sheetId="326" r:id="rId291"/>
    <sheet name="4.1-01" sheetId="327" r:id="rId292"/>
    <sheet name="4.1-02" sheetId="328" r:id="rId293"/>
    <sheet name="4.1-03" sheetId="329" r:id="rId294"/>
    <sheet name="4.1-04" sheetId="330" r:id="rId295"/>
    <sheet name="4.1-05" sheetId="331" r:id="rId296"/>
    <sheet name="4.1-06" sheetId="332" r:id="rId297"/>
    <sheet name="4.1-07" sheetId="333" r:id="rId298"/>
    <sheet name="4.1-08" sheetId="334" r:id="rId299"/>
    <sheet name="4.1-09" sheetId="335" r:id="rId300"/>
    <sheet name="4.1-10" sheetId="336" r:id="rId301"/>
    <sheet name="4.1-11" sheetId="337" r:id="rId302"/>
    <sheet name="4.2" sheetId="339" r:id="rId303"/>
    <sheet name="4.2-01" sheetId="340" r:id="rId304"/>
    <sheet name="4.2-02" sheetId="341" r:id="rId305"/>
    <sheet name="4.2-03" sheetId="342" r:id="rId306"/>
    <sheet name="4.2-04" sheetId="343" r:id="rId307"/>
    <sheet name="4.2-05" sheetId="344" r:id="rId308"/>
    <sheet name="4.2-06" sheetId="345" r:id="rId309"/>
    <sheet name="4.2-07" sheetId="346" r:id="rId310"/>
    <sheet name="4.2-08" sheetId="347" r:id="rId311"/>
    <sheet name="4.2-09" sheetId="348" r:id="rId312"/>
    <sheet name="4.2-10" sheetId="349" r:id="rId313"/>
    <sheet name="4.2-11" sheetId="350" r:id="rId314"/>
    <sheet name="4.2-12" sheetId="351" r:id="rId315"/>
    <sheet name="4.2-13" sheetId="352" r:id="rId316"/>
    <sheet name="4.2-14" sheetId="353" r:id="rId317"/>
    <sheet name="4.2-15" sheetId="354" r:id="rId318"/>
    <sheet name="4.2-16" sheetId="355" r:id="rId319"/>
    <sheet name="4.2-17" sheetId="356" r:id="rId320"/>
    <sheet name="4.2-18" sheetId="357" r:id="rId321"/>
  </sheets>
  <externalReferences>
    <externalReference r:id="rId322"/>
    <externalReference r:id="rId323"/>
    <externalReference r:id="rId324"/>
    <externalReference r:id="rId325"/>
    <externalReference r:id="rId326"/>
    <externalReference r:id="rId327"/>
    <externalReference r:id="rId328"/>
    <externalReference r:id="rId329"/>
    <externalReference r:id="rId330"/>
    <externalReference r:id="rId331"/>
    <externalReference r:id="rId332"/>
    <externalReference r:id="rId333"/>
    <externalReference r:id="rId334"/>
  </externalReferences>
  <definedNames>
    <definedName name="_xlnm._FilterDatabase" localSheetId="49" hidden="1">'2.7-08'!#REF!</definedName>
    <definedName name="_xlnm._FilterDatabase" localSheetId="53" hidden="1">'2.7-12'!#REF!</definedName>
    <definedName name="_ftn1" localSheetId="6">'2.2-01'!#REF!</definedName>
    <definedName name="_ftn1" localSheetId="8">'2.2-03'!#REF!</definedName>
    <definedName name="_ftn1" localSheetId="80">'3.1.1.2-11'!#REF!</definedName>
    <definedName name="_ftn2" localSheetId="6">'2.2-01'!#REF!</definedName>
    <definedName name="_ftn2" localSheetId="8">'2.2-03'!#REF!</definedName>
    <definedName name="_ftn2" localSheetId="80">'[5]92 - 95'!$A$57</definedName>
    <definedName name="_ftnref1" localSheetId="6">'2.2-01'!#REF!</definedName>
    <definedName name="_ftnref1" localSheetId="8">'2.2-03'!#REF!</definedName>
    <definedName name="_ftnref1" localSheetId="80">'3.1.1.2-11'!#REF!</definedName>
    <definedName name="_ftnref2" localSheetId="6">'2.2-01'!#REF!</definedName>
    <definedName name="_ftnref2" localSheetId="8">'2.2-03'!#REF!</definedName>
    <definedName name="_ftnref2" localSheetId="80">'3.1.1.2-11'!#REF!</definedName>
    <definedName name="_GoBack" localSheetId="137">'3.3-06'!#REF!</definedName>
    <definedName name="_Key1" localSheetId="6" hidden="1">#REF!</definedName>
    <definedName name="_Key1" localSheetId="8" hidden="1">#REF!</definedName>
    <definedName name="_Key1" localSheetId="29" hidden="1">#REF!</definedName>
    <definedName name="_Key1" localSheetId="37" hidden="1">#REF!</definedName>
    <definedName name="_Key1" localSheetId="39" hidden="1">#REF!</definedName>
    <definedName name="_Key1" localSheetId="40" hidden="1">#REF!</definedName>
    <definedName name="_Key1" localSheetId="108" hidden="1">#REF!</definedName>
    <definedName name="_Key1" localSheetId="109" hidden="1">#REF!</definedName>
    <definedName name="_Key1" localSheetId="125" hidden="1">#REF!</definedName>
    <definedName name="_Key1" localSheetId="211" hidden="1">#REF!</definedName>
    <definedName name="_Key1" localSheetId="220" hidden="1">#REF!</definedName>
    <definedName name="_Key1" localSheetId="230" hidden="1">#REF!</definedName>
    <definedName name="_Key1" localSheetId="231" hidden="1">#REF!</definedName>
    <definedName name="_Key1" localSheetId="232" hidden="1">#REF!</definedName>
    <definedName name="_Key1" localSheetId="233" hidden="1">#REF!</definedName>
    <definedName name="_Key1" localSheetId="234" hidden="1">#REF!</definedName>
    <definedName name="_Key1" localSheetId="235" hidden="1">#REF!</definedName>
    <definedName name="_Key1" localSheetId="236" hidden="1">#REF!</definedName>
    <definedName name="_Key1" localSheetId="237" hidden="1">#REF!</definedName>
    <definedName name="_Key1" localSheetId="240" hidden="1">#REF!</definedName>
    <definedName name="_Key1" localSheetId="241" hidden="1">#REF!</definedName>
    <definedName name="_Key1" localSheetId="242" hidden="1">#REF!</definedName>
    <definedName name="_Key1" localSheetId="243" hidden="1">#REF!</definedName>
    <definedName name="_Key1" localSheetId="244" hidden="1">#REF!</definedName>
    <definedName name="_Key1" localSheetId="284" hidden="1">#REF!</definedName>
    <definedName name="_Key1" localSheetId="285" hidden="1">#REF!</definedName>
    <definedName name="_Key1" localSheetId="297" hidden="1">#REF!</definedName>
    <definedName name="_Key1" localSheetId="300" hidden="1">#REF!</definedName>
    <definedName name="_Key1" localSheetId="301" hidden="1">#REF!</definedName>
    <definedName name="_Key1" hidden="1">#REF!</definedName>
    <definedName name="_Key2" localSheetId="6" hidden="1">#REF!</definedName>
    <definedName name="_Key2" localSheetId="8" hidden="1">#REF!</definedName>
    <definedName name="_Key2" localSheetId="29" hidden="1">#REF!</definedName>
    <definedName name="_Key2" localSheetId="37" hidden="1">#REF!</definedName>
    <definedName name="_Key2" localSheetId="39" hidden="1">#REF!</definedName>
    <definedName name="_Key2" localSheetId="40" hidden="1">#REF!</definedName>
    <definedName name="_Key2" localSheetId="108" hidden="1">#REF!</definedName>
    <definedName name="_Key2" localSheetId="109" hidden="1">#REF!</definedName>
    <definedName name="_Key2" localSheetId="125" hidden="1">#REF!</definedName>
    <definedName name="_Key2" localSheetId="211" hidden="1">#REF!</definedName>
    <definedName name="_Key2" localSheetId="220" hidden="1">#REF!</definedName>
    <definedName name="_Key2" localSheetId="230" hidden="1">#REF!</definedName>
    <definedName name="_Key2" localSheetId="231" hidden="1">#REF!</definedName>
    <definedName name="_Key2" localSheetId="232" hidden="1">#REF!</definedName>
    <definedName name="_Key2" localSheetId="233" hidden="1">#REF!</definedName>
    <definedName name="_Key2" localSheetId="234" hidden="1">#REF!</definedName>
    <definedName name="_Key2" localSheetId="235" hidden="1">#REF!</definedName>
    <definedName name="_Key2" localSheetId="236" hidden="1">#REF!</definedName>
    <definedName name="_Key2" localSheetId="237" hidden="1">#REF!</definedName>
    <definedName name="_Key2" localSheetId="240" hidden="1">#REF!</definedName>
    <definedName name="_Key2" localSheetId="241" hidden="1">#REF!</definedName>
    <definedName name="_Key2" localSheetId="242" hidden="1">#REF!</definedName>
    <definedName name="_Key2" localSheetId="243" hidden="1">#REF!</definedName>
    <definedName name="_Key2" localSheetId="244" hidden="1">#REF!</definedName>
    <definedName name="_Key2" localSheetId="284" hidden="1">#REF!</definedName>
    <definedName name="_Key2" localSheetId="285" hidden="1">#REF!</definedName>
    <definedName name="_Key2" localSheetId="297" hidden="1">#REF!</definedName>
    <definedName name="_Key2" localSheetId="300" hidden="1">#REF!</definedName>
    <definedName name="_Key2" localSheetId="301" hidden="1">#REF!</definedName>
    <definedName name="_Key2" hidden="1">#REF!</definedName>
    <definedName name="_Order1" hidden="1">255</definedName>
    <definedName name="_Order2" hidden="1">255</definedName>
    <definedName name="_xlnm.Print_Area" localSheetId="0">'2.1'!$A$1:$H$19</definedName>
    <definedName name="_xlnm.Print_Area" localSheetId="3">'2.1-03'!$A$1:$M$51</definedName>
    <definedName name="_xlnm.Print_Area" localSheetId="6">'2.2-01'!$A$2:$F$11</definedName>
    <definedName name="_xlnm.Print_Area" localSheetId="14">'2.3-02'!$A$1:$E$66</definedName>
    <definedName name="_xlnm.Print_Area" localSheetId="21">'2.4-05'!$A$2:$N$35</definedName>
    <definedName name="_xlnm.Print_Area" localSheetId="27">'2.5-01'!$A$1:$G$47</definedName>
    <definedName name="_xlnm.Print_Area" localSheetId="61">'3.1'!$A$1:$B$2</definedName>
    <definedName name="_xlnm.Print_Area" localSheetId="66">'3.1.1.1-02'!$A$1:$B$28</definedName>
    <definedName name="_xlnm.Print_Area" localSheetId="67">'3.1.1.1-03'!$A$1:$F$59</definedName>
    <definedName name="_xlnm.Print_Area" localSheetId="80">'3.1.1.2-11'!$A$1:$F$47</definedName>
    <definedName name="_xlnm.Print_Area" localSheetId="89">'3.1.2.1-07'!$A$1:$D$67</definedName>
    <definedName name="_xlnm.Print_Area" localSheetId="90">'3.1.2.2'!$A$1:$D$5</definedName>
    <definedName name="_xlnm.Print_Area" localSheetId="94">'3.1.2.3-01'!$A$1:$J$50</definedName>
    <definedName name="_xlnm.Print_Area" localSheetId="96">'3.1.2.3-03'!$A$1:$E$49</definedName>
    <definedName name="_xlnm.Print_Area" localSheetId="97">'3.1.2.3-04'!$A$1:$E$60</definedName>
    <definedName name="_xlnm.Print_Area" localSheetId="98">'3.1.2.3-05'!$A$1:$E$24</definedName>
    <definedName name="_xlnm.Print_Area" localSheetId="100">'3.1.2.3-07'!$A$1:$E$18</definedName>
    <definedName name="_xlnm.Print_Area" localSheetId="101">'3.1.2.3-08'!$A$1:$G$19</definedName>
    <definedName name="_xlnm.Print_Area" localSheetId="102">'3.1.2.3-09'!$A$1:$D$21</definedName>
    <definedName name="_xlnm.Print_Area" localSheetId="103">'3.1.2.3-10'!$A$1:$D$27</definedName>
    <definedName name="_xlnm.Print_Area" localSheetId="104">'3.1.2.3-11'!$A$1:$H$23</definedName>
    <definedName name="_xlnm.Print_Area" localSheetId="105">'3.1.2.3-12'!$A$1:$B$24</definedName>
    <definedName name="_xlnm.Print_Area" localSheetId="106">'3.1.2.3-13'!$A$1:$C$24</definedName>
    <definedName name="_xlnm.Print_Area" localSheetId="107">'3.1.2.3-14'!$A$1:$E$14</definedName>
    <definedName name="_xlnm.Print_Area" localSheetId="108">'3.1.2.3-15'!$A$1:$F$129</definedName>
    <definedName name="_xlnm.Print_Area" localSheetId="109">'3.1.2.3-16'!$A$1:$P$130</definedName>
    <definedName name="_xlnm.Print_Area" localSheetId="112">'3.1.2.3-19'!$A$1:$G$129</definedName>
    <definedName name="_xlnm.Print_Area" localSheetId="114">'3.1.3-01'!$A$1:$J$26</definedName>
    <definedName name="_xlnm.Print_Area" localSheetId="115">'3.1.3-02'!$A$1:$E$26</definedName>
    <definedName name="_xlnm.Print_Area" localSheetId="116">'3.1.3-03'!$A$1:$M$27</definedName>
    <definedName name="_xlnm.Print_Area" localSheetId="124">'3.1.3-11'!$A$1:$E$39</definedName>
    <definedName name="_xlnm.Print_Area" localSheetId="62">'3.1-01'!$A$1:$G$27</definedName>
    <definedName name="_xlnm.Print_Area" localSheetId="129">'3.2-04'!$A$1:$K$30</definedName>
    <definedName name="_xlnm.Print_Area" localSheetId="130">'3.2-05'!$A$1:$G$21</definedName>
    <definedName name="_xlnm.Print_Area" localSheetId="133">'3.3-02'!$A$1:$D$25</definedName>
    <definedName name="_xlnm.Print_Area" localSheetId="143">'3.4-05'!$A$1:$G$26</definedName>
    <definedName name="_xlnm.Print_Area" localSheetId="144">'3.4-06'!$A$1:$G$28</definedName>
    <definedName name="_xlnm.Print_Area" localSheetId="147">'3.4-09'!$A$1:$G$26</definedName>
    <definedName name="_xlnm.Print_Area" localSheetId="160">'3.5-02'!$A$1:$E$8</definedName>
    <definedName name="_xlnm.Print_Area" localSheetId="161">'3.5-03'!$A$1:$E$8</definedName>
    <definedName name="_xlnm.Print_Area" localSheetId="170">'3.5-12'!$A$1:$F$48</definedName>
    <definedName name="_xlnm.Print_Area" localSheetId="174">'3.5-16'!$A$1:$C$27</definedName>
    <definedName name="_xlnm.Print_Area" localSheetId="201">'3.6.1-13'!$A$1:$K$26</definedName>
    <definedName name="_xlnm.Print_Area" localSheetId="206">'3.6.1-18'!$A$1:$B$25</definedName>
    <definedName name="_xlnm.Print_Area" localSheetId="210">'3.6.2-03'!$A$1:$K$51</definedName>
    <definedName name="_xlnm.Print_Area" localSheetId="211">'3.6.2-04'!$A$1:$K$240</definedName>
    <definedName name="_xlnm.Print_Area" localSheetId="217">'3.6.2-10'!$A$1:$L$54</definedName>
    <definedName name="_xlnm.Print_Area" localSheetId="220">'3.6.2-13'!$A$1:$J$56</definedName>
    <definedName name="_xlnm.Print_Area" localSheetId="251">'3.7.2-06'!$A$1:$E$25</definedName>
    <definedName name="_xlnm.Print_Area" localSheetId="252">'3.7.2-07'!$A$1:$E$25</definedName>
    <definedName name="_xlnm.Print_Area" localSheetId="264">'3.7.3-01'!$A$1:$C$23</definedName>
    <definedName name="_xlnm.Print_Area" localSheetId="266">'3.7.3-03'!$A$1:$D$25</definedName>
    <definedName name="_xlnm.Print_Area" localSheetId="271">'3.7.3-08'!$A$2:$K$13</definedName>
    <definedName name="_xlnm.Print_Area" localSheetId="276">'3.7.3-13'!$A$2:$F$27</definedName>
    <definedName name="_xlnm.Print_Area" localSheetId="277">'3.7.3-14'!$A$2:$N$26</definedName>
    <definedName name="_xlnm.Print_Area" localSheetId="280">'3.7.3-17'!$A$1:$H$11</definedName>
    <definedName name="_xlnm.Print_Area" localSheetId="293">'4.1-03'!$A$1:$U$75</definedName>
    <definedName name="_xlnm.Print_Area" localSheetId="297">'4.1-07'!$A$1:$R$61</definedName>
    <definedName name="_xlnm.Print_Area" localSheetId="298">'4.1-08'!$A$2:$N$57</definedName>
    <definedName name="_xlnm.Print_Area" localSheetId="301">'4.1-11'!$A$2:$P$24</definedName>
    <definedName name="_xlnm.Print_Area" localSheetId="311">'4.2-09'!$A$1:$D$86</definedName>
    <definedName name="_xlnm.Print_Area" localSheetId="314">'4.2-12'!$A$1:$K$26</definedName>
    <definedName name="cConcDesde" localSheetId="29">#REF!</definedName>
    <definedName name="cConcDesde" localSheetId="37">#REF!</definedName>
    <definedName name="cConcDesde" localSheetId="39">#REF!</definedName>
    <definedName name="cConcDesde" localSheetId="40">#REF!</definedName>
    <definedName name="cConcDesde" localSheetId="108">#REF!</definedName>
    <definedName name="cConcDesde" localSheetId="109">#REF!</definedName>
    <definedName name="cConcDesde" localSheetId="125">#REF!</definedName>
    <definedName name="cConcDesde" localSheetId="211">#REF!</definedName>
    <definedName name="cConcDesde" localSheetId="220">#REF!</definedName>
    <definedName name="cConcDesde" localSheetId="284">#REF!</definedName>
    <definedName name="cConcDesde" localSheetId="285">#REF!</definedName>
    <definedName name="cConcDesde" localSheetId="297">#REF!</definedName>
    <definedName name="cConcDesde" localSheetId="300">#REF!</definedName>
    <definedName name="cConcDesde" localSheetId="301">#REF!</definedName>
    <definedName name="cConcDesde">#REF!</definedName>
    <definedName name="cConcHasta" localSheetId="29">#REF!</definedName>
    <definedName name="cConcHasta" localSheetId="108">#REF!</definedName>
    <definedName name="cConcHasta" localSheetId="109">#REF!</definedName>
    <definedName name="cConcHasta" localSheetId="125">#REF!</definedName>
    <definedName name="cConcHasta" localSheetId="211">#REF!</definedName>
    <definedName name="cConcHasta" localSheetId="220">#REF!</definedName>
    <definedName name="cConcHasta" localSheetId="284">#REF!</definedName>
    <definedName name="cConcHasta" localSheetId="285">#REF!</definedName>
    <definedName name="cConcHasta" localSheetId="297">#REF!</definedName>
    <definedName name="cConcHasta" localSheetId="300">#REF!</definedName>
    <definedName name="cConcHasta" localSheetId="301">#REF!</definedName>
    <definedName name="cConcHasta">#REF!</definedName>
    <definedName name="cFecha" localSheetId="29">#REF!</definedName>
    <definedName name="cFecha" localSheetId="108">#REF!</definedName>
    <definedName name="cFecha" localSheetId="109">#REF!</definedName>
    <definedName name="cFecha" localSheetId="125">#REF!</definedName>
    <definedName name="cFecha" localSheetId="211">#REF!</definedName>
    <definedName name="cFecha" localSheetId="220">#REF!</definedName>
    <definedName name="cFecha" localSheetId="284">#REF!</definedName>
    <definedName name="cFecha" localSheetId="285">#REF!</definedName>
    <definedName name="cFecha" localSheetId="297">#REF!</definedName>
    <definedName name="cFecha" localSheetId="300">#REF!</definedName>
    <definedName name="cFecha" localSheetId="301">#REF!</definedName>
    <definedName name="cFecha">#REF!</definedName>
    <definedName name="CONAF" localSheetId="108" hidden="1">#REF!</definedName>
    <definedName name="CONAF" hidden="1">#REF!</definedName>
    <definedName name="CONAF_2" localSheetId="108" hidden="1">#REF!</definedName>
    <definedName name="CONAF_2" hidden="1">#REF!</definedName>
    <definedName name="CONAF_3" localSheetId="108">#REF!</definedName>
    <definedName name="CONAF_3">#REF!</definedName>
    <definedName name="coni" localSheetId="108">#REF!</definedName>
    <definedName name="coni" localSheetId="109">#REF!</definedName>
    <definedName name="coni" localSheetId="125">#REF!</definedName>
    <definedName name="coni">#REF!</definedName>
    <definedName name="cURL" localSheetId="29">#REF!</definedName>
    <definedName name="cURL" localSheetId="108">#REF!</definedName>
    <definedName name="cURL" localSheetId="109">#REF!</definedName>
    <definedName name="cURL" localSheetId="125">#REF!</definedName>
    <definedName name="cURL" localSheetId="211">#REF!</definedName>
    <definedName name="cURL" localSheetId="220">#REF!</definedName>
    <definedName name="cURL" localSheetId="284">#REF!</definedName>
    <definedName name="cURL" localSheetId="285">#REF!</definedName>
    <definedName name="cURL" localSheetId="297">#REF!</definedName>
    <definedName name="cURL" localSheetId="300">#REF!</definedName>
    <definedName name="cURL" localSheetId="301">#REF!</definedName>
    <definedName name="cURL">#REF!</definedName>
    <definedName name="MO" localSheetId="108">#REF!</definedName>
    <definedName name="MO" localSheetId="109">#REF!</definedName>
    <definedName name="MO" localSheetId="125">#REF!</definedName>
    <definedName name="MO" localSheetId="211">#REF!</definedName>
    <definedName name="MO" localSheetId="220">#REF!</definedName>
    <definedName name="MO" localSheetId="285">#REF!</definedName>
    <definedName name="MO">#REF!</definedName>
    <definedName name="rApO" localSheetId="29">#REF!</definedName>
    <definedName name="rApO" localSheetId="108">#REF!</definedName>
    <definedName name="rApO" localSheetId="109">#REF!</definedName>
    <definedName name="rApO" localSheetId="125">#REF!</definedName>
    <definedName name="rApO" localSheetId="211">#REF!</definedName>
    <definedName name="rApO" localSheetId="220">#REF!</definedName>
    <definedName name="rApO" localSheetId="284">#REF!</definedName>
    <definedName name="rApO" localSheetId="285">#REF!</definedName>
    <definedName name="rApO" localSheetId="297">#REF!</definedName>
    <definedName name="rApO" localSheetId="300">#REF!</definedName>
    <definedName name="rApO" localSheetId="301">#REF!</definedName>
    <definedName name="rApO">#REF!</definedName>
    <definedName name="rApP" localSheetId="29">#REF!</definedName>
    <definedName name="rApP" localSheetId="108">#REF!</definedName>
    <definedName name="rApP" localSheetId="109">#REF!</definedName>
    <definedName name="rApP" localSheetId="125">#REF!</definedName>
    <definedName name="rApP" localSheetId="211">#REF!</definedName>
    <definedName name="rApP" localSheetId="220">#REF!</definedName>
    <definedName name="rApP" localSheetId="284">#REF!</definedName>
    <definedName name="rApP" localSheetId="285">#REF!</definedName>
    <definedName name="rApP" localSheetId="297">#REF!</definedName>
    <definedName name="rApP" localSheetId="300">#REF!</definedName>
    <definedName name="rApP" localSheetId="301">#REF!</definedName>
    <definedName name="rApP">#REF!</definedName>
    <definedName name="rDif" localSheetId="29">#REF!</definedName>
    <definedName name="rDif" localSheetId="108">#REF!</definedName>
    <definedName name="rDif" localSheetId="109">#REF!</definedName>
    <definedName name="rDif" localSheetId="125">#REF!</definedName>
    <definedName name="rDif" localSheetId="211">#REF!</definedName>
    <definedName name="rDif" localSheetId="220">#REF!</definedName>
    <definedName name="rDif" localSheetId="284">#REF!</definedName>
    <definedName name="rDif" localSheetId="285">#REF!</definedName>
    <definedName name="rDif" localSheetId="297">#REF!</definedName>
    <definedName name="rDif" localSheetId="300">#REF!</definedName>
    <definedName name="rDif" localSheetId="301">#REF!</definedName>
    <definedName name="rDif">#REF!</definedName>
    <definedName name="rHon" localSheetId="29">#REF!</definedName>
    <definedName name="rHon" localSheetId="108">#REF!</definedName>
    <definedName name="rHon" localSheetId="109">#REF!</definedName>
    <definedName name="rHon" localSheetId="125">#REF!</definedName>
    <definedName name="rHon" localSheetId="211">#REF!</definedName>
    <definedName name="rHon" localSheetId="220">#REF!</definedName>
    <definedName name="rHon" localSheetId="284">#REF!</definedName>
    <definedName name="rHon" localSheetId="285">#REF!</definedName>
    <definedName name="rHon" localSheetId="297">#REF!</definedName>
    <definedName name="rHon" localSheetId="300">#REF!</definedName>
    <definedName name="rHon" localSheetId="301">#REF!</definedName>
    <definedName name="rHon">#REF!</definedName>
    <definedName name="rInv" localSheetId="29">#REF!</definedName>
    <definedName name="rInv" localSheetId="108">#REF!</definedName>
    <definedName name="rInv" localSheetId="109">#REF!</definedName>
    <definedName name="rInv" localSheetId="125">#REF!</definedName>
    <definedName name="rInv" localSheetId="211">#REF!</definedName>
    <definedName name="rInv" localSheetId="220">#REF!</definedName>
    <definedName name="rInv" localSheetId="284">#REF!</definedName>
    <definedName name="rInv" localSheetId="285">#REF!</definedName>
    <definedName name="rInv" localSheetId="297">#REF!</definedName>
    <definedName name="rInv" localSheetId="300">#REF!</definedName>
    <definedName name="rInv" localSheetId="301">#REF!</definedName>
    <definedName name="rInv">#REF!</definedName>
    <definedName name="rOpe" localSheetId="29">#REF!</definedName>
    <definedName name="rOpe" localSheetId="108">#REF!</definedName>
    <definedName name="rOpe" localSheetId="109">#REF!</definedName>
    <definedName name="rOpe" localSheetId="125">#REF!</definedName>
    <definedName name="rOpe" localSheetId="211">#REF!</definedName>
    <definedName name="rOpe" localSheetId="220">#REF!</definedName>
    <definedName name="rOpe" localSheetId="284">#REF!</definedName>
    <definedName name="rOpe" localSheetId="285">#REF!</definedName>
    <definedName name="rOpe" localSheetId="297">#REF!</definedName>
    <definedName name="rOpe" localSheetId="300">#REF!</definedName>
    <definedName name="rOpe" localSheetId="301">#REF!</definedName>
    <definedName name="rOpe">#REF!</definedName>
    <definedName name="_xlnm.Print_Titles" localSheetId="28">'2.5-02'!$A:$A,'2.5-02'!$2:$5</definedName>
    <definedName name="_xlnm.Print_Titles" localSheetId="29">'2.5-03'!$A:$A,'2.5-03'!$2:$2</definedName>
    <definedName name="_xlnm.Print_Titles" localSheetId="32">'2.5-06'!$A:$A</definedName>
    <definedName name="_xlnm.Print_Titles" localSheetId="49">'2.7-08'!$3:$5</definedName>
    <definedName name="_xlnm.Print_Titles" localSheetId="53">'2.7-12'!$2:$5</definedName>
    <definedName name="_xlnm.Print_Titles" localSheetId="277">'3.7.3-14'!$A:$A,'3.7.3-14'!$2:$5</definedName>
    <definedName name="yyy" hidden="1">#REF!</definedName>
    <definedName name="Z_51FBA572_2699_42A1_9123_1A6459BBB26F_.wvu.FilterData" localSheetId="49" hidden="1">'2.7-08'!#REF!</definedName>
    <definedName name="Z_51FBA572_2699_42A1_9123_1A6459BBB26F_.wvu.FilterData" localSheetId="53" hidden="1">'2.7-12'!#REF!</definedName>
    <definedName name="Z_51FBA572_2699_42A1_9123_1A6459BBB26F_.wvu.PrintArea" localSheetId="6" hidden="1">'2.2-01'!$A$4:$B$6</definedName>
    <definedName name="Z_51FBA572_2699_42A1_9123_1A6459BBB26F_.wvu.PrintArea" localSheetId="8" hidden="1">'2.2-03'!#REF!</definedName>
    <definedName name="Z_51FBA572_2699_42A1_9123_1A6459BBB26F_.wvu.PrintArea" localSheetId="27" hidden="1">'2.5-01'!$A$3:$G$45</definedName>
    <definedName name="Z_51FBA572_2699_42A1_9123_1A6459BBB26F_.wvu.PrintArea" localSheetId="28" hidden="1">'2.5-02'!$B$6:$W$24</definedName>
    <definedName name="Z_51FBA572_2699_42A1_9123_1A6459BBB26F_.wvu.PrintArea" localSheetId="29" hidden="1">'2.5-03'!#REF!</definedName>
    <definedName name="Z_51FBA572_2699_42A1_9123_1A6459BBB26F_.wvu.PrintArea" localSheetId="31" hidden="1">'2.5-05'!$A$2:$O$2</definedName>
    <definedName name="Z_51FBA572_2699_42A1_9123_1A6459BBB26F_.wvu.PrintArea" localSheetId="49" hidden="1">'2.7-08'!#REF!</definedName>
    <definedName name="Z_51FBA572_2699_42A1_9123_1A6459BBB26F_.wvu.PrintArea" localSheetId="53" hidden="1">'2.7-12'!#REF!</definedName>
    <definedName name="Z_51FBA572_2699_42A1_9123_1A6459BBB26F_.wvu.PrintArea" localSheetId="80" hidden="1">'3.1.1.2-11'!$A$1:$F$48</definedName>
    <definedName name="Z_51FBA572_2699_42A1_9123_1A6459BBB26F_.wvu.PrintArea" localSheetId="115" hidden="1">'3.1.3-02'!#REF!</definedName>
    <definedName name="Z_51FBA572_2699_42A1_9123_1A6459BBB26F_.wvu.PrintArea" localSheetId="170" hidden="1">'3.5-12'!$A$2:$D$71</definedName>
    <definedName name="Z_51FBA572_2699_42A1_9123_1A6459BBB26F_.wvu.PrintArea" localSheetId="210" hidden="1">'3.6.2-03'!$A$1:$I$115</definedName>
    <definedName name="Z_51FBA572_2699_42A1_9123_1A6459BBB26F_.wvu.PrintArea" localSheetId="211" hidden="1">'3.6.2-04'!$A$1:$I$240</definedName>
    <definedName name="Z_51FBA572_2699_42A1_9123_1A6459BBB26F_.wvu.PrintArea" localSheetId="271" hidden="1">'3.7.3-08'!$A$2:$J$33</definedName>
    <definedName name="Z_51FBA572_2699_42A1_9123_1A6459BBB26F_.wvu.PrintArea" localSheetId="276" hidden="1">'3.7.3-13'!$A$2:$G$23</definedName>
    <definedName name="Z_51FBA572_2699_42A1_9123_1A6459BBB26F_.wvu.PrintArea" localSheetId="277" hidden="1">'3.7.3-14'!$A$2:$N$24</definedName>
    <definedName name="Z_51FBA572_2699_42A1_9123_1A6459BBB26F_.wvu.PrintArea" localSheetId="284" hidden="1">'3.8.1-03'!$A$1:$F$36</definedName>
    <definedName name="Z_51FBA572_2699_42A1_9123_1A6459BBB26F_.wvu.PrintArea" localSheetId="285" hidden="1">'3.8.1-04'!$A$1:$H$29</definedName>
    <definedName name="Z_51FBA572_2699_42A1_9123_1A6459BBB26F_.wvu.PrintArea" localSheetId="312" hidden="1">'4.2-10'!$A$1:$G$46</definedName>
    <definedName name="Z_51FBA572_2699_42A1_9123_1A6459BBB26F_.wvu.PrintTitles" localSheetId="28" hidden="1">'2.5-02'!$A:$A,'2.5-02'!$2:$5</definedName>
    <definedName name="Z_51FBA572_2699_42A1_9123_1A6459BBB26F_.wvu.PrintTitles" localSheetId="29" hidden="1">'2.5-03'!$A:$A,'2.5-03'!$2:$2</definedName>
    <definedName name="Z_51FBA572_2699_42A1_9123_1A6459BBB26F_.wvu.PrintTitles" localSheetId="30" hidden="1">'2.5-04'!$A:$A</definedName>
    <definedName name="Z_51FBA572_2699_42A1_9123_1A6459BBB26F_.wvu.PrintTitles" localSheetId="49" hidden="1">'2.7-08'!$3:$5</definedName>
    <definedName name="Z_51FBA572_2699_42A1_9123_1A6459BBB26F_.wvu.PrintTitles" localSheetId="53" hidden="1">'2.7-12'!$2:$5</definedName>
    <definedName name="Z_51FBA572_2699_42A1_9123_1A6459BBB26F_.wvu.PrintTitles" localSheetId="277" hidden="1">'3.7.3-14'!$A:$A,'3.7.3-14'!$2:$5</definedName>
    <definedName name="Z_BE7EB97C_E11C_4B62_A8D0_356ED063A064_.wvu.FilterData" localSheetId="49" hidden="1">'2.7-08'!#REF!</definedName>
    <definedName name="Z_BE7EB97C_E11C_4B62_A8D0_356ED063A064_.wvu.FilterData" localSheetId="53" hidden="1">'2.7-12'!#REF!</definedName>
    <definedName name="Z_BE7EB97C_E11C_4B62_A8D0_356ED063A064_.wvu.PrintArea" localSheetId="6" hidden="1">'2.2-01'!$A$4:$B$6</definedName>
    <definedName name="Z_BE7EB97C_E11C_4B62_A8D0_356ED063A064_.wvu.PrintArea" localSheetId="8" hidden="1">'2.2-03'!#REF!</definedName>
    <definedName name="Z_BE7EB97C_E11C_4B62_A8D0_356ED063A064_.wvu.PrintArea" localSheetId="27" hidden="1">'2.5-01'!$A$3:$G$45</definedName>
    <definedName name="Z_BE7EB97C_E11C_4B62_A8D0_356ED063A064_.wvu.PrintArea" localSheetId="28" hidden="1">'2.5-02'!$B$6:$W$24</definedName>
    <definedName name="Z_BE7EB97C_E11C_4B62_A8D0_356ED063A064_.wvu.PrintArea" localSheetId="29" hidden="1">'2.5-03'!#REF!</definedName>
    <definedName name="Z_BE7EB97C_E11C_4B62_A8D0_356ED063A064_.wvu.PrintArea" localSheetId="31" hidden="1">'2.5-05'!$A$2:$O$2</definedName>
    <definedName name="Z_BE7EB97C_E11C_4B62_A8D0_356ED063A064_.wvu.PrintArea" localSheetId="49" hidden="1">'2.7-08'!#REF!</definedName>
    <definedName name="Z_BE7EB97C_E11C_4B62_A8D0_356ED063A064_.wvu.PrintArea" localSheetId="53" hidden="1">'2.7-12'!#REF!</definedName>
    <definedName name="Z_BE7EB97C_E11C_4B62_A8D0_356ED063A064_.wvu.PrintArea" localSheetId="80" hidden="1">'3.1.1.2-11'!$A$1:$F$48</definedName>
    <definedName name="Z_BE7EB97C_E11C_4B62_A8D0_356ED063A064_.wvu.PrintArea" localSheetId="115" hidden="1">'3.1.3-02'!#REF!</definedName>
    <definedName name="Z_BE7EB97C_E11C_4B62_A8D0_356ED063A064_.wvu.PrintArea" localSheetId="170" hidden="1">'3.5-12'!$A$2:$D$71</definedName>
    <definedName name="Z_BE7EB97C_E11C_4B62_A8D0_356ED063A064_.wvu.PrintArea" localSheetId="210" hidden="1">'3.6.2-03'!$A$1:$I$115</definedName>
    <definedName name="Z_BE7EB97C_E11C_4B62_A8D0_356ED063A064_.wvu.PrintArea" localSheetId="211" hidden="1">'3.6.2-04'!$A$1:$I$240</definedName>
    <definedName name="Z_BE7EB97C_E11C_4B62_A8D0_356ED063A064_.wvu.PrintArea" localSheetId="271" hidden="1">'3.7.3-08'!$A$2:$J$33</definedName>
    <definedName name="Z_BE7EB97C_E11C_4B62_A8D0_356ED063A064_.wvu.PrintArea" localSheetId="276" hidden="1">'3.7.3-13'!$A$2:$G$23</definedName>
    <definedName name="Z_BE7EB97C_E11C_4B62_A8D0_356ED063A064_.wvu.PrintArea" localSheetId="277" hidden="1">'3.7.3-14'!$A$2:$N$24</definedName>
    <definedName name="Z_BE7EB97C_E11C_4B62_A8D0_356ED063A064_.wvu.PrintArea" localSheetId="284" hidden="1">'3.8.1-03'!$A$1:$F$36</definedName>
    <definedName name="Z_BE7EB97C_E11C_4B62_A8D0_356ED063A064_.wvu.PrintArea" localSheetId="285" hidden="1">'3.8.1-04'!$A$1:$H$29</definedName>
    <definedName name="Z_BE7EB97C_E11C_4B62_A8D0_356ED063A064_.wvu.PrintArea" localSheetId="312" hidden="1">'4.2-10'!$A$1:$G$46</definedName>
    <definedName name="Z_BE7EB97C_E11C_4B62_A8D0_356ED063A064_.wvu.PrintTitles" localSheetId="28" hidden="1">'2.5-02'!$A:$A,'2.5-02'!$2:$5</definedName>
    <definedName name="Z_BE7EB97C_E11C_4B62_A8D0_356ED063A064_.wvu.PrintTitles" localSheetId="29" hidden="1">'2.5-03'!$A:$A,'2.5-03'!$2:$2</definedName>
    <definedName name="Z_BE7EB97C_E11C_4B62_A8D0_356ED063A064_.wvu.PrintTitles" localSheetId="30" hidden="1">'2.5-04'!$A:$A</definedName>
    <definedName name="Z_BE7EB97C_E11C_4B62_A8D0_356ED063A064_.wvu.PrintTitles" localSheetId="49" hidden="1">'2.7-08'!$3:$5</definedName>
    <definedName name="Z_BE7EB97C_E11C_4B62_A8D0_356ED063A064_.wvu.PrintTitles" localSheetId="53" hidden="1">'2.7-12'!$2:$5</definedName>
    <definedName name="Z_BE7EB97C_E11C_4B62_A8D0_356ED063A064_.wvu.PrintTitles" localSheetId="277" hidden="1">'3.7.3-14'!$A:$A,'3.7.3-14'!$2:$5</definedName>
    <definedName name="Z_C24E30C0_020A_4E2D_954B_FCF38865B0E1_.wvu.FilterData" localSheetId="49" hidden="1">'2.7-08'!#REF!</definedName>
    <definedName name="Z_C24E30C0_020A_4E2D_954B_FCF38865B0E1_.wvu.FilterData" localSheetId="53" hidden="1">'2.7-12'!#REF!</definedName>
    <definedName name="Z_C24E30C0_020A_4E2D_954B_FCF38865B0E1_.wvu.PrintArea" localSheetId="6" hidden="1">'2.2-01'!$A$4:$B$6</definedName>
    <definedName name="Z_C24E30C0_020A_4E2D_954B_FCF38865B0E1_.wvu.PrintArea" localSheetId="8" hidden="1">'2.2-03'!#REF!</definedName>
    <definedName name="Z_C24E30C0_020A_4E2D_954B_FCF38865B0E1_.wvu.PrintArea" localSheetId="27" hidden="1">'2.5-01'!$A$3:$G$45</definedName>
    <definedName name="Z_C24E30C0_020A_4E2D_954B_FCF38865B0E1_.wvu.PrintArea" localSheetId="28" hidden="1">'2.5-02'!$B$6:$W$24</definedName>
    <definedName name="Z_C24E30C0_020A_4E2D_954B_FCF38865B0E1_.wvu.PrintArea" localSheetId="29" hidden="1">'2.5-03'!#REF!</definedName>
    <definedName name="Z_C24E30C0_020A_4E2D_954B_FCF38865B0E1_.wvu.PrintArea" localSheetId="31" hidden="1">'2.5-05'!$A$2:$O$2</definedName>
    <definedName name="Z_C24E30C0_020A_4E2D_954B_FCF38865B0E1_.wvu.PrintArea" localSheetId="49" hidden="1">'2.7-08'!#REF!</definedName>
    <definedName name="Z_C24E30C0_020A_4E2D_954B_FCF38865B0E1_.wvu.PrintArea" localSheetId="53" hidden="1">'2.7-12'!#REF!</definedName>
    <definedName name="Z_C24E30C0_020A_4E2D_954B_FCF38865B0E1_.wvu.PrintArea" localSheetId="80" hidden="1">'3.1.1.2-11'!$A$1:$F$48</definedName>
    <definedName name="Z_C24E30C0_020A_4E2D_954B_FCF38865B0E1_.wvu.PrintArea" localSheetId="115" hidden="1">'3.1.3-02'!#REF!</definedName>
    <definedName name="Z_C24E30C0_020A_4E2D_954B_FCF38865B0E1_.wvu.PrintArea" localSheetId="170" hidden="1">'3.5-12'!$A$2:$D$71</definedName>
    <definedName name="Z_C24E30C0_020A_4E2D_954B_FCF38865B0E1_.wvu.PrintArea" localSheetId="210" hidden="1">'3.6.2-03'!$A$1:$I$115</definedName>
    <definedName name="Z_C24E30C0_020A_4E2D_954B_FCF38865B0E1_.wvu.PrintArea" localSheetId="211" hidden="1">'3.6.2-04'!$A$1:$I$240</definedName>
    <definedName name="Z_C24E30C0_020A_4E2D_954B_FCF38865B0E1_.wvu.PrintArea" localSheetId="271" hidden="1">'3.7.3-08'!$A$2:$J$33</definedName>
    <definedName name="Z_C24E30C0_020A_4E2D_954B_FCF38865B0E1_.wvu.PrintArea" localSheetId="276" hidden="1">'3.7.3-13'!$A$2:$G$23</definedName>
    <definedName name="Z_C24E30C0_020A_4E2D_954B_FCF38865B0E1_.wvu.PrintArea" localSheetId="277" hidden="1">'3.7.3-14'!$A$2:$N$24</definedName>
    <definedName name="Z_C24E30C0_020A_4E2D_954B_FCF38865B0E1_.wvu.PrintArea" localSheetId="284" hidden="1">'3.8.1-03'!$A$1:$F$36</definedName>
    <definedName name="Z_C24E30C0_020A_4E2D_954B_FCF38865B0E1_.wvu.PrintArea" localSheetId="285" hidden="1">'3.8.1-04'!$A$1:$H$29</definedName>
    <definedName name="Z_C24E30C0_020A_4E2D_954B_FCF38865B0E1_.wvu.PrintArea" localSheetId="312" hidden="1">'4.2-10'!$A$1:$G$46</definedName>
    <definedName name="Z_C24E30C0_020A_4E2D_954B_FCF38865B0E1_.wvu.PrintTitles" localSheetId="28" hidden="1">'2.5-02'!$A:$A,'2.5-02'!$2:$5</definedName>
    <definedName name="Z_C24E30C0_020A_4E2D_954B_FCF38865B0E1_.wvu.PrintTitles" localSheetId="29" hidden="1">'2.5-03'!$A:$A,'2.5-03'!$2:$2</definedName>
    <definedName name="Z_C24E30C0_020A_4E2D_954B_FCF38865B0E1_.wvu.PrintTitles" localSheetId="30" hidden="1">'2.5-04'!$A:$A</definedName>
    <definedName name="Z_C24E30C0_020A_4E2D_954B_FCF38865B0E1_.wvu.PrintTitles" localSheetId="49" hidden="1">'2.7-08'!$3:$5</definedName>
    <definedName name="Z_C24E30C0_020A_4E2D_954B_FCF38865B0E1_.wvu.PrintTitles" localSheetId="53" hidden="1">'2.7-12'!$2:$5</definedName>
    <definedName name="Z_C24E30C0_020A_4E2D_954B_FCF38865B0E1_.wvu.PrintTitles" localSheetId="277" hidden="1">'3.7.3-14'!$A:$A,'3.7.3-14'!$2:$5</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21" i="357" l="1"/>
  <c r="B20" i="357"/>
  <c r="B19" i="357"/>
  <c r="B18" i="357"/>
  <c r="B17" i="357"/>
  <c r="B16" i="357"/>
  <c r="B15" i="357"/>
  <c r="B14" i="357"/>
  <c r="B13" i="357"/>
  <c r="B12" i="357"/>
  <c r="B11" i="357"/>
  <c r="B10" i="357"/>
  <c r="B9" i="357"/>
  <c r="B8" i="357"/>
  <c r="B7" i="357"/>
  <c r="N6" i="357"/>
  <c r="M6" i="357"/>
  <c r="L6" i="357"/>
  <c r="K6" i="357"/>
  <c r="J6" i="357"/>
  <c r="I6" i="357"/>
  <c r="H6" i="357"/>
  <c r="G6" i="357"/>
  <c r="F6" i="357"/>
  <c r="E6" i="357"/>
  <c r="D6" i="357"/>
  <c r="C6" i="357"/>
  <c r="B6" i="357"/>
  <c r="B22" i="355"/>
  <c r="B21" i="355"/>
  <c r="B20" i="355"/>
  <c r="B19" i="355"/>
  <c r="B18" i="355"/>
  <c r="B17" i="355"/>
  <c r="B16" i="355"/>
  <c r="B15" i="355"/>
  <c r="B14" i="355"/>
  <c r="B13" i="355"/>
  <c r="B12" i="355"/>
  <c r="B11" i="355"/>
  <c r="B10" i="355"/>
  <c r="B9" i="355"/>
  <c r="B8" i="355"/>
  <c r="B7" i="355" s="1"/>
  <c r="K7" i="355"/>
  <c r="J7" i="355"/>
  <c r="I7" i="355"/>
  <c r="H7" i="355"/>
  <c r="G7" i="355"/>
  <c r="F7" i="355"/>
  <c r="E7" i="355"/>
  <c r="D7" i="355"/>
  <c r="C7" i="355"/>
  <c r="B12" i="354"/>
  <c r="B11" i="354"/>
  <c r="B10" i="354"/>
  <c r="B9" i="354"/>
  <c r="B8" i="354"/>
  <c r="B22" i="353"/>
  <c r="B21" i="353"/>
  <c r="B20" i="353"/>
  <c r="B19" i="353"/>
  <c r="B18" i="353"/>
  <c r="B17" i="353"/>
  <c r="B16" i="353"/>
  <c r="B15" i="353"/>
  <c r="B14" i="353"/>
  <c r="B13" i="353"/>
  <c r="B12" i="353"/>
  <c r="B11" i="353"/>
  <c r="B10" i="353"/>
  <c r="B9" i="353"/>
  <c r="B7" i="353" s="1"/>
  <c r="B8" i="353"/>
  <c r="K7" i="353"/>
  <c r="J7" i="353"/>
  <c r="I7" i="353"/>
  <c r="H7" i="353"/>
  <c r="G7" i="353"/>
  <c r="F7" i="353"/>
  <c r="E7" i="353"/>
  <c r="D7" i="353"/>
  <c r="C7" i="353"/>
  <c r="B11" i="352"/>
  <c r="B10" i="352"/>
  <c r="B9" i="352"/>
  <c r="B8" i="352"/>
  <c r="B7" i="352"/>
  <c r="B22" i="351"/>
  <c r="B21" i="351"/>
  <c r="B20" i="351"/>
  <c r="B19" i="351"/>
  <c r="B18" i="351"/>
  <c r="B17" i="351"/>
  <c r="B16" i="351"/>
  <c r="B15" i="351"/>
  <c r="B14" i="351"/>
  <c r="B13" i="351"/>
  <c r="B12" i="351"/>
  <c r="B11" i="351"/>
  <c r="B10" i="351"/>
  <c r="B9" i="351"/>
  <c r="B8" i="351"/>
  <c r="B7" i="351" s="1"/>
  <c r="K7" i="351"/>
  <c r="J7" i="351"/>
  <c r="I7" i="351"/>
  <c r="H7" i="351"/>
  <c r="G7" i="351"/>
  <c r="F7" i="351"/>
  <c r="E7" i="351"/>
  <c r="D7" i="351"/>
  <c r="C7" i="351"/>
  <c r="C5" i="350"/>
  <c r="B5" i="350"/>
  <c r="B46" i="349"/>
  <c r="B45" i="349"/>
  <c r="D44" i="349"/>
  <c r="C44" i="349"/>
  <c r="B44" i="349"/>
  <c r="B43" i="349"/>
  <c r="D42" i="349"/>
  <c r="C42" i="349"/>
  <c r="B42" i="349"/>
  <c r="B41" i="349"/>
  <c r="D40" i="349"/>
  <c r="C40" i="349"/>
  <c r="B40" i="349"/>
  <c r="B39" i="349"/>
  <c r="D38" i="349"/>
  <c r="C38" i="349"/>
  <c r="B38" i="349"/>
  <c r="B37" i="349"/>
  <c r="D36" i="349"/>
  <c r="C36" i="349"/>
  <c r="B36" i="349"/>
  <c r="B35" i="349"/>
  <c r="D34" i="349"/>
  <c r="C34" i="349"/>
  <c r="B34" i="349"/>
  <c r="B33" i="349"/>
  <c r="B32" i="349"/>
  <c r="B31" i="349"/>
  <c r="B30" i="349"/>
  <c r="B29" i="349"/>
  <c r="B28" i="349"/>
  <c r="B27" i="349"/>
  <c r="B26" i="349"/>
  <c r="B25" i="349"/>
  <c r="B24" i="349"/>
  <c r="B23" i="349"/>
  <c r="B22" i="349"/>
  <c r="B21" i="349"/>
  <c r="B20" i="349"/>
  <c r="B19" i="349"/>
  <c r="B18" i="349"/>
  <c r="B17" i="349"/>
  <c r="D16" i="349"/>
  <c r="C16" i="349"/>
  <c r="B16" i="349"/>
  <c r="B15" i="349"/>
  <c r="B14" i="349"/>
  <c r="B13" i="349" s="1"/>
  <c r="D13" i="349"/>
  <c r="C13" i="349"/>
  <c r="B12" i="349"/>
  <c r="B11" i="349" s="1"/>
  <c r="D11" i="349"/>
  <c r="C11" i="349"/>
  <c r="B10" i="349"/>
  <c r="B9" i="349" s="1"/>
  <c r="D9" i="349"/>
  <c r="C9" i="349"/>
  <c r="B8" i="349"/>
  <c r="B7" i="349" s="1"/>
  <c r="D7" i="349"/>
  <c r="D6" i="349" s="1"/>
  <c r="C7" i="349"/>
  <c r="C6" i="349" s="1"/>
  <c r="B6" i="349" s="1"/>
  <c r="B83" i="348"/>
  <c r="D82" i="348"/>
  <c r="C82" i="348"/>
  <c r="B82" i="348"/>
  <c r="B81" i="348"/>
  <c r="D80" i="348"/>
  <c r="C80" i="348"/>
  <c r="B80" i="348"/>
  <c r="B79" i="348"/>
  <c r="B78" i="348"/>
  <c r="B77" i="348" s="1"/>
  <c r="D77" i="348"/>
  <c r="C77" i="348"/>
  <c r="B76" i="348"/>
  <c r="B75" i="348" s="1"/>
  <c r="D75" i="348"/>
  <c r="C75" i="348"/>
  <c r="B74" i="348"/>
  <c r="B73" i="348"/>
  <c r="B72" i="348"/>
  <c r="B71" i="348" s="1"/>
  <c r="D71" i="348"/>
  <c r="C71" i="348"/>
  <c r="B70" i="348"/>
  <c r="B69" i="348"/>
  <c r="B68" i="348"/>
  <c r="B67" i="348"/>
  <c r="B66" i="348" s="1"/>
  <c r="D66" i="348"/>
  <c r="C66" i="348"/>
  <c r="B65" i="348"/>
  <c r="B64" i="348"/>
  <c r="B63" i="348"/>
  <c r="B62" i="348"/>
  <c r="B61" i="348"/>
  <c r="B60" i="348" s="1"/>
  <c r="D60" i="348"/>
  <c r="C60" i="348"/>
  <c r="B59" i="348"/>
  <c r="B58" i="348"/>
  <c r="B57" i="348"/>
  <c r="B56" i="348"/>
  <c r="B55" i="348" s="1"/>
  <c r="D55" i="348"/>
  <c r="C55" i="348"/>
  <c r="B54" i="348"/>
  <c r="B53" i="348"/>
  <c r="B52" i="348"/>
  <c r="B51" i="348"/>
  <c r="B50" i="348"/>
  <c r="B49" i="348"/>
  <c r="B48" i="348"/>
  <c r="B47" i="348"/>
  <c r="B46" i="348"/>
  <c r="B45" i="348"/>
  <c r="B44" i="348"/>
  <c r="B43" i="348"/>
  <c r="B42" i="348"/>
  <c r="B41" i="348"/>
  <c r="B40" i="348"/>
  <c r="B39" i="348"/>
  <c r="B38" i="348"/>
  <c r="B37" i="348"/>
  <c r="B36" i="348"/>
  <c r="B35" i="348"/>
  <c r="B34" i="348"/>
  <c r="B33" i="348"/>
  <c r="B32" i="348"/>
  <c r="B31" i="348"/>
  <c r="B30" i="348"/>
  <c r="B29" i="348"/>
  <c r="B28" i="348"/>
  <c r="B27" i="348"/>
  <c r="D26" i="348"/>
  <c r="C26" i="348"/>
  <c r="B26" i="348"/>
  <c r="B25" i="348"/>
  <c r="B24" i="348"/>
  <c r="B23" i="348"/>
  <c r="B22" i="348"/>
  <c r="B21" i="348" s="1"/>
  <c r="D21" i="348"/>
  <c r="C21" i="348"/>
  <c r="B20" i="348"/>
  <c r="B19" i="348"/>
  <c r="B18" i="348"/>
  <c r="B17" i="348"/>
  <c r="B16" i="348" s="1"/>
  <c r="D16" i="348"/>
  <c r="C16" i="348"/>
  <c r="B15" i="348"/>
  <c r="B14" i="348" s="1"/>
  <c r="D14" i="348"/>
  <c r="C14" i="348"/>
  <c r="B13" i="348"/>
  <c r="B12" i="348" s="1"/>
  <c r="D12" i="348"/>
  <c r="C12" i="348"/>
  <c r="D11" i="348"/>
  <c r="C11" i="348"/>
  <c r="B11" i="348" s="1"/>
  <c r="D10" i="348"/>
  <c r="D9" i="348" s="1"/>
  <c r="D6" i="348" s="1"/>
  <c r="C10" i="348"/>
  <c r="C9" i="348" s="1"/>
  <c r="B10" i="348"/>
  <c r="B8" i="348"/>
  <c r="B7" i="348" s="1"/>
  <c r="D7" i="348"/>
  <c r="C7" i="348"/>
  <c r="C6" i="348" s="1"/>
  <c r="B6" i="348" s="1"/>
  <c r="C6" i="347"/>
  <c r="B6" i="347"/>
  <c r="D6" i="346"/>
  <c r="C6" i="346"/>
  <c r="B6" i="346"/>
  <c r="E6" i="344"/>
  <c r="D6" i="344"/>
  <c r="C6" i="344"/>
  <c r="B6" i="344"/>
  <c r="B9" i="343"/>
  <c r="B8" i="343"/>
  <c r="B7" i="343"/>
  <c r="B6" i="343" s="1"/>
  <c r="D6" i="343"/>
  <c r="C6" i="343"/>
  <c r="C5" i="342"/>
  <c r="B5" i="342"/>
  <c r="C6" i="341"/>
  <c r="B6" i="341"/>
  <c r="F6" i="340"/>
  <c r="E6" i="340"/>
  <c r="D6" i="340"/>
  <c r="C6" i="340"/>
  <c r="B6" i="340"/>
  <c r="B9" i="348" l="1"/>
  <c r="N20" i="337" l="1"/>
  <c r="K20" i="337"/>
  <c r="H20" i="337"/>
  <c r="E20" i="337"/>
  <c r="B20" i="337"/>
  <c r="P19" i="337"/>
  <c r="O19" i="337"/>
  <c r="N19" i="337"/>
  <c r="M19" i="337"/>
  <c r="L19" i="337"/>
  <c r="K19" i="337"/>
  <c r="J19" i="337"/>
  <c r="I19" i="337"/>
  <c r="H19" i="337"/>
  <c r="G19" i="337"/>
  <c r="F19" i="337"/>
  <c r="E19" i="337"/>
  <c r="D19" i="337"/>
  <c r="C19" i="337"/>
  <c r="B19" i="337"/>
  <c r="N18" i="337"/>
  <c r="K18" i="337"/>
  <c r="H18" i="337"/>
  <c r="E18" i="337"/>
  <c r="E17" i="337" s="1"/>
  <c r="B18" i="337"/>
  <c r="P17" i="337"/>
  <c r="O17" i="337"/>
  <c r="N17" i="337"/>
  <c r="M17" i="337"/>
  <c r="L17" i="337"/>
  <c r="K17" i="337"/>
  <c r="J17" i="337"/>
  <c r="I17" i="337"/>
  <c r="H17" i="337"/>
  <c r="G17" i="337"/>
  <c r="F17" i="337"/>
  <c r="D17" i="337"/>
  <c r="C17" i="337"/>
  <c r="B17" i="337"/>
  <c r="N16" i="337"/>
  <c r="K16" i="337"/>
  <c r="H16" i="337"/>
  <c r="E16" i="337"/>
  <c r="B16" i="337"/>
  <c r="N15" i="337"/>
  <c r="K15" i="337"/>
  <c r="H15" i="337"/>
  <c r="E15" i="337"/>
  <c r="B15" i="337"/>
  <c r="N14" i="337"/>
  <c r="K14" i="337"/>
  <c r="H14" i="337"/>
  <c r="E14" i="337"/>
  <c r="B14" i="337"/>
  <c r="N13" i="337"/>
  <c r="K13" i="337"/>
  <c r="H13" i="337"/>
  <c r="E13" i="337"/>
  <c r="B13" i="337"/>
  <c r="P12" i="337"/>
  <c r="O12" i="337"/>
  <c r="N12" i="337"/>
  <c r="M12" i="337"/>
  <c r="L12" i="337"/>
  <c r="K12" i="337"/>
  <c r="J12" i="337"/>
  <c r="I12" i="337"/>
  <c r="H12" i="337"/>
  <c r="G12" i="337"/>
  <c r="F12" i="337"/>
  <c r="E12" i="337"/>
  <c r="D12" i="337"/>
  <c r="C12" i="337"/>
  <c r="B12" i="337"/>
  <c r="N11" i="337"/>
  <c r="K11" i="337"/>
  <c r="H11" i="337"/>
  <c r="E11" i="337"/>
  <c r="B11" i="337"/>
  <c r="N10" i="337"/>
  <c r="K10" i="337"/>
  <c r="H10" i="337"/>
  <c r="E10" i="337"/>
  <c r="B10" i="337"/>
  <c r="N9" i="337"/>
  <c r="K9" i="337"/>
  <c r="H9" i="337"/>
  <c r="E9" i="337"/>
  <c r="B9" i="337"/>
  <c r="N8" i="337"/>
  <c r="K8" i="337"/>
  <c r="H8" i="337"/>
  <c r="E8" i="337"/>
  <c r="B8" i="337"/>
  <c r="P7" i="337"/>
  <c r="O7" i="337"/>
  <c r="N7" i="337"/>
  <c r="M7" i="337"/>
  <c r="L7" i="337"/>
  <c r="K7" i="337"/>
  <c r="J7" i="337"/>
  <c r="I7" i="337"/>
  <c r="H7" i="337"/>
  <c r="G7" i="337"/>
  <c r="F7" i="337"/>
  <c r="E7" i="337"/>
  <c r="D7" i="337"/>
  <c r="C7" i="337"/>
  <c r="B7" i="337"/>
  <c r="P6" i="337"/>
  <c r="O6" i="337"/>
  <c r="N6" i="337" s="1"/>
  <c r="M6" i="337"/>
  <c r="L6" i="337"/>
  <c r="K6" i="337" s="1"/>
  <c r="J6" i="337"/>
  <c r="I6" i="337"/>
  <c r="H6" i="337" s="1"/>
  <c r="G6" i="337"/>
  <c r="F6" i="337"/>
  <c r="E6" i="337" s="1"/>
  <c r="D6" i="337"/>
  <c r="C6" i="337"/>
  <c r="B6" i="337" s="1"/>
  <c r="L7" i="336"/>
  <c r="K7" i="336"/>
  <c r="J7" i="336"/>
  <c r="I7" i="336"/>
  <c r="H7" i="336"/>
  <c r="G7" i="336"/>
  <c r="F7" i="336"/>
  <c r="E7" i="336"/>
  <c r="D7" i="336"/>
  <c r="C7" i="336"/>
  <c r="R21" i="335"/>
  <c r="N21" i="335"/>
  <c r="J21" i="335"/>
  <c r="F21" i="335"/>
  <c r="B21" i="335"/>
  <c r="R20" i="335"/>
  <c r="N20" i="335"/>
  <c r="J20" i="335"/>
  <c r="F20" i="335"/>
  <c r="B20" i="335"/>
  <c r="R19" i="335"/>
  <c r="N19" i="335"/>
  <c r="J19" i="335"/>
  <c r="F19" i="335"/>
  <c r="B19" i="335"/>
  <c r="R18" i="335"/>
  <c r="N18" i="335"/>
  <c r="J18" i="335"/>
  <c r="F18" i="335"/>
  <c r="B18" i="335"/>
  <c r="R17" i="335"/>
  <c r="N17" i="335"/>
  <c r="J17" i="335"/>
  <c r="F17" i="335"/>
  <c r="B17" i="335"/>
  <c r="R16" i="335"/>
  <c r="N16" i="335"/>
  <c r="J16" i="335"/>
  <c r="F16" i="335"/>
  <c r="B16" i="335"/>
  <c r="R15" i="335"/>
  <c r="N15" i="335"/>
  <c r="J15" i="335"/>
  <c r="F15" i="335"/>
  <c r="B15" i="335"/>
  <c r="R14" i="335"/>
  <c r="N14" i="335"/>
  <c r="J14" i="335"/>
  <c r="F14" i="335"/>
  <c r="B14" i="335"/>
  <c r="R13" i="335"/>
  <c r="N13" i="335"/>
  <c r="J13" i="335"/>
  <c r="F13" i="335"/>
  <c r="B13" i="335"/>
  <c r="R12" i="335"/>
  <c r="N12" i="335"/>
  <c r="J12" i="335"/>
  <c r="F12" i="335"/>
  <c r="B12" i="335"/>
  <c r="R11" i="335"/>
  <c r="N11" i="335"/>
  <c r="J11" i="335"/>
  <c r="F11" i="335"/>
  <c r="B11" i="335"/>
  <c r="R10" i="335"/>
  <c r="N10" i="335"/>
  <c r="J10" i="335"/>
  <c r="F10" i="335"/>
  <c r="B10" i="335"/>
  <c r="R9" i="335"/>
  <c r="N9" i="335"/>
  <c r="J9" i="335"/>
  <c r="F9" i="335"/>
  <c r="B9" i="335"/>
  <c r="R8" i="335"/>
  <c r="N8" i="335"/>
  <c r="J8" i="335"/>
  <c r="F8" i="335"/>
  <c r="B8" i="335"/>
  <c r="R7" i="335"/>
  <c r="N7" i="335"/>
  <c r="J7" i="335"/>
  <c r="F7" i="335"/>
  <c r="B7" i="335"/>
  <c r="U6" i="335"/>
  <c r="T6" i="335"/>
  <c r="S6" i="335"/>
  <c r="R6" i="335" s="1"/>
  <c r="Q6" i="335"/>
  <c r="P6" i="335"/>
  <c r="O6" i="335"/>
  <c r="N6" i="335" s="1"/>
  <c r="M6" i="335"/>
  <c r="L6" i="335"/>
  <c r="K6" i="335"/>
  <c r="J6" i="335" s="1"/>
  <c r="I6" i="335"/>
  <c r="H6" i="335"/>
  <c r="G6" i="335"/>
  <c r="F6" i="335" s="1"/>
  <c r="E6" i="335"/>
  <c r="D6" i="335"/>
  <c r="C6" i="335"/>
  <c r="B6" i="335" s="1"/>
  <c r="H54" i="334"/>
  <c r="G54" i="334"/>
  <c r="H53" i="334"/>
  <c r="G53" i="334"/>
  <c r="H52" i="334"/>
  <c r="G52" i="334"/>
  <c r="H51" i="334"/>
  <c r="G51" i="334"/>
  <c r="H50" i="334"/>
  <c r="G50" i="334"/>
  <c r="H49" i="334"/>
  <c r="G49" i="334"/>
  <c r="H48" i="334"/>
  <c r="G48" i="334"/>
  <c r="H47" i="334"/>
  <c r="G47" i="334"/>
  <c r="H46" i="334"/>
  <c r="G46" i="334"/>
  <c r="H45" i="334"/>
  <c r="G45" i="334"/>
  <c r="H44" i="334"/>
  <c r="G44" i="334"/>
  <c r="E43" i="334"/>
  <c r="D43" i="334"/>
  <c r="H43" i="334" s="1"/>
  <c r="C43" i="334"/>
  <c r="G43" i="334" s="1"/>
  <c r="N37" i="334"/>
  <c r="M37" i="334"/>
  <c r="H37" i="334"/>
  <c r="G37" i="334"/>
  <c r="N36" i="334"/>
  <c r="M36" i="334"/>
  <c r="H36" i="334"/>
  <c r="G36" i="334"/>
  <c r="N35" i="334"/>
  <c r="M35" i="334"/>
  <c r="H35" i="334"/>
  <c r="G35" i="334"/>
  <c r="N34" i="334"/>
  <c r="M34" i="334"/>
  <c r="H34" i="334"/>
  <c r="G34" i="334"/>
  <c r="N33" i="334"/>
  <c r="M33" i="334"/>
  <c r="H33" i="334"/>
  <c r="G33" i="334"/>
  <c r="N32" i="334"/>
  <c r="M32" i="334"/>
  <c r="H32" i="334"/>
  <c r="G32" i="334"/>
  <c r="N31" i="334"/>
  <c r="M31" i="334"/>
  <c r="H31" i="334"/>
  <c r="G31" i="334"/>
  <c r="N30" i="334"/>
  <c r="M30" i="334"/>
  <c r="H30" i="334"/>
  <c r="G30" i="334"/>
  <c r="N29" i="334"/>
  <c r="M29" i="334"/>
  <c r="H29" i="334"/>
  <c r="G29" i="334"/>
  <c r="N28" i="334"/>
  <c r="M28" i="334"/>
  <c r="H28" i="334"/>
  <c r="G28" i="334"/>
  <c r="N27" i="334"/>
  <c r="M27" i="334"/>
  <c r="H27" i="334"/>
  <c r="G27" i="334"/>
  <c r="N26" i="334"/>
  <c r="M26" i="334"/>
  <c r="L26" i="334"/>
  <c r="K26" i="334"/>
  <c r="J26" i="334"/>
  <c r="I26" i="334"/>
  <c r="H26" i="334"/>
  <c r="G26" i="334"/>
  <c r="F26" i="334"/>
  <c r="E26" i="334"/>
  <c r="D26" i="334"/>
  <c r="C26" i="334"/>
  <c r="N17" i="334"/>
  <c r="M17" i="334"/>
  <c r="H17" i="334"/>
  <c r="G17" i="334"/>
  <c r="N16" i="334"/>
  <c r="M16" i="334"/>
  <c r="H16" i="334"/>
  <c r="G16" i="334"/>
  <c r="N15" i="334"/>
  <c r="M15" i="334"/>
  <c r="H15" i="334"/>
  <c r="G15" i="334"/>
  <c r="N14" i="334"/>
  <c r="M14" i="334"/>
  <c r="H14" i="334"/>
  <c r="G14" i="334"/>
  <c r="N13" i="334"/>
  <c r="M13" i="334"/>
  <c r="H13" i="334"/>
  <c r="G13" i="334"/>
  <c r="N12" i="334"/>
  <c r="M12" i="334"/>
  <c r="H12" i="334"/>
  <c r="G12" i="334"/>
  <c r="N11" i="334"/>
  <c r="M11" i="334"/>
  <c r="H11" i="334"/>
  <c r="G11" i="334"/>
  <c r="N10" i="334"/>
  <c r="M10" i="334"/>
  <c r="H10" i="334"/>
  <c r="G10" i="334"/>
  <c r="N9" i="334"/>
  <c r="M9" i="334"/>
  <c r="H9" i="334"/>
  <c r="G9" i="334"/>
  <c r="N8" i="334"/>
  <c r="M8" i="334"/>
  <c r="H8" i="334"/>
  <c r="G8" i="334"/>
  <c r="N7" i="334"/>
  <c r="M7" i="334"/>
  <c r="H7" i="334"/>
  <c r="G7" i="334"/>
  <c r="N6" i="334"/>
  <c r="M6" i="334"/>
  <c r="L6" i="334"/>
  <c r="K6" i="334"/>
  <c r="J6" i="334"/>
  <c r="I6" i="334"/>
  <c r="H6" i="334"/>
  <c r="G6" i="334"/>
  <c r="F6" i="334"/>
  <c r="E6" i="334"/>
  <c r="D6" i="334"/>
  <c r="C6" i="334"/>
  <c r="J58" i="333"/>
  <c r="I58" i="333"/>
  <c r="J57" i="333"/>
  <c r="I57" i="333"/>
  <c r="J56" i="333"/>
  <c r="I56" i="333"/>
  <c r="J55" i="333"/>
  <c r="I55" i="333"/>
  <c r="J54" i="333"/>
  <c r="I54" i="333"/>
  <c r="J53" i="333"/>
  <c r="I53" i="333"/>
  <c r="J52" i="333"/>
  <c r="I52" i="333"/>
  <c r="J51" i="333"/>
  <c r="I51" i="333"/>
  <c r="J50" i="333"/>
  <c r="I50" i="333"/>
  <c r="J49" i="333"/>
  <c r="I49" i="333"/>
  <c r="J48" i="333"/>
  <c r="I48" i="333"/>
  <c r="H47" i="333"/>
  <c r="G47" i="333"/>
  <c r="F47" i="333"/>
  <c r="E47" i="333"/>
  <c r="I47" i="333" s="1"/>
  <c r="D47" i="333"/>
  <c r="J47" i="333" s="1"/>
  <c r="R39" i="333"/>
  <c r="Q39" i="333"/>
  <c r="J39" i="333"/>
  <c r="I39" i="333"/>
  <c r="R38" i="333"/>
  <c r="Q38" i="333"/>
  <c r="J38" i="333"/>
  <c r="I38" i="333"/>
  <c r="R37" i="333"/>
  <c r="Q37" i="333"/>
  <c r="J37" i="333"/>
  <c r="I37" i="333"/>
  <c r="R36" i="333"/>
  <c r="Q36" i="333"/>
  <c r="J36" i="333"/>
  <c r="I36" i="333"/>
  <c r="R35" i="333"/>
  <c r="Q35" i="333"/>
  <c r="J35" i="333"/>
  <c r="I35" i="333"/>
  <c r="R34" i="333"/>
  <c r="Q34" i="333"/>
  <c r="J34" i="333"/>
  <c r="I34" i="333"/>
  <c r="R33" i="333"/>
  <c r="Q33" i="333"/>
  <c r="J33" i="333"/>
  <c r="I33" i="333"/>
  <c r="R32" i="333"/>
  <c r="Q32" i="333"/>
  <c r="J32" i="333"/>
  <c r="I32" i="333"/>
  <c r="R31" i="333"/>
  <c r="Q31" i="333"/>
  <c r="J31" i="333"/>
  <c r="I31" i="333"/>
  <c r="R30" i="333"/>
  <c r="Q30" i="333"/>
  <c r="J30" i="333"/>
  <c r="I30" i="333"/>
  <c r="R29" i="333"/>
  <c r="Q29" i="333"/>
  <c r="J29" i="333"/>
  <c r="I29" i="333"/>
  <c r="P28" i="333"/>
  <c r="O28" i="333"/>
  <c r="N28" i="333"/>
  <c r="M28" i="333"/>
  <c r="L28" i="333"/>
  <c r="R28" i="333" s="1"/>
  <c r="K28" i="333"/>
  <c r="Q28" i="333" s="1"/>
  <c r="H28" i="333"/>
  <c r="G28" i="333"/>
  <c r="F28" i="333"/>
  <c r="E28" i="333"/>
  <c r="D28" i="333"/>
  <c r="J28" i="333" s="1"/>
  <c r="C28" i="333"/>
  <c r="I28" i="333" s="1"/>
  <c r="R17" i="333"/>
  <c r="Q17" i="333"/>
  <c r="J17" i="333"/>
  <c r="I17" i="333"/>
  <c r="R16" i="333"/>
  <c r="Q16" i="333"/>
  <c r="J16" i="333"/>
  <c r="I16" i="333"/>
  <c r="R15" i="333"/>
  <c r="Q15" i="333"/>
  <c r="J15" i="333"/>
  <c r="I15" i="333"/>
  <c r="R14" i="333"/>
  <c r="Q14" i="333"/>
  <c r="J14" i="333"/>
  <c r="I14" i="333"/>
  <c r="R13" i="333"/>
  <c r="Q13" i="333"/>
  <c r="J13" i="333"/>
  <c r="I13" i="333"/>
  <c r="R12" i="333"/>
  <c r="Q12" i="333"/>
  <c r="J12" i="333"/>
  <c r="I12" i="333"/>
  <c r="R11" i="333"/>
  <c r="Q11" i="333"/>
  <c r="J11" i="333"/>
  <c r="I11" i="333"/>
  <c r="R10" i="333"/>
  <c r="Q10" i="333"/>
  <c r="J10" i="333"/>
  <c r="I10" i="333"/>
  <c r="R9" i="333"/>
  <c r="Q9" i="333"/>
  <c r="J9" i="333"/>
  <c r="I9" i="333"/>
  <c r="R8" i="333"/>
  <c r="Q8" i="333"/>
  <c r="J8" i="333"/>
  <c r="I8" i="333"/>
  <c r="R7" i="333"/>
  <c r="Q7" i="333"/>
  <c r="J7" i="333"/>
  <c r="I7" i="333"/>
  <c r="R6" i="333"/>
  <c r="Q6" i="333"/>
  <c r="P6" i="333"/>
  <c r="O6" i="333"/>
  <c r="N6" i="333"/>
  <c r="M6" i="333"/>
  <c r="L6" i="333"/>
  <c r="K6" i="333"/>
  <c r="J6" i="333"/>
  <c r="I6" i="333"/>
  <c r="H6" i="333"/>
  <c r="G6" i="333"/>
  <c r="F6" i="333"/>
  <c r="E6" i="333"/>
  <c r="D6" i="333"/>
  <c r="C6" i="333"/>
  <c r="J21" i="332"/>
  <c r="G21" i="332"/>
  <c r="D21" i="332"/>
  <c r="J20" i="332"/>
  <c r="G20" i="332"/>
  <c r="D20" i="332"/>
  <c r="J19" i="332"/>
  <c r="G19" i="332"/>
  <c r="D19" i="332"/>
  <c r="J18" i="332"/>
  <c r="G18" i="332"/>
  <c r="D18" i="332"/>
  <c r="J17" i="332"/>
  <c r="G17" i="332"/>
  <c r="D17" i="332"/>
  <c r="J16" i="332"/>
  <c r="G16" i="332"/>
  <c r="D16" i="332"/>
  <c r="J15" i="332"/>
  <c r="G15" i="332"/>
  <c r="D15" i="332"/>
  <c r="J14" i="332"/>
  <c r="G14" i="332"/>
  <c r="D14" i="332"/>
  <c r="J13" i="332"/>
  <c r="G13" i="332"/>
  <c r="D13" i="332"/>
  <c r="J12" i="332"/>
  <c r="G12" i="332"/>
  <c r="D12" i="332"/>
  <c r="J11" i="332"/>
  <c r="G11" i="332"/>
  <c r="D11" i="332"/>
  <c r="J10" i="332"/>
  <c r="G10" i="332"/>
  <c r="D10" i="332"/>
  <c r="J9" i="332"/>
  <c r="G9" i="332"/>
  <c r="D9" i="332"/>
  <c r="J8" i="332"/>
  <c r="G8" i="332"/>
  <c r="D8" i="332"/>
  <c r="J7" i="332"/>
  <c r="J6" i="332" s="1"/>
  <c r="G7" i="332"/>
  <c r="D7" i="332"/>
  <c r="L6" i="332"/>
  <c r="K6" i="332"/>
  <c r="I6" i="332"/>
  <c r="H6" i="332"/>
  <c r="G6" i="332"/>
  <c r="F6" i="332"/>
  <c r="E6" i="332"/>
  <c r="D6" i="332"/>
  <c r="C6" i="332"/>
  <c r="B6" i="332"/>
  <c r="P6" i="331"/>
  <c r="O6" i="331"/>
  <c r="N6" i="331"/>
  <c r="M6" i="331"/>
  <c r="L6" i="331"/>
  <c r="K6" i="331"/>
  <c r="J6" i="331"/>
  <c r="I6" i="331"/>
  <c r="H6" i="331"/>
  <c r="G6" i="331"/>
  <c r="F6" i="331"/>
  <c r="E6" i="331"/>
  <c r="D6" i="331"/>
  <c r="C6" i="331"/>
  <c r="B6" i="331"/>
  <c r="P8" i="330"/>
  <c r="O8" i="330"/>
  <c r="N8" i="330"/>
  <c r="M8" i="330"/>
  <c r="L8" i="330"/>
  <c r="K8" i="330"/>
  <c r="J8" i="330"/>
  <c r="I8" i="330"/>
  <c r="H8" i="330"/>
  <c r="G8" i="330"/>
  <c r="F8" i="330"/>
  <c r="E8" i="330"/>
  <c r="D8" i="330"/>
  <c r="C8" i="330"/>
  <c r="B8" i="330"/>
  <c r="I73" i="329"/>
  <c r="B73" i="329" s="1"/>
  <c r="F73" i="329"/>
  <c r="C73" i="329"/>
  <c r="I72" i="329"/>
  <c r="B72" i="329" s="1"/>
  <c r="F72" i="329"/>
  <c r="C72" i="329"/>
  <c r="I71" i="329"/>
  <c r="B71" i="329" s="1"/>
  <c r="F71" i="329"/>
  <c r="C71" i="329"/>
  <c r="I70" i="329"/>
  <c r="B70" i="329" s="1"/>
  <c r="F70" i="329"/>
  <c r="C70" i="329"/>
  <c r="I69" i="329"/>
  <c r="B69" i="329" s="1"/>
  <c r="F69" i="329"/>
  <c r="C69" i="329"/>
  <c r="I68" i="329"/>
  <c r="B68" i="329" s="1"/>
  <c r="F68" i="329"/>
  <c r="C68" i="329"/>
  <c r="I67" i="329"/>
  <c r="B67" i="329" s="1"/>
  <c r="F67" i="329"/>
  <c r="C67" i="329"/>
  <c r="I66" i="329"/>
  <c r="B66" i="329" s="1"/>
  <c r="F66" i="329"/>
  <c r="C66" i="329"/>
  <c r="I65" i="329"/>
  <c r="B65" i="329" s="1"/>
  <c r="F65" i="329"/>
  <c r="C65" i="329"/>
  <c r="I64" i="329"/>
  <c r="B64" i="329" s="1"/>
  <c r="F64" i="329"/>
  <c r="C64" i="329"/>
  <c r="I63" i="329"/>
  <c r="B63" i="329" s="1"/>
  <c r="F63" i="329"/>
  <c r="C63" i="329"/>
  <c r="I62" i="329"/>
  <c r="B62" i="329" s="1"/>
  <c r="F62" i="329"/>
  <c r="C62" i="329"/>
  <c r="I61" i="329"/>
  <c r="B61" i="329" s="1"/>
  <c r="F61" i="329"/>
  <c r="C61" i="329"/>
  <c r="I60" i="329"/>
  <c r="B60" i="329" s="1"/>
  <c r="F60" i="329"/>
  <c r="C60" i="329"/>
  <c r="I59" i="329"/>
  <c r="B59" i="329" s="1"/>
  <c r="F59" i="329"/>
  <c r="C59" i="329"/>
  <c r="K58" i="329"/>
  <c r="I58" i="329" s="1"/>
  <c r="B58" i="329" s="1"/>
  <c r="J58" i="329"/>
  <c r="H58" i="329"/>
  <c r="G58" i="329"/>
  <c r="F58" i="329" s="1"/>
  <c r="E58" i="329"/>
  <c r="D58" i="329"/>
  <c r="C58" i="329"/>
  <c r="S48" i="329"/>
  <c r="P48" i="329"/>
  <c r="M48" i="329"/>
  <c r="L48" i="329" s="1"/>
  <c r="I48" i="329"/>
  <c r="F48" i="329"/>
  <c r="C48" i="329"/>
  <c r="B48" i="329" s="1"/>
  <c r="S47" i="329"/>
  <c r="P47" i="329"/>
  <c r="M47" i="329"/>
  <c r="L47" i="329" s="1"/>
  <c r="I47" i="329"/>
  <c r="F47" i="329"/>
  <c r="C47" i="329"/>
  <c r="B47" i="329" s="1"/>
  <c r="S46" i="329"/>
  <c r="P46" i="329"/>
  <c r="M46" i="329"/>
  <c r="L46" i="329" s="1"/>
  <c r="I46" i="329"/>
  <c r="F46" i="329"/>
  <c r="C46" i="329"/>
  <c r="B46" i="329" s="1"/>
  <c r="S45" i="329"/>
  <c r="P45" i="329"/>
  <c r="M45" i="329"/>
  <c r="L45" i="329" s="1"/>
  <c r="I45" i="329"/>
  <c r="F45" i="329"/>
  <c r="C45" i="329"/>
  <c r="B45" i="329" s="1"/>
  <c r="S44" i="329"/>
  <c r="P44" i="329"/>
  <c r="M44" i="329"/>
  <c r="L44" i="329" s="1"/>
  <c r="I44" i="329"/>
  <c r="F44" i="329"/>
  <c r="C44" i="329"/>
  <c r="B44" i="329" s="1"/>
  <c r="S43" i="329"/>
  <c r="P43" i="329"/>
  <c r="M43" i="329"/>
  <c r="L43" i="329" s="1"/>
  <c r="I43" i="329"/>
  <c r="F43" i="329"/>
  <c r="C43" i="329"/>
  <c r="B43" i="329" s="1"/>
  <c r="S42" i="329"/>
  <c r="P42" i="329"/>
  <c r="M42" i="329"/>
  <c r="L42" i="329" s="1"/>
  <c r="I42" i="329"/>
  <c r="F42" i="329"/>
  <c r="C42" i="329"/>
  <c r="B42" i="329" s="1"/>
  <c r="S41" i="329"/>
  <c r="P41" i="329"/>
  <c r="M41" i="329"/>
  <c r="L41" i="329" s="1"/>
  <c r="I41" i="329"/>
  <c r="F41" i="329"/>
  <c r="C41" i="329"/>
  <c r="B41" i="329" s="1"/>
  <c r="S40" i="329"/>
  <c r="P40" i="329"/>
  <c r="M40" i="329"/>
  <c r="L40" i="329" s="1"/>
  <c r="I40" i="329"/>
  <c r="F40" i="329"/>
  <c r="C40" i="329"/>
  <c r="B40" i="329" s="1"/>
  <c r="S39" i="329"/>
  <c r="P39" i="329"/>
  <c r="M39" i="329"/>
  <c r="L39" i="329" s="1"/>
  <c r="I39" i="329"/>
  <c r="F39" i="329"/>
  <c r="C39" i="329"/>
  <c r="B39" i="329" s="1"/>
  <c r="S38" i="329"/>
  <c r="P38" i="329"/>
  <c r="M38" i="329"/>
  <c r="L38" i="329" s="1"/>
  <c r="I38" i="329"/>
  <c r="F38" i="329"/>
  <c r="C38" i="329"/>
  <c r="B38" i="329" s="1"/>
  <c r="S37" i="329"/>
  <c r="P37" i="329"/>
  <c r="M37" i="329"/>
  <c r="L37" i="329" s="1"/>
  <c r="I37" i="329"/>
  <c r="F37" i="329"/>
  <c r="C37" i="329"/>
  <c r="B37" i="329" s="1"/>
  <c r="S36" i="329"/>
  <c r="P36" i="329"/>
  <c r="M36" i="329"/>
  <c r="L36" i="329" s="1"/>
  <c r="I36" i="329"/>
  <c r="F36" i="329"/>
  <c r="C36" i="329"/>
  <c r="B36" i="329" s="1"/>
  <c r="S35" i="329"/>
  <c r="P35" i="329"/>
  <c r="M35" i="329"/>
  <c r="L35" i="329" s="1"/>
  <c r="I35" i="329"/>
  <c r="F35" i="329"/>
  <c r="C35" i="329"/>
  <c r="B35" i="329" s="1"/>
  <c r="S34" i="329"/>
  <c r="P34" i="329"/>
  <c r="M34" i="329"/>
  <c r="L34" i="329" s="1"/>
  <c r="I34" i="329"/>
  <c r="F34" i="329"/>
  <c r="C34" i="329"/>
  <c r="B34" i="329" s="1"/>
  <c r="U33" i="329"/>
  <c r="T33" i="329"/>
  <c r="S33" i="329" s="1"/>
  <c r="R33" i="329"/>
  <c r="Q33" i="329"/>
  <c r="P33" i="329" s="1"/>
  <c r="O33" i="329"/>
  <c r="N33" i="329"/>
  <c r="M33" i="329"/>
  <c r="K33" i="329"/>
  <c r="J33" i="329"/>
  <c r="I33" i="329"/>
  <c r="H33" i="329"/>
  <c r="G33" i="329"/>
  <c r="F33" i="329" s="1"/>
  <c r="E33" i="329"/>
  <c r="D33" i="329"/>
  <c r="C33" i="329"/>
  <c r="S23" i="329"/>
  <c r="P23" i="329"/>
  <c r="M23" i="329"/>
  <c r="L23" i="329" s="1"/>
  <c r="I23" i="329"/>
  <c r="F23" i="329"/>
  <c r="C23" i="329"/>
  <c r="B23" i="329" s="1"/>
  <c r="S22" i="329"/>
  <c r="P22" i="329"/>
  <c r="M22" i="329"/>
  <c r="L22" i="329" s="1"/>
  <c r="I22" i="329"/>
  <c r="F22" i="329"/>
  <c r="C22" i="329"/>
  <c r="B22" i="329" s="1"/>
  <c r="S21" i="329"/>
  <c r="P21" i="329"/>
  <c r="M21" i="329"/>
  <c r="L21" i="329" s="1"/>
  <c r="I21" i="329"/>
  <c r="F21" i="329"/>
  <c r="C21" i="329"/>
  <c r="B21" i="329" s="1"/>
  <c r="S20" i="329"/>
  <c r="P20" i="329"/>
  <c r="M20" i="329"/>
  <c r="L20" i="329" s="1"/>
  <c r="I20" i="329"/>
  <c r="F20" i="329"/>
  <c r="C20" i="329"/>
  <c r="B20" i="329" s="1"/>
  <c r="S19" i="329"/>
  <c r="P19" i="329"/>
  <c r="M19" i="329"/>
  <c r="L19" i="329" s="1"/>
  <c r="I19" i="329"/>
  <c r="F19" i="329"/>
  <c r="C19" i="329"/>
  <c r="B19" i="329" s="1"/>
  <c r="S18" i="329"/>
  <c r="P18" i="329"/>
  <c r="M18" i="329"/>
  <c r="L18" i="329" s="1"/>
  <c r="I18" i="329"/>
  <c r="F18" i="329"/>
  <c r="C18" i="329"/>
  <c r="B18" i="329" s="1"/>
  <c r="S17" i="329"/>
  <c r="P17" i="329"/>
  <c r="M17" i="329"/>
  <c r="L17" i="329" s="1"/>
  <c r="I17" i="329"/>
  <c r="F17" i="329"/>
  <c r="C17" i="329"/>
  <c r="B17" i="329" s="1"/>
  <c r="S16" i="329"/>
  <c r="P16" i="329"/>
  <c r="M16" i="329"/>
  <c r="L16" i="329" s="1"/>
  <c r="I16" i="329"/>
  <c r="F16" i="329"/>
  <c r="C16" i="329"/>
  <c r="B16" i="329" s="1"/>
  <c r="S15" i="329"/>
  <c r="P15" i="329"/>
  <c r="M15" i="329"/>
  <c r="L15" i="329" s="1"/>
  <c r="I15" i="329"/>
  <c r="F15" i="329"/>
  <c r="C15" i="329"/>
  <c r="B15" i="329" s="1"/>
  <c r="S14" i="329"/>
  <c r="P14" i="329"/>
  <c r="M14" i="329"/>
  <c r="L14" i="329" s="1"/>
  <c r="I14" i="329"/>
  <c r="F14" i="329"/>
  <c r="C14" i="329"/>
  <c r="B14" i="329" s="1"/>
  <c r="S13" i="329"/>
  <c r="P13" i="329"/>
  <c r="M13" i="329"/>
  <c r="L13" i="329" s="1"/>
  <c r="I13" i="329"/>
  <c r="F13" i="329"/>
  <c r="C13" i="329"/>
  <c r="B13" i="329" s="1"/>
  <c r="S12" i="329"/>
  <c r="P12" i="329"/>
  <c r="M12" i="329"/>
  <c r="L12" i="329" s="1"/>
  <c r="I12" i="329"/>
  <c r="F12" i="329"/>
  <c r="C12" i="329"/>
  <c r="B12" i="329" s="1"/>
  <c r="S11" i="329"/>
  <c r="P11" i="329"/>
  <c r="M11" i="329"/>
  <c r="L11" i="329" s="1"/>
  <c r="I11" i="329"/>
  <c r="F11" i="329"/>
  <c r="C11" i="329"/>
  <c r="B11" i="329" s="1"/>
  <c r="S10" i="329"/>
  <c r="P10" i="329"/>
  <c r="M10" i="329"/>
  <c r="L10" i="329" s="1"/>
  <c r="I10" i="329"/>
  <c r="F10" i="329"/>
  <c r="C10" i="329"/>
  <c r="B10" i="329" s="1"/>
  <c r="S9" i="329"/>
  <c r="P9" i="329"/>
  <c r="M9" i="329"/>
  <c r="L9" i="329" s="1"/>
  <c r="I9" i="329"/>
  <c r="F9" i="329"/>
  <c r="C9" i="329"/>
  <c r="B9" i="329" s="1"/>
  <c r="U8" i="329"/>
  <c r="T8" i="329"/>
  <c r="S8" i="329" s="1"/>
  <c r="R8" i="329"/>
  <c r="Q8" i="329"/>
  <c r="P8" i="329"/>
  <c r="O8" i="329"/>
  <c r="M8" i="329" s="1"/>
  <c r="L8" i="329" s="1"/>
  <c r="N8" i="329"/>
  <c r="K8" i="329"/>
  <c r="I8" i="329" s="1"/>
  <c r="J8" i="329"/>
  <c r="H8" i="329"/>
  <c r="G8" i="329"/>
  <c r="F8" i="329" s="1"/>
  <c r="E8" i="329"/>
  <c r="D8" i="329"/>
  <c r="C8" i="329"/>
  <c r="E15" i="328"/>
  <c r="E14" i="328"/>
  <c r="E13" i="328"/>
  <c r="E12" i="328"/>
  <c r="E11" i="328"/>
  <c r="E10" i="328"/>
  <c r="E9" i="328"/>
  <c r="E8" i="328"/>
  <c r="E7" i="328"/>
  <c r="E6" i="328"/>
  <c r="D6" i="328"/>
  <c r="B6" i="328"/>
  <c r="C14" i="328" s="1"/>
  <c r="B22" i="327"/>
  <c r="B21" i="327"/>
  <c r="B20" i="327"/>
  <c r="B19" i="327"/>
  <c r="B18" i="327"/>
  <c r="B17" i="327"/>
  <c r="B16" i="327"/>
  <c r="B15" i="327"/>
  <c r="B14" i="327"/>
  <c r="B13" i="327"/>
  <c r="B12" i="327"/>
  <c r="B11" i="327"/>
  <c r="B10" i="327"/>
  <c r="B9" i="327"/>
  <c r="B8" i="327"/>
  <c r="B7" i="327"/>
  <c r="D6" i="327"/>
  <c r="B6" i="327" s="1"/>
  <c r="C6" i="327"/>
  <c r="B8" i="329" l="1"/>
  <c r="B33" i="329"/>
  <c r="L33" i="329"/>
  <c r="C7" i="328"/>
  <c r="C6" i="328" s="1"/>
  <c r="C9" i="328"/>
  <c r="C11" i="328"/>
  <c r="C13" i="328"/>
  <c r="C15" i="328"/>
  <c r="C8" i="328"/>
  <c r="C10" i="328"/>
  <c r="C12" i="328"/>
  <c r="F6" i="319" l="1"/>
  <c r="E6" i="319"/>
  <c r="D6" i="319"/>
  <c r="C6" i="319"/>
  <c r="B6" i="319"/>
  <c r="B22" i="318"/>
  <c r="B21" i="318"/>
  <c r="B20" i="318"/>
  <c r="B19" i="318"/>
  <c r="B18" i="318"/>
  <c r="B17" i="318"/>
  <c r="B16" i="318"/>
  <c r="B15" i="318"/>
  <c r="B14" i="318"/>
  <c r="B13" i="318"/>
  <c r="B12" i="318"/>
  <c r="B11" i="318"/>
  <c r="B10" i="318"/>
  <c r="B9" i="318"/>
  <c r="B8" i="318"/>
  <c r="D7" i="318"/>
  <c r="B7" i="318" s="1"/>
  <c r="B21" i="312" l="1"/>
  <c r="B20" i="312"/>
  <c r="B19" i="312"/>
  <c r="B18" i="312"/>
  <c r="B17" i="312"/>
  <c r="B16" i="312"/>
  <c r="B15" i="312"/>
  <c r="B14" i="312"/>
  <c r="B13" i="312"/>
  <c r="B12" i="312"/>
  <c r="B11" i="312"/>
  <c r="B10" i="312"/>
  <c r="B9" i="312"/>
  <c r="B8" i="312"/>
  <c r="B7" i="312"/>
  <c r="L6" i="312"/>
  <c r="K6" i="312"/>
  <c r="J6" i="312"/>
  <c r="I6" i="312"/>
  <c r="H6" i="312"/>
  <c r="G6" i="312"/>
  <c r="F6" i="312"/>
  <c r="E6" i="312"/>
  <c r="D6" i="312"/>
  <c r="B6" i="312" s="1"/>
  <c r="C6" i="312"/>
  <c r="J21" i="311"/>
  <c r="B21" i="311"/>
  <c r="B20" i="311"/>
  <c r="M19" i="311"/>
  <c r="L19" i="311"/>
  <c r="K19" i="311"/>
  <c r="J19" i="311"/>
  <c r="H19" i="311"/>
  <c r="G19" i="311"/>
  <c r="F19" i="311"/>
  <c r="E19" i="311"/>
  <c r="D19" i="311"/>
  <c r="C19" i="311"/>
  <c r="B19" i="311"/>
  <c r="B18" i="311"/>
  <c r="L17" i="311"/>
  <c r="K17" i="311"/>
  <c r="E17" i="311"/>
  <c r="D17" i="311"/>
  <c r="C17" i="311"/>
  <c r="B17" i="311" s="1"/>
  <c r="N16" i="311"/>
  <c r="N6" i="311" s="1"/>
  <c r="M16" i="311"/>
  <c r="L16" i="311"/>
  <c r="K16" i="311"/>
  <c r="H16" i="311"/>
  <c r="G16" i="311"/>
  <c r="F16" i="311"/>
  <c r="E16" i="311"/>
  <c r="D16" i="311"/>
  <c r="B16" i="311" s="1"/>
  <c r="C16" i="311"/>
  <c r="N15" i="311"/>
  <c r="M15" i="311"/>
  <c r="M6" i="311" s="1"/>
  <c r="L15" i="311"/>
  <c r="K15" i="311"/>
  <c r="H15" i="311"/>
  <c r="F15" i="311"/>
  <c r="F6" i="311" s="1"/>
  <c r="D15" i="311"/>
  <c r="C15" i="311"/>
  <c r="B15" i="311" s="1"/>
  <c r="B14" i="311"/>
  <c r="N13" i="311"/>
  <c r="M13" i="311"/>
  <c r="L13" i="311"/>
  <c r="K13" i="311"/>
  <c r="J13" i="311"/>
  <c r="I13" i="311"/>
  <c r="H13" i="311"/>
  <c r="G13" i="311"/>
  <c r="F13" i="311"/>
  <c r="E13" i="311"/>
  <c r="D13" i="311"/>
  <c r="B13" i="311"/>
  <c r="N12" i="311"/>
  <c r="M12" i="311"/>
  <c r="L12" i="311"/>
  <c r="K12" i="311"/>
  <c r="K6" i="311" s="1"/>
  <c r="J12" i="311"/>
  <c r="I12" i="311"/>
  <c r="H12" i="311"/>
  <c r="G12" i="311"/>
  <c r="G6" i="311" s="1"/>
  <c r="F12" i="311"/>
  <c r="E12" i="311"/>
  <c r="D12" i="311"/>
  <c r="C12" i="311"/>
  <c r="B12" i="311" s="1"/>
  <c r="B11" i="311"/>
  <c r="C10" i="311"/>
  <c r="B10" i="311"/>
  <c r="N9" i="311"/>
  <c r="M9" i="311"/>
  <c r="L9" i="311"/>
  <c r="J9" i="311"/>
  <c r="J6" i="311" s="1"/>
  <c r="H9" i="311"/>
  <c r="G9" i="311"/>
  <c r="F9" i="311"/>
  <c r="E9" i="311"/>
  <c r="E6" i="311" s="1"/>
  <c r="D9" i="311"/>
  <c r="C9" i="311"/>
  <c r="B9" i="311" s="1"/>
  <c r="B8" i="311"/>
  <c r="B7" i="311"/>
  <c r="L6" i="311"/>
  <c r="I6" i="311"/>
  <c r="H6" i="311"/>
  <c r="D6" i="311"/>
  <c r="B22" i="310"/>
  <c r="B21" i="310"/>
  <c r="F20" i="310"/>
  <c r="E20" i="310"/>
  <c r="C20" i="310"/>
  <c r="B20" i="310"/>
  <c r="F19" i="310"/>
  <c r="B19" i="310" s="1"/>
  <c r="B18" i="310"/>
  <c r="E17" i="310"/>
  <c r="B17" i="310" s="1"/>
  <c r="D17" i="310"/>
  <c r="C17" i="310"/>
  <c r="D16" i="310"/>
  <c r="B16" i="310" s="1"/>
  <c r="F15" i="310"/>
  <c r="E15" i="310"/>
  <c r="C15" i="310"/>
  <c r="B15" i="310" s="1"/>
  <c r="F14" i="310"/>
  <c r="E14" i="310"/>
  <c r="D14" i="310"/>
  <c r="C14" i="310"/>
  <c r="B14" i="310" s="1"/>
  <c r="F13" i="310"/>
  <c r="E13" i="310"/>
  <c r="E7" i="310" s="1"/>
  <c r="D13" i="310"/>
  <c r="B13" i="310" s="1"/>
  <c r="C12" i="310"/>
  <c r="B12" i="310"/>
  <c r="B11" i="310"/>
  <c r="F10" i="310"/>
  <c r="E10" i="310"/>
  <c r="D10" i="310"/>
  <c r="C10" i="310"/>
  <c r="B10" i="310" s="1"/>
  <c r="E9" i="310"/>
  <c r="D9" i="310"/>
  <c r="B9" i="310" s="1"/>
  <c r="C9" i="310"/>
  <c r="B8" i="310"/>
  <c r="F7" i="310"/>
  <c r="B11" i="309"/>
  <c r="B10" i="309"/>
  <c r="B9" i="309"/>
  <c r="B8" i="309"/>
  <c r="B7" i="309"/>
  <c r="H22" i="308"/>
  <c r="D22" i="308"/>
  <c r="C22" i="308"/>
  <c r="B22" i="308" s="1"/>
  <c r="B21" i="308"/>
  <c r="H20" i="308"/>
  <c r="D20" i="308"/>
  <c r="C20" i="308"/>
  <c r="B20" i="308" s="1"/>
  <c r="B19" i="308"/>
  <c r="H18" i="308"/>
  <c r="D18" i="308"/>
  <c r="C18" i="308"/>
  <c r="B18" i="308" s="1"/>
  <c r="H17" i="308"/>
  <c r="H7" i="308" s="1"/>
  <c r="F17" i="308"/>
  <c r="D17" i="308"/>
  <c r="C17" i="308"/>
  <c r="B17" i="308"/>
  <c r="H16" i="308"/>
  <c r="F16" i="308"/>
  <c r="D16" i="308"/>
  <c r="C16" i="308"/>
  <c r="B16" i="308" s="1"/>
  <c r="D15" i="308"/>
  <c r="C15" i="308"/>
  <c r="B15" i="308"/>
  <c r="H14" i="308"/>
  <c r="F14" i="308"/>
  <c r="E14" i="308"/>
  <c r="B14" i="308"/>
  <c r="H13" i="308"/>
  <c r="F13" i="308"/>
  <c r="E13" i="308"/>
  <c r="D13" i="308"/>
  <c r="C13" i="308"/>
  <c r="B13" i="308" s="1"/>
  <c r="F12" i="308"/>
  <c r="D12" i="308"/>
  <c r="C12" i="308"/>
  <c r="B12" i="308" s="1"/>
  <c r="C11" i="308"/>
  <c r="B11" i="308"/>
  <c r="H10" i="308"/>
  <c r="C10" i="308"/>
  <c r="B10" i="308" s="1"/>
  <c r="F9" i="308"/>
  <c r="F7" i="308" s="1"/>
  <c r="C9" i="308"/>
  <c r="B9" i="308" s="1"/>
  <c r="D8" i="308"/>
  <c r="B8" i="308"/>
  <c r="E7" i="308"/>
  <c r="D7" i="308"/>
  <c r="C21" i="307"/>
  <c r="C20" i="307"/>
  <c r="C19" i="307"/>
  <c r="C18" i="307"/>
  <c r="C17" i="307"/>
  <c r="C16" i="307"/>
  <c r="C15" i="307"/>
  <c r="C14" i="307"/>
  <c r="C13" i="307"/>
  <c r="C12" i="307"/>
  <c r="C11" i="307"/>
  <c r="C10" i="307"/>
  <c r="C9" i="307"/>
  <c r="C8" i="307"/>
  <c r="C6" i="307" s="1"/>
  <c r="C7" i="307"/>
  <c r="E6" i="307"/>
  <c r="D6" i="307"/>
  <c r="B6" i="307"/>
  <c r="B21" i="306"/>
  <c r="B20" i="306"/>
  <c r="B19" i="306"/>
  <c r="B18" i="306"/>
  <c r="B17" i="306"/>
  <c r="B16" i="306"/>
  <c r="B15" i="306"/>
  <c r="B14" i="306"/>
  <c r="B13" i="306"/>
  <c r="B12" i="306"/>
  <c r="B11" i="306"/>
  <c r="B10" i="306"/>
  <c r="B9" i="306"/>
  <c r="B8" i="306"/>
  <c r="B7" i="306"/>
  <c r="B6" i="306" s="1"/>
  <c r="H6" i="306"/>
  <c r="G6" i="306"/>
  <c r="F6" i="306"/>
  <c r="E6" i="306"/>
  <c r="D6" i="306"/>
  <c r="C6" i="306"/>
  <c r="K7" i="305"/>
  <c r="J7" i="305"/>
  <c r="I7" i="305"/>
  <c r="H7" i="305"/>
  <c r="G7" i="305"/>
  <c r="F7" i="305"/>
  <c r="D7" i="305"/>
  <c r="B7" i="305"/>
  <c r="F11" i="304"/>
  <c r="F8" i="304"/>
  <c r="E8" i="304"/>
  <c r="D8" i="304"/>
  <c r="C8" i="304"/>
  <c r="C5" i="304" s="1"/>
  <c r="B8" i="304"/>
  <c r="F7" i="304"/>
  <c r="E7" i="304"/>
  <c r="D7" i="304"/>
  <c r="D5" i="304" s="1"/>
  <c r="C7" i="304"/>
  <c r="B7" i="304"/>
  <c r="F6" i="304"/>
  <c r="E6" i="304"/>
  <c r="E5" i="304" s="1"/>
  <c r="D6" i="304"/>
  <c r="C6" i="304"/>
  <c r="B6" i="304"/>
  <c r="F5" i="304"/>
  <c r="B5" i="304"/>
  <c r="L9" i="303"/>
  <c r="G9" i="303"/>
  <c r="B9" i="303"/>
  <c r="L8" i="303"/>
  <c r="G8" i="303"/>
  <c r="B8" i="303"/>
  <c r="P7" i="303"/>
  <c r="O7" i="303"/>
  <c r="N7" i="303"/>
  <c r="M7" i="303"/>
  <c r="L7" i="303" s="1"/>
  <c r="K7" i="303"/>
  <c r="J7" i="303"/>
  <c r="I7" i="303"/>
  <c r="H7" i="303"/>
  <c r="G7" i="303" s="1"/>
  <c r="F7" i="303"/>
  <c r="E7" i="303"/>
  <c r="C7" i="303"/>
  <c r="D9" i="303" s="1"/>
  <c r="B6" i="302"/>
  <c r="B5" i="302" s="1"/>
  <c r="B22" i="300"/>
  <c r="B21" i="300"/>
  <c r="B20" i="300"/>
  <c r="B19" i="300"/>
  <c r="B18" i="300"/>
  <c r="B17" i="300"/>
  <c r="B16" i="300"/>
  <c r="B15" i="300"/>
  <c r="B14" i="300"/>
  <c r="B13" i="300"/>
  <c r="B12" i="300"/>
  <c r="B11" i="300"/>
  <c r="B10" i="300"/>
  <c r="B9" i="300"/>
  <c r="B8" i="300"/>
  <c r="D7" i="300"/>
  <c r="C7" i="300"/>
  <c r="B7" i="300" s="1"/>
  <c r="B21" i="299"/>
  <c r="B20" i="299"/>
  <c r="B19" i="299"/>
  <c r="B18" i="299"/>
  <c r="B17" i="299"/>
  <c r="B16" i="299"/>
  <c r="B15" i="299"/>
  <c r="B14" i="299"/>
  <c r="B13" i="299"/>
  <c r="B12" i="299"/>
  <c r="B11" i="299"/>
  <c r="B10" i="299"/>
  <c r="B9" i="299"/>
  <c r="B8" i="299"/>
  <c r="B7" i="299"/>
  <c r="D6" i="299"/>
  <c r="C6" i="299"/>
  <c r="B6" i="299" s="1"/>
  <c r="C20" i="298"/>
  <c r="C18" i="298"/>
  <c r="C16" i="298"/>
  <c r="C15" i="298"/>
  <c r="B15" i="298"/>
  <c r="C14" i="298"/>
  <c r="C13" i="298"/>
  <c r="C12" i="298"/>
  <c r="B12" i="298"/>
  <c r="C11" i="298"/>
  <c r="B11" i="298"/>
  <c r="B5" i="298" s="1"/>
  <c r="C10" i="298"/>
  <c r="C9" i="298"/>
  <c r="C8" i="298"/>
  <c r="C6" i="298"/>
  <c r="C5" i="298" s="1"/>
  <c r="F6" i="295"/>
  <c r="E6" i="295"/>
  <c r="D6" i="295"/>
  <c r="C6" i="295"/>
  <c r="B6" i="295"/>
  <c r="H16" i="294"/>
  <c r="H15" i="294"/>
  <c r="F15" i="294"/>
  <c r="H14" i="294"/>
  <c r="F14" i="294"/>
  <c r="H13" i="294"/>
  <c r="F13" i="294"/>
  <c r="H12" i="294"/>
  <c r="F12" i="294"/>
  <c r="H11" i="294"/>
  <c r="F11" i="294"/>
  <c r="H10" i="294"/>
  <c r="F10" i="294"/>
  <c r="H9" i="294"/>
  <c r="F9" i="294"/>
  <c r="H8" i="294"/>
  <c r="F8" i="294"/>
  <c r="H7" i="294"/>
  <c r="F7" i="294"/>
  <c r="F6" i="294" s="1"/>
  <c r="E8" i="296" s="1"/>
  <c r="H6" i="294"/>
  <c r="F8" i="296" s="1"/>
  <c r="G6" i="294"/>
  <c r="F7" i="296" s="1"/>
  <c r="E6" i="294"/>
  <c r="E7" i="296" s="1"/>
  <c r="E6" i="296" s="1"/>
  <c r="D6" i="294"/>
  <c r="C6" i="294"/>
  <c r="B6" i="294"/>
  <c r="E8" i="293"/>
  <c r="B8" i="293"/>
  <c r="E7" i="293"/>
  <c r="B7" i="293"/>
  <c r="G6" i="293"/>
  <c r="F6" i="293"/>
  <c r="E6" i="293" s="1"/>
  <c r="D6" i="293"/>
  <c r="C6" i="293"/>
  <c r="B6" i="293" s="1"/>
  <c r="E9" i="292"/>
  <c r="D8" i="292"/>
  <c r="E10" i="292" s="1"/>
  <c r="B8" i="292"/>
  <c r="C9" i="292" s="1"/>
  <c r="E11" i="291"/>
  <c r="E10" i="291"/>
  <c r="E9" i="291" s="1"/>
  <c r="H9" i="291"/>
  <c r="I11" i="291" s="1"/>
  <c r="F9" i="291"/>
  <c r="G11" i="291" s="1"/>
  <c r="D9" i="291"/>
  <c r="B9" i="291"/>
  <c r="C11" i="291" s="1"/>
  <c r="E8" i="291"/>
  <c r="E7" i="291"/>
  <c r="E6" i="291" s="1"/>
  <c r="H6" i="291"/>
  <c r="I8" i="291" s="1"/>
  <c r="F6" i="291"/>
  <c r="G8" i="291" s="1"/>
  <c r="D6" i="291"/>
  <c r="B6" i="291"/>
  <c r="C8" i="291" s="1"/>
  <c r="E9" i="290"/>
  <c r="C9" i="290"/>
  <c r="E8" i="290"/>
  <c r="E7" i="290" s="1"/>
  <c r="C8" i="290"/>
  <c r="C7" i="290"/>
  <c r="E9" i="289"/>
  <c r="D7" i="289"/>
  <c r="E8" i="289" s="1"/>
  <c r="E7" i="289" s="1"/>
  <c r="B7" i="289"/>
  <c r="C9" i="289" s="1"/>
  <c r="C6" i="288"/>
  <c r="B6" i="288"/>
  <c r="E17" i="286"/>
  <c r="E15" i="286"/>
  <c r="E13" i="286"/>
  <c r="E11" i="286"/>
  <c r="E9" i="286"/>
  <c r="E7" i="286"/>
  <c r="D6" i="286"/>
  <c r="E18" i="286" s="1"/>
  <c r="B6" i="286"/>
  <c r="C17" i="286" s="1"/>
  <c r="E18" i="285"/>
  <c r="E16" i="285"/>
  <c r="E14" i="285"/>
  <c r="E12" i="285"/>
  <c r="E10" i="285"/>
  <c r="E8" i="285"/>
  <c r="D6" i="285"/>
  <c r="E19" i="285" s="1"/>
  <c r="B6" i="285"/>
  <c r="C18" i="285" s="1"/>
  <c r="E8" i="284"/>
  <c r="D6" i="284"/>
  <c r="E7" i="284" s="1"/>
  <c r="E6" i="284" s="1"/>
  <c r="B6" i="284"/>
  <c r="C8" i="284" s="1"/>
  <c r="E19" i="283"/>
  <c r="E17" i="283"/>
  <c r="E15" i="283"/>
  <c r="E13" i="283"/>
  <c r="E11" i="283"/>
  <c r="E9" i="283"/>
  <c r="E7" i="283"/>
  <c r="D6" i="283"/>
  <c r="E18" i="283" s="1"/>
  <c r="B6" i="283"/>
  <c r="C19" i="283" s="1"/>
  <c r="E9" i="282"/>
  <c r="E7" i="282"/>
  <c r="D6" i="282"/>
  <c r="E10" i="282" s="1"/>
  <c r="B6" i="282"/>
  <c r="C9" i="282" s="1"/>
  <c r="C6" i="278"/>
  <c r="B6" i="278"/>
  <c r="D5" i="277"/>
  <c r="C5" i="277"/>
  <c r="B5" i="277"/>
  <c r="B6" i="276"/>
  <c r="B6" i="275"/>
  <c r="B24" i="274"/>
  <c r="B23" i="274"/>
  <c r="B22" i="274"/>
  <c r="B21" i="274"/>
  <c r="B20" i="274"/>
  <c r="D19" i="274"/>
  <c r="C19" i="274"/>
  <c r="B19" i="274"/>
  <c r="B18" i="274"/>
  <c r="B17" i="274"/>
  <c r="B16" i="274"/>
  <c r="B15" i="274"/>
  <c r="B14" i="274"/>
  <c r="D13" i="274"/>
  <c r="C13" i="274"/>
  <c r="B13" i="274"/>
  <c r="B12" i="274"/>
  <c r="B11" i="274"/>
  <c r="B10" i="274"/>
  <c r="B9" i="274"/>
  <c r="B8" i="274"/>
  <c r="D7" i="274"/>
  <c r="C7" i="274"/>
  <c r="B7" i="274"/>
  <c r="J21" i="272"/>
  <c r="F21" i="272"/>
  <c r="B21" i="272"/>
  <c r="J20" i="272"/>
  <c r="F20" i="272"/>
  <c r="B20" i="272"/>
  <c r="J19" i="272"/>
  <c r="F19" i="272"/>
  <c r="B19" i="272"/>
  <c r="J18" i="272"/>
  <c r="F18" i="272"/>
  <c r="B18" i="272"/>
  <c r="J17" i="272"/>
  <c r="F17" i="272"/>
  <c r="B17" i="272"/>
  <c r="J16" i="272"/>
  <c r="F16" i="272"/>
  <c r="B16" i="272"/>
  <c r="J15" i="272"/>
  <c r="F15" i="272"/>
  <c r="B15" i="272"/>
  <c r="J14" i="272"/>
  <c r="F14" i="272"/>
  <c r="B14" i="272"/>
  <c r="J13" i="272"/>
  <c r="F13" i="272"/>
  <c r="B13" i="272"/>
  <c r="J12" i="272"/>
  <c r="F12" i="272"/>
  <c r="B12" i="272"/>
  <c r="J11" i="272"/>
  <c r="F11" i="272"/>
  <c r="B11" i="272"/>
  <c r="J10" i="272"/>
  <c r="F10" i="272"/>
  <c r="B10" i="272"/>
  <c r="B6" i="272" s="1"/>
  <c r="J9" i="272"/>
  <c r="F9" i="272"/>
  <c r="B9" i="272"/>
  <c r="J8" i="272"/>
  <c r="J6" i="272" s="1"/>
  <c r="F8" i="272"/>
  <c r="B8" i="272"/>
  <c r="J7" i="272"/>
  <c r="F7" i="272"/>
  <c r="F6" i="272" s="1"/>
  <c r="B7" i="272"/>
  <c r="M6" i="272"/>
  <c r="L6" i="272"/>
  <c r="K6" i="272"/>
  <c r="I6" i="272"/>
  <c r="H6" i="272"/>
  <c r="G6" i="272"/>
  <c r="E6" i="272"/>
  <c r="D6" i="272"/>
  <c r="C6" i="272"/>
  <c r="E7" i="270"/>
  <c r="D7" i="270"/>
  <c r="C7" i="270"/>
  <c r="B7" i="270"/>
  <c r="E7" i="269"/>
  <c r="D7" i="269"/>
  <c r="C7" i="269"/>
  <c r="B7" i="269"/>
  <c r="E8" i="292" l="1"/>
  <c r="B6" i="311"/>
  <c r="F6" i="296"/>
  <c r="B7" i="308"/>
  <c r="C8" i="282"/>
  <c r="C10" i="282"/>
  <c r="C8" i="283"/>
  <c r="C10" i="283"/>
  <c r="C12" i="283"/>
  <c r="C14" i="283"/>
  <c r="C16" i="283"/>
  <c r="C18" i="283"/>
  <c r="C7" i="284"/>
  <c r="C6" i="284" s="1"/>
  <c r="C7" i="285"/>
  <c r="C9" i="285"/>
  <c r="C11" i="285"/>
  <c r="C13" i="285"/>
  <c r="C15" i="285"/>
  <c r="C17" i="285"/>
  <c r="C19" i="285"/>
  <c r="C8" i="286"/>
  <c r="C10" i="286"/>
  <c r="C12" i="286"/>
  <c r="C14" i="286"/>
  <c r="C16" i="286"/>
  <c r="C18" i="286"/>
  <c r="C8" i="289"/>
  <c r="C7" i="289" s="1"/>
  <c r="G7" i="291"/>
  <c r="G6" i="291" s="1"/>
  <c r="G10" i="291"/>
  <c r="G9" i="291" s="1"/>
  <c r="C10" i="292"/>
  <c r="C8" i="292" s="1"/>
  <c r="B7" i="303"/>
  <c r="D8" i="303"/>
  <c r="D7" i="303" s="1"/>
  <c r="C7" i="310"/>
  <c r="E8" i="282"/>
  <c r="E6" i="282" s="1"/>
  <c r="E8" i="283"/>
  <c r="E6" i="283" s="1"/>
  <c r="E10" i="283"/>
  <c r="E12" i="283"/>
  <c r="E14" i="283"/>
  <c r="E16" i="283"/>
  <c r="E7" i="285"/>
  <c r="E9" i="285"/>
  <c r="E11" i="285"/>
  <c r="E13" i="285"/>
  <c r="E15" i="285"/>
  <c r="E17" i="285"/>
  <c r="E8" i="286"/>
  <c r="E6" i="286" s="1"/>
  <c r="E10" i="286"/>
  <c r="E12" i="286"/>
  <c r="E14" i="286"/>
  <c r="E16" i="286"/>
  <c r="I7" i="291"/>
  <c r="I6" i="291" s="1"/>
  <c r="I10" i="291"/>
  <c r="I9" i="291" s="1"/>
  <c r="D7" i="310"/>
  <c r="C7" i="282"/>
  <c r="C6" i="282" s="1"/>
  <c r="C7" i="283"/>
  <c r="C9" i="283"/>
  <c r="C11" i="283"/>
  <c r="C13" i="283"/>
  <c r="C15" i="283"/>
  <c r="C17" i="283"/>
  <c r="C8" i="285"/>
  <c r="C10" i="285"/>
  <c r="C12" i="285"/>
  <c r="C14" i="285"/>
  <c r="C16" i="285"/>
  <c r="C7" i="286"/>
  <c r="C9" i="286"/>
  <c r="C11" i="286"/>
  <c r="C13" i="286"/>
  <c r="C15" i="286"/>
  <c r="C7" i="291"/>
  <c r="C6" i="291" s="1"/>
  <c r="C10" i="291"/>
  <c r="C9" i="291" s="1"/>
  <c r="C7" i="308"/>
  <c r="C6" i="311"/>
  <c r="E6" i="285" l="1"/>
  <c r="C6" i="283"/>
  <c r="C6" i="286"/>
  <c r="C6" i="285"/>
  <c r="B7" i="310"/>
  <c r="E25" i="260" l="1"/>
  <c r="D25" i="260"/>
  <c r="C25" i="260"/>
  <c r="B25" i="260"/>
  <c r="E22" i="260"/>
  <c r="D22" i="260"/>
  <c r="C22" i="260"/>
  <c r="B22" i="260"/>
  <c r="E6" i="260"/>
  <c r="D6" i="260"/>
  <c r="C6" i="260"/>
  <c r="B6" i="260"/>
  <c r="C6" i="259"/>
  <c r="B6" i="259"/>
  <c r="B21" i="257"/>
  <c r="B20" i="257"/>
  <c r="B19" i="257"/>
  <c r="B18" i="257"/>
  <c r="B17" i="257"/>
  <c r="B16" i="257"/>
  <c r="B15" i="257"/>
  <c r="B14" i="257"/>
  <c r="B13" i="257"/>
  <c r="B12" i="257"/>
  <c r="B11" i="257"/>
  <c r="B10" i="257"/>
  <c r="B9" i="257"/>
  <c r="B8" i="257"/>
  <c r="B6" i="257" s="1"/>
  <c r="B7" i="257"/>
  <c r="N6" i="257"/>
  <c r="M6" i="257"/>
  <c r="L6" i="257"/>
  <c r="K6" i="257"/>
  <c r="J6" i="257"/>
  <c r="I6" i="257"/>
  <c r="H6" i="257"/>
  <c r="G6" i="257"/>
  <c r="F6" i="257"/>
  <c r="E6" i="257"/>
  <c r="D6" i="257"/>
  <c r="C6" i="257"/>
  <c r="C11" i="256"/>
  <c r="C10" i="256"/>
  <c r="C9" i="256"/>
  <c r="C8" i="256"/>
  <c r="C7" i="256"/>
  <c r="C22" i="255"/>
  <c r="C21" i="255"/>
  <c r="C20" i="255"/>
  <c r="C19" i="255"/>
  <c r="C18" i="255"/>
  <c r="C17" i="255"/>
  <c r="C16" i="255"/>
  <c r="C15" i="255"/>
  <c r="C14" i="255"/>
  <c r="C13" i="255"/>
  <c r="C12" i="255"/>
  <c r="C11" i="255"/>
  <c r="C10" i="255"/>
  <c r="C9" i="255"/>
  <c r="C8" i="255"/>
  <c r="E7" i="255"/>
  <c r="D7" i="255"/>
  <c r="B7" i="255"/>
  <c r="J6" i="253"/>
  <c r="H6" i="253"/>
  <c r="F6" i="253"/>
  <c r="D6" i="253"/>
  <c r="B6" i="253"/>
  <c r="K18" i="252"/>
  <c r="C18" i="252"/>
  <c r="G17" i="252"/>
  <c r="E17" i="252"/>
  <c r="G16" i="252"/>
  <c r="K15" i="252"/>
  <c r="I15" i="252"/>
  <c r="C15" i="252"/>
  <c r="K14" i="252"/>
  <c r="C14" i="252"/>
  <c r="G13" i="252"/>
  <c r="E13" i="252"/>
  <c r="G12" i="252"/>
  <c r="K11" i="252"/>
  <c r="I11" i="252"/>
  <c r="C11" i="252"/>
  <c r="K10" i="252"/>
  <c r="C10" i="252"/>
  <c r="G9" i="252"/>
  <c r="E9" i="252"/>
  <c r="G8" i="252"/>
  <c r="K7" i="252"/>
  <c r="I7" i="252"/>
  <c r="C7" i="252"/>
  <c r="K6" i="252"/>
  <c r="J6" i="252"/>
  <c r="K17" i="252" s="1"/>
  <c r="H6" i="252"/>
  <c r="I18" i="252" s="1"/>
  <c r="G6" i="252"/>
  <c r="F6" i="252"/>
  <c r="G15" i="252" s="1"/>
  <c r="D6" i="252"/>
  <c r="E16" i="252" s="1"/>
  <c r="C6" i="252"/>
  <c r="B6" i="252"/>
  <c r="C17" i="252" s="1"/>
  <c r="I20" i="251"/>
  <c r="K18" i="251"/>
  <c r="I17" i="251"/>
  <c r="I16" i="251"/>
  <c r="K14" i="251"/>
  <c r="I13" i="251"/>
  <c r="I12" i="251"/>
  <c r="I9" i="251"/>
  <c r="I8" i="251"/>
  <c r="K6" i="251"/>
  <c r="J5" i="251"/>
  <c r="H5" i="251"/>
  <c r="I18" i="251" s="1"/>
  <c r="G5" i="251"/>
  <c r="F5" i="251"/>
  <c r="E5" i="251"/>
  <c r="D5" i="251"/>
  <c r="B5" i="251"/>
  <c r="F51" i="250"/>
  <c r="H50" i="250"/>
  <c r="D48" i="250"/>
  <c r="L44" i="250"/>
  <c r="D44" i="250"/>
  <c r="L40" i="250"/>
  <c r="H38" i="250"/>
  <c r="H34" i="250"/>
  <c r="D32" i="250"/>
  <c r="L28" i="250"/>
  <c r="D28" i="250"/>
  <c r="H26" i="250"/>
  <c r="L25" i="250"/>
  <c r="L24" i="250"/>
  <c r="F24" i="250"/>
  <c r="F23" i="250"/>
  <c r="D21" i="250"/>
  <c r="D20" i="250"/>
  <c r="H19" i="250"/>
  <c r="H18" i="250"/>
  <c r="L17" i="250"/>
  <c r="L16" i="250"/>
  <c r="J14" i="250"/>
  <c r="J13" i="250"/>
  <c r="D13" i="250"/>
  <c r="D12" i="250"/>
  <c r="H11" i="250"/>
  <c r="H10" i="250"/>
  <c r="L9" i="250"/>
  <c r="D9" i="250"/>
  <c r="L8" i="250"/>
  <c r="D8" i="250"/>
  <c r="L7" i="250"/>
  <c r="F7" i="250"/>
  <c r="D7" i="250"/>
  <c r="K6" i="250"/>
  <c r="I6" i="250"/>
  <c r="G6" i="250"/>
  <c r="E6" i="250"/>
  <c r="F35" i="250" s="1"/>
  <c r="C6" i="250"/>
  <c r="K17" i="249"/>
  <c r="I17" i="249"/>
  <c r="I16" i="249"/>
  <c r="K15" i="249"/>
  <c r="I15" i="249"/>
  <c r="I14" i="249"/>
  <c r="K13" i="249"/>
  <c r="I13" i="249"/>
  <c r="C13" i="249"/>
  <c r="K12" i="249"/>
  <c r="I12" i="249"/>
  <c r="C12" i="249"/>
  <c r="I11" i="249"/>
  <c r="C11" i="249"/>
  <c r="K10" i="249"/>
  <c r="I10" i="249"/>
  <c r="C10" i="249"/>
  <c r="K9" i="249"/>
  <c r="I9" i="249"/>
  <c r="C9" i="249"/>
  <c r="K8" i="249"/>
  <c r="I8" i="249"/>
  <c r="C8" i="249"/>
  <c r="I7" i="249"/>
  <c r="C7" i="249"/>
  <c r="J6" i="249"/>
  <c r="K16" i="249" s="1"/>
  <c r="H6" i="249"/>
  <c r="F6" i="249"/>
  <c r="G17" i="249" s="1"/>
  <c r="D6" i="249"/>
  <c r="B6" i="249"/>
  <c r="C17" i="249" s="1"/>
  <c r="I13" i="247"/>
  <c r="G13" i="247"/>
  <c r="I11" i="247"/>
  <c r="I10" i="247"/>
  <c r="I9" i="247"/>
  <c r="I8" i="247"/>
  <c r="I7" i="247"/>
  <c r="J6" i="247"/>
  <c r="K10" i="247" s="1"/>
  <c r="H6" i="247"/>
  <c r="F6" i="247"/>
  <c r="D6" i="247"/>
  <c r="E13" i="247" s="1"/>
  <c r="B6" i="247"/>
  <c r="K9" i="246"/>
  <c r="I9" i="246"/>
  <c r="I8" i="246"/>
  <c r="J6" i="246"/>
  <c r="K7" i="246" s="1"/>
  <c r="H6" i="246"/>
  <c r="I7" i="246" s="1"/>
  <c r="F6" i="246"/>
  <c r="D6" i="246"/>
  <c r="B6" i="246"/>
  <c r="C9" i="246" s="1"/>
  <c r="K10" i="245"/>
  <c r="C10" i="245"/>
  <c r="G9" i="245"/>
  <c r="I8" i="245"/>
  <c r="G8" i="245"/>
  <c r="K7" i="245"/>
  <c r="C7" i="245"/>
  <c r="J6" i="245"/>
  <c r="K9" i="245" s="1"/>
  <c r="H6" i="245"/>
  <c r="F6" i="245"/>
  <c r="G7" i="245" s="1"/>
  <c r="D6" i="245"/>
  <c r="E10" i="245" s="1"/>
  <c r="B6" i="245"/>
  <c r="C9" i="245" s="1"/>
  <c r="G21" i="244"/>
  <c r="K20" i="244"/>
  <c r="C20" i="244"/>
  <c r="K19" i="244"/>
  <c r="C19" i="244"/>
  <c r="G18" i="244"/>
  <c r="E18" i="244"/>
  <c r="G17" i="244"/>
  <c r="K16" i="244"/>
  <c r="I16" i="244"/>
  <c r="C16" i="244"/>
  <c r="K15" i="244"/>
  <c r="C15" i="244"/>
  <c r="G14" i="244"/>
  <c r="G13" i="244"/>
  <c r="K12" i="244"/>
  <c r="C12" i="244"/>
  <c r="K11" i="244"/>
  <c r="C11" i="244"/>
  <c r="G10" i="244"/>
  <c r="E10" i="244"/>
  <c r="G9" i="244"/>
  <c r="K8" i="244"/>
  <c r="I8" i="244"/>
  <c r="C8" i="244"/>
  <c r="K7" i="244"/>
  <c r="E7" i="244"/>
  <c r="C7" i="244"/>
  <c r="J6" i="244"/>
  <c r="K18" i="244" s="1"/>
  <c r="H6" i="244"/>
  <c r="F6" i="244"/>
  <c r="G20" i="244" s="1"/>
  <c r="D6" i="244"/>
  <c r="E15" i="244" s="1"/>
  <c r="B6" i="244"/>
  <c r="C18" i="244" s="1"/>
  <c r="E17" i="243"/>
  <c r="I15" i="243"/>
  <c r="E9" i="243"/>
  <c r="E8" i="243"/>
  <c r="I7" i="243"/>
  <c r="J6" i="243"/>
  <c r="H6" i="243"/>
  <c r="I14" i="243" s="1"/>
  <c r="F6" i="243"/>
  <c r="G16" i="243" s="1"/>
  <c r="D6" i="243"/>
  <c r="E16" i="243" s="1"/>
  <c r="B6" i="243"/>
  <c r="C21" i="243" s="1"/>
  <c r="F7" i="242"/>
  <c r="E7" i="242"/>
  <c r="D7" i="242"/>
  <c r="C7" i="242"/>
  <c r="C6" i="242" s="1"/>
  <c r="B7" i="242"/>
  <c r="F6" i="242"/>
  <c r="E6" i="242"/>
  <c r="D6" i="242"/>
  <c r="B6" i="242"/>
  <c r="F7" i="241"/>
  <c r="E7" i="241"/>
  <c r="E6" i="241" s="1"/>
  <c r="D7" i="241"/>
  <c r="C7" i="241"/>
  <c r="B7" i="241"/>
  <c r="F6" i="241"/>
  <c r="D6" i="241"/>
  <c r="C6" i="241"/>
  <c r="B6" i="241"/>
  <c r="B6" i="239"/>
  <c r="F6" i="238"/>
  <c r="E6" i="238"/>
  <c r="D6" i="238"/>
  <c r="C6" i="238"/>
  <c r="B6" i="238"/>
  <c r="F6" i="237"/>
  <c r="E6" i="237"/>
  <c r="D6" i="237"/>
  <c r="C6" i="237"/>
  <c r="B6" i="237"/>
  <c r="B21" i="235"/>
  <c r="B20" i="235"/>
  <c r="B19" i="235"/>
  <c r="B18" i="235"/>
  <c r="B17" i="235"/>
  <c r="B16" i="235"/>
  <c r="B15" i="235"/>
  <c r="B14" i="235"/>
  <c r="B13" i="235"/>
  <c r="B12" i="235"/>
  <c r="B11" i="235"/>
  <c r="B10" i="235"/>
  <c r="B9" i="235"/>
  <c r="B6" i="235" s="1"/>
  <c r="B8" i="235"/>
  <c r="B7" i="235"/>
  <c r="F6" i="235"/>
  <c r="E6" i="235"/>
  <c r="D6" i="235"/>
  <c r="C6" i="235"/>
  <c r="F6" i="233"/>
  <c r="E6" i="233"/>
  <c r="D6" i="233"/>
  <c r="C6" i="233"/>
  <c r="B6" i="233"/>
  <c r="E6" i="228"/>
  <c r="D6" i="228"/>
  <c r="C6" i="228"/>
  <c r="B6" i="228"/>
  <c r="E6" i="227"/>
  <c r="D6" i="227"/>
  <c r="C6" i="227"/>
  <c r="B6" i="227"/>
  <c r="E6" i="226"/>
  <c r="D6" i="226"/>
  <c r="C6" i="226"/>
  <c r="B6" i="226"/>
  <c r="D11" i="225"/>
  <c r="D7" i="225"/>
  <c r="C5" i="225"/>
  <c r="D14" i="225" s="1"/>
  <c r="B5" i="225"/>
  <c r="F6" i="223"/>
  <c r="E6" i="223"/>
  <c r="D6" i="223"/>
  <c r="C6" i="223"/>
  <c r="B6" i="223"/>
  <c r="C20" i="222"/>
  <c r="C19" i="222"/>
  <c r="C18" i="222"/>
  <c r="C17" i="222"/>
  <c r="C16" i="222"/>
  <c r="C15" i="222"/>
  <c r="C14" i="222"/>
  <c r="C13" i="222"/>
  <c r="C12" i="222"/>
  <c r="C11" i="222"/>
  <c r="C10" i="222"/>
  <c r="C9" i="222"/>
  <c r="C8" i="222"/>
  <c r="C7" i="222"/>
  <c r="C6" i="222"/>
  <c r="C5" i="222" s="1"/>
  <c r="D5" i="222"/>
  <c r="B5" i="222"/>
  <c r="G6" i="245" l="1"/>
  <c r="K20" i="243"/>
  <c r="K16" i="243"/>
  <c r="K12" i="243"/>
  <c r="K8" i="243"/>
  <c r="K19" i="243"/>
  <c r="K15" i="243"/>
  <c r="K11" i="243"/>
  <c r="K7" i="243"/>
  <c r="G12" i="243"/>
  <c r="F28" i="243"/>
  <c r="D8" i="225"/>
  <c r="D12" i="225"/>
  <c r="K9" i="243"/>
  <c r="G11" i="243"/>
  <c r="C13" i="243"/>
  <c r="K17" i="243"/>
  <c r="G19" i="243"/>
  <c r="I19" i="244"/>
  <c r="I15" i="244"/>
  <c r="I11" i="244"/>
  <c r="I7" i="244"/>
  <c r="I18" i="244"/>
  <c r="I14" i="244"/>
  <c r="I10" i="244"/>
  <c r="I13" i="244"/>
  <c r="I21" i="244"/>
  <c r="K8" i="247"/>
  <c r="F47" i="250"/>
  <c r="C20" i="243"/>
  <c r="C16" i="243"/>
  <c r="C12" i="243"/>
  <c r="C8" i="243"/>
  <c r="C19" i="243"/>
  <c r="C15" i="243"/>
  <c r="C11" i="243"/>
  <c r="K10" i="243"/>
  <c r="C14" i="243"/>
  <c r="K18" i="243"/>
  <c r="K13" i="247"/>
  <c r="K12" i="247"/>
  <c r="D9" i="225"/>
  <c r="D13" i="225"/>
  <c r="E19" i="243"/>
  <c r="E15" i="243"/>
  <c r="E11" i="243"/>
  <c r="E7" i="243"/>
  <c r="E18" i="243"/>
  <c r="E14" i="243"/>
  <c r="E10" i="243"/>
  <c r="I21" i="243"/>
  <c r="I17" i="243"/>
  <c r="I13" i="243"/>
  <c r="I9" i="243"/>
  <c r="I20" i="243"/>
  <c r="I16" i="243"/>
  <c r="I12" i="243"/>
  <c r="I8" i="243"/>
  <c r="C7" i="243"/>
  <c r="G8" i="243"/>
  <c r="C10" i="243"/>
  <c r="I11" i="243"/>
  <c r="E13" i="243"/>
  <c r="K14" i="243"/>
  <c r="C18" i="243"/>
  <c r="I19" i="243"/>
  <c r="E21" i="243"/>
  <c r="E21" i="244"/>
  <c r="E17" i="244"/>
  <c r="E13" i="244"/>
  <c r="E9" i="244"/>
  <c r="E20" i="244"/>
  <c r="E16" i="244"/>
  <c r="E12" i="244"/>
  <c r="E8" i="244"/>
  <c r="E6" i="244" s="1"/>
  <c r="I12" i="244"/>
  <c r="E14" i="244"/>
  <c r="I20" i="244"/>
  <c r="C7" i="246"/>
  <c r="G11" i="247"/>
  <c r="G10" i="247"/>
  <c r="G9" i="247"/>
  <c r="G8" i="247"/>
  <c r="G7" i="247"/>
  <c r="I6" i="247"/>
  <c r="J48" i="250"/>
  <c r="J44" i="250"/>
  <c r="J40" i="250"/>
  <c r="J36" i="250"/>
  <c r="J32" i="250"/>
  <c r="J28" i="250"/>
  <c r="J24" i="250"/>
  <c r="J20" i="250"/>
  <c r="J16" i="250"/>
  <c r="J12" i="250"/>
  <c r="J51" i="250"/>
  <c r="J47" i="250"/>
  <c r="J43" i="250"/>
  <c r="J39" i="250"/>
  <c r="J35" i="250"/>
  <c r="J31" i="250"/>
  <c r="J27" i="250"/>
  <c r="J23" i="250"/>
  <c r="J19" i="250"/>
  <c r="J15" i="250"/>
  <c r="J11" i="250"/>
  <c r="J50" i="250"/>
  <c r="J46" i="250"/>
  <c r="J42" i="250"/>
  <c r="J38" i="250"/>
  <c r="J34" i="250"/>
  <c r="J30" i="250"/>
  <c r="J49" i="250"/>
  <c r="J33" i="250"/>
  <c r="J25" i="250"/>
  <c r="J17" i="250"/>
  <c r="J9" i="250"/>
  <c r="J8" i="250"/>
  <c r="J7" i="250"/>
  <c r="J45" i="250"/>
  <c r="J29" i="250"/>
  <c r="J26" i="250"/>
  <c r="J18" i="250"/>
  <c r="J10" i="250"/>
  <c r="F15" i="250"/>
  <c r="J21" i="250"/>
  <c r="J41" i="250"/>
  <c r="G18" i="243"/>
  <c r="G14" i="243"/>
  <c r="G10" i="243"/>
  <c r="G21" i="243"/>
  <c r="G17" i="243"/>
  <c r="G13" i="243"/>
  <c r="G9" i="243"/>
  <c r="G20" i="243"/>
  <c r="E8" i="245"/>
  <c r="E7" i="245"/>
  <c r="D6" i="225"/>
  <c r="D10" i="225"/>
  <c r="G7" i="243"/>
  <c r="C9" i="243"/>
  <c r="I10" i="243"/>
  <c r="I6" i="243" s="1"/>
  <c r="E12" i="243"/>
  <c r="K13" i="243"/>
  <c r="G15" i="243"/>
  <c r="C17" i="243"/>
  <c r="I18" i="243"/>
  <c r="E20" i="243"/>
  <c r="K21" i="243"/>
  <c r="I9" i="244"/>
  <c r="E11" i="244"/>
  <c r="I17" i="244"/>
  <c r="E19" i="244"/>
  <c r="I10" i="245"/>
  <c r="I9" i="245"/>
  <c r="I7" i="245"/>
  <c r="E9" i="245"/>
  <c r="I6" i="246"/>
  <c r="C8" i="246"/>
  <c r="K7" i="247"/>
  <c r="K9" i="247"/>
  <c r="K11" i="247"/>
  <c r="K7" i="249"/>
  <c r="K6" i="249" s="1"/>
  <c r="K11" i="249"/>
  <c r="K14" i="249"/>
  <c r="F50" i="250"/>
  <c r="F46" i="250"/>
  <c r="F42" i="250"/>
  <c r="F38" i="250"/>
  <c r="F34" i="250"/>
  <c r="F30" i="250"/>
  <c r="F26" i="250"/>
  <c r="F22" i="250"/>
  <c r="F18" i="250"/>
  <c r="F14" i="250"/>
  <c r="F10" i="250"/>
  <c r="F49" i="250"/>
  <c r="F45" i="250"/>
  <c r="F41" i="250"/>
  <c r="F37" i="250"/>
  <c r="F33" i="250"/>
  <c r="F29" i="250"/>
  <c r="F25" i="250"/>
  <c r="F21" i="250"/>
  <c r="F17" i="250"/>
  <c r="F13" i="250"/>
  <c r="F9" i="250"/>
  <c r="F48" i="250"/>
  <c r="F44" i="250"/>
  <c r="F40" i="250"/>
  <c r="F36" i="250"/>
  <c r="F32" i="250"/>
  <c r="F28" i="250"/>
  <c r="F43" i="250"/>
  <c r="F27" i="250"/>
  <c r="F19" i="250"/>
  <c r="F11" i="250"/>
  <c r="F39" i="250"/>
  <c r="F20" i="250"/>
  <c r="F12" i="250"/>
  <c r="F8" i="250"/>
  <c r="F16" i="250"/>
  <c r="J22" i="250"/>
  <c r="F31" i="250"/>
  <c r="J37" i="250"/>
  <c r="K19" i="251"/>
  <c r="K15" i="251"/>
  <c r="K11" i="251"/>
  <c r="K7" i="251"/>
  <c r="K5" i="251" s="1"/>
  <c r="K20" i="251"/>
  <c r="K16" i="251"/>
  <c r="K12" i="251"/>
  <c r="K8" i="251"/>
  <c r="K17" i="251"/>
  <c r="K13" i="251"/>
  <c r="K9" i="251"/>
  <c r="K10" i="251"/>
  <c r="G7" i="244"/>
  <c r="G6" i="244" s="1"/>
  <c r="C9" i="244"/>
  <c r="C6" i="244" s="1"/>
  <c r="K9" i="244"/>
  <c r="K6" i="244" s="1"/>
  <c r="G11" i="244"/>
  <c r="C13" i="244"/>
  <c r="K13" i="244"/>
  <c r="G15" i="244"/>
  <c r="C17" i="244"/>
  <c r="K17" i="244"/>
  <c r="G19" i="244"/>
  <c r="C21" i="244"/>
  <c r="K21" i="244"/>
  <c r="C8" i="245"/>
  <c r="C6" i="245" s="1"/>
  <c r="K8" i="245"/>
  <c r="K6" i="245" s="1"/>
  <c r="G10" i="245"/>
  <c r="K8" i="246"/>
  <c r="K6" i="246" s="1"/>
  <c r="E7" i="247"/>
  <c r="E8" i="247"/>
  <c r="E9" i="247"/>
  <c r="E10" i="247"/>
  <c r="E11" i="247"/>
  <c r="C14" i="249"/>
  <c r="C15" i="249"/>
  <c r="C16" i="249"/>
  <c r="D51" i="250"/>
  <c r="D47" i="250"/>
  <c r="D43" i="250"/>
  <c r="D39" i="250"/>
  <c r="D35" i="250"/>
  <c r="D31" i="250"/>
  <c r="D27" i="250"/>
  <c r="D23" i="250"/>
  <c r="D19" i="250"/>
  <c r="D15" i="250"/>
  <c r="D11" i="250"/>
  <c r="D50" i="250"/>
  <c r="D46" i="250"/>
  <c r="D42" i="250"/>
  <c r="D38" i="250"/>
  <c r="D34" i="250"/>
  <c r="D30" i="250"/>
  <c r="D26" i="250"/>
  <c r="D22" i="250"/>
  <c r="D18" i="250"/>
  <c r="D14" i="250"/>
  <c r="D10" i="250"/>
  <c r="D6" i="250" s="1"/>
  <c r="D49" i="250"/>
  <c r="D45" i="250"/>
  <c r="D41" i="250"/>
  <c r="D37" i="250"/>
  <c r="D33" i="250"/>
  <c r="D29" i="250"/>
  <c r="H49" i="250"/>
  <c r="H45" i="250"/>
  <c r="H41" i="250"/>
  <c r="H37" i="250"/>
  <c r="H33" i="250"/>
  <c r="H29" i="250"/>
  <c r="H25" i="250"/>
  <c r="H21" i="250"/>
  <c r="H17" i="250"/>
  <c r="H13" i="250"/>
  <c r="H48" i="250"/>
  <c r="H44" i="250"/>
  <c r="H40" i="250"/>
  <c r="H36" i="250"/>
  <c r="H32" i="250"/>
  <c r="H28" i="250"/>
  <c r="H24" i="250"/>
  <c r="H20" i="250"/>
  <c r="H16" i="250"/>
  <c r="H12" i="250"/>
  <c r="H8" i="250"/>
  <c r="H51" i="250"/>
  <c r="H47" i="250"/>
  <c r="H43" i="250"/>
  <c r="H39" i="250"/>
  <c r="H35" i="250"/>
  <c r="H31" i="250"/>
  <c r="H27" i="250"/>
  <c r="L51" i="250"/>
  <c r="L47" i="250"/>
  <c r="L43" i="250"/>
  <c r="L39" i="250"/>
  <c r="L35" i="250"/>
  <c r="L31" i="250"/>
  <c r="L27" i="250"/>
  <c r="L23" i="250"/>
  <c r="L19" i="250"/>
  <c r="L15" i="250"/>
  <c r="L11" i="250"/>
  <c r="L50" i="250"/>
  <c r="L46" i="250"/>
  <c r="L42" i="250"/>
  <c r="L38" i="250"/>
  <c r="L34" i="250"/>
  <c r="L30" i="250"/>
  <c r="L26" i="250"/>
  <c r="L22" i="250"/>
  <c r="L18" i="250"/>
  <c r="L14" i="250"/>
  <c r="L10" i="250"/>
  <c r="L6" i="250" s="1"/>
  <c r="L49" i="250"/>
  <c r="L45" i="250"/>
  <c r="L41" i="250"/>
  <c r="L37" i="250"/>
  <c r="L33" i="250"/>
  <c r="L29" i="250"/>
  <c r="H7" i="250"/>
  <c r="H9" i="250"/>
  <c r="L13" i="250"/>
  <c r="H15" i="250"/>
  <c r="D17" i="250"/>
  <c r="L21" i="250"/>
  <c r="H23" i="250"/>
  <c r="D25" i="250"/>
  <c r="L32" i="250"/>
  <c r="D36" i="250"/>
  <c r="H42" i="250"/>
  <c r="L48" i="250"/>
  <c r="C17" i="251"/>
  <c r="C13" i="251"/>
  <c r="C9" i="251"/>
  <c r="C18" i="251"/>
  <c r="C14" i="251"/>
  <c r="C10" i="251"/>
  <c r="C6" i="251"/>
  <c r="C19" i="251"/>
  <c r="C15" i="251"/>
  <c r="C11" i="251"/>
  <c r="C7" i="251"/>
  <c r="C8" i="251"/>
  <c r="C12" i="251"/>
  <c r="C16" i="251"/>
  <c r="C20" i="251"/>
  <c r="G8" i="244"/>
  <c r="C10" i="244"/>
  <c r="K10" i="244"/>
  <c r="G12" i="244"/>
  <c r="C14" i="244"/>
  <c r="K14" i="244"/>
  <c r="G16" i="244"/>
  <c r="G7" i="249"/>
  <c r="G8" i="249"/>
  <c r="G9" i="249"/>
  <c r="G10" i="249"/>
  <c r="G11" i="249"/>
  <c r="G12" i="249"/>
  <c r="G13" i="249"/>
  <c r="G14" i="249"/>
  <c r="G15" i="249"/>
  <c r="G16" i="249"/>
  <c r="L12" i="250"/>
  <c r="H14" i="250"/>
  <c r="D16" i="250"/>
  <c r="L20" i="250"/>
  <c r="H22" i="250"/>
  <c r="D24" i="250"/>
  <c r="H30" i="250"/>
  <c r="L36" i="250"/>
  <c r="D40" i="250"/>
  <c r="H46" i="250"/>
  <c r="C7" i="255"/>
  <c r="I8" i="252"/>
  <c r="E10" i="252"/>
  <c r="I12" i="252"/>
  <c r="E14" i="252"/>
  <c r="I16" i="252"/>
  <c r="E18" i="252"/>
  <c r="I7" i="251"/>
  <c r="I11" i="251"/>
  <c r="I15" i="251"/>
  <c r="I19" i="251"/>
  <c r="E6" i="252"/>
  <c r="I6" i="252"/>
  <c r="E7" i="252"/>
  <c r="C8" i="252"/>
  <c r="K8" i="252"/>
  <c r="I9" i="252"/>
  <c r="G10" i="252"/>
  <c r="E11" i="252"/>
  <c r="C12" i="252"/>
  <c r="K12" i="252"/>
  <c r="I13" i="252"/>
  <c r="G14" i="252"/>
  <c r="E15" i="252"/>
  <c r="C16" i="252"/>
  <c r="K16" i="252"/>
  <c r="I17" i="252"/>
  <c r="G18" i="252"/>
  <c r="I6" i="251"/>
  <c r="I10" i="251"/>
  <c r="I14" i="251"/>
  <c r="G7" i="252"/>
  <c r="E8" i="252"/>
  <c r="C9" i="252"/>
  <c r="K9" i="252"/>
  <c r="I10" i="252"/>
  <c r="G11" i="252"/>
  <c r="E12" i="252"/>
  <c r="C13" i="252"/>
  <c r="K13" i="252"/>
  <c r="I14" i="252"/>
  <c r="D5" i="225" l="1"/>
  <c r="J6" i="250"/>
  <c r="C6" i="246"/>
  <c r="I6" i="244"/>
  <c r="H6" i="250"/>
  <c r="E6" i="247"/>
  <c r="I5" i="251"/>
  <c r="C5" i="251"/>
  <c r="F6" i="250"/>
  <c r="C6" i="243"/>
  <c r="E6" i="243"/>
  <c r="K6" i="243"/>
  <c r="C6" i="249"/>
  <c r="K6" i="247"/>
  <c r="I6" i="245"/>
  <c r="G6" i="243"/>
  <c r="E6" i="245"/>
  <c r="B21" i="218" l="1"/>
  <c r="B20" i="218"/>
  <c r="B19" i="218"/>
  <c r="B18" i="218"/>
  <c r="B17" i="218"/>
  <c r="B16" i="218"/>
  <c r="B15" i="218"/>
  <c r="B14" i="218"/>
  <c r="B13" i="218"/>
  <c r="B12" i="218"/>
  <c r="B11" i="218"/>
  <c r="B10" i="218"/>
  <c r="B9" i="218"/>
  <c r="B8" i="218"/>
  <c r="B7" i="218"/>
  <c r="N6" i="218"/>
  <c r="M6" i="218"/>
  <c r="L6" i="218"/>
  <c r="K6" i="218"/>
  <c r="J6" i="218"/>
  <c r="I6" i="218"/>
  <c r="H6" i="218"/>
  <c r="G6" i="218"/>
  <c r="F6" i="218"/>
  <c r="E6" i="218"/>
  <c r="D6" i="218"/>
  <c r="C6" i="218"/>
  <c r="B11" i="217"/>
  <c r="B10" i="217"/>
  <c r="B9" i="217"/>
  <c r="B8" i="217"/>
  <c r="B7" i="217"/>
  <c r="B22" i="216"/>
  <c r="B21" i="216"/>
  <c r="B20" i="216"/>
  <c r="B19" i="216"/>
  <c r="B18" i="216"/>
  <c r="B17" i="216"/>
  <c r="B16" i="216"/>
  <c r="B15" i="216"/>
  <c r="B14" i="216"/>
  <c r="B13" i="216"/>
  <c r="B12" i="216"/>
  <c r="B11" i="216"/>
  <c r="B10" i="216"/>
  <c r="B9" i="216"/>
  <c r="B8" i="216"/>
  <c r="D7" i="216"/>
  <c r="C7" i="216"/>
  <c r="B7" i="216"/>
  <c r="B11" i="215"/>
  <c r="B10" i="215"/>
  <c r="B9" i="215"/>
  <c r="B8" i="215"/>
  <c r="B7" i="215"/>
  <c r="B22" i="214"/>
  <c r="B21" i="214"/>
  <c r="B20" i="214"/>
  <c r="B19" i="214"/>
  <c r="B18" i="214"/>
  <c r="B17" i="214"/>
  <c r="B16" i="214"/>
  <c r="B15" i="214"/>
  <c r="B14" i="214"/>
  <c r="B13" i="214"/>
  <c r="B12" i="214"/>
  <c r="B11" i="214"/>
  <c r="B10" i="214"/>
  <c r="B9" i="214"/>
  <c r="B8" i="214"/>
  <c r="D7" i="214"/>
  <c r="C7" i="214"/>
  <c r="B7" i="214"/>
  <c r="B5" i="213"/>
  <c r="B5" i="212"/>
  <c r="B11" i="211"/>
  <c r="B10" i="211"/>
  <c r="B9" i="211"/>
  <c r="B8" i="211"/>
  <c r="B7" i="211"/>
  <c r="B22" i="210"/>
  <c r="B21" i="210"/>
  <c r="B20" i="210"/>
  <c r="B19" i="210"/>
  <c r="B18" i="210"/>
  <c r="B17" i="210"/>
  <c r="B16" i="210"/>
  <c r="B15" i="210"/>
  <c r="B14" i="210"/>
  <c r="B13" i="210"/>
  <c r="B12" i="210"/>
  <c r="B11" i="210"/>
  <c r="B10" i="210"/>
  <c r="B9" i="210"/>
  <c r="B8" i="210"/>
  <c r="D7" i="210"/>
  <c r="C7" i="210"/>
  <c r="B7" i="210"/>
  <c r="K6" i="209"/>
  <c r="J6" i="209"/>
  <c r="I6" i="209"/>
  <c r="H6" i="209"/>
  <c r="G6" i="209"/>
  <c r="F6" i="209"/>
  <c r="E6" i="209"/>
  <c r="D6" i="209"/>
  <c r="C6" i="209"/>
  <c r="B6" i="209"/>
  <c r="K6" i="208"/>
  <c r="J6" i="208"/>
  <c r="I6" i="208"/>
  <c r="H6" i="208"/>
  <c r="G6" i="208"/>
  <c r="F6" i="208"/>
  <c r="E6" i="208"/>
  <c r="D6" i="208"/>
  <c r="C6" i="208"/>
  <c r="B6" i="208"/>
  <c r="C14" i="207"/>
  <c r="B14" i="207"/>
  <c r="C6" i="207"/>
  <c r="B6" i="207"/>
  <c r="C15" i="206"/>
  <c r="B15" i="206"/>
  <c r="C6" i="206"/>
  <c r="B6" i="206"/>
  <c r="F6" i="205"/>
  <c r="E6" i="205"/>
  <c r="D6" i="205"/>
  <c r="C6" i="205"/>
  <c r="B6" i="205"/>
  <c r="F6" i="204"/>
  <c r="E6" i="204"/>
  <c r="D6" i="204"/>
  <c r="C6" i="204"/>
  <c r="B6" i="204"/>
  <c r="F8" i="203"/>
  <c r="E8" i="203"/>
  <c r="D8" i="203"/>
  <c r="C8" i="203"/>
  <c r="B8" i="203"/>
  <c r="F6" i="202"/>
  <c r="E6" i="202"/>
  <c r="D6" i="202"/>
  <c r="C6" i="202"/>
  <c r="B6" i="202"/>
  <c r="F6" i="201"/>
  <c r="E6" i="201"/>
  <c r="D6" i="201"/>
  <c r="C6" i="201"/>
  <c r="B6" i="201"/>
  <c r="D45" i="200"/>
  <c r="E47" i="200" s="1"/>
  <c r="B45" i="200"/>
  <c r="C48" i="200" s="1"/>
  <c r="D38" i="200"/>
  <c r="E44" i="200" s="1"/>
  <c r="B38" i="200"/>
  <c r="C43" i="200" s="1"/>
  <c r="D35" i="200"/>
  <c r="E37" i="200" s="1"/>
  <c r="B35" i="200"/>
  <c r="C36" i="200" s="1"/>
  <c r="D30" i="200"/>
  <c r="E34" i="200" s="1"/>
  <c r="B30" i="200"/>
  <c r="C33" i="200" s="1"/>
  <c r="D17" i="200"/>
  <c r="E29" i="200" s="1"/>
  <c r="B17" i="200"/>
  <c r="C28" i="200" s="1"/>
  <c r="D14" i="200"/>
  <c r="E16" i="200" s="1"/>
  <c r="B14" i="200"/>
  <c r="C15" i="200" s="1"/>
  <c r="D10" i="200"/>
  <c r="E13" i="200" s="1"/>
  <c r="B10" i="200"/>
  <c r="C12" i="200" s="1"/>
  <c r="D6" i="200"/>
  <c r="E8" i="200" s="1"/>
  <c r="B6" i="200"/>
  <c r="C9" i="200" s="1"/>
  <c r="B8" i="198"/>
  <c r="B6" i="198"/>
  <c r="B5" i="197"/>
  <c r="C22" i="197" s="1"/>
  <c r="B7" i="196"/>
  <c r="B6" i="196"/>
  <c r="B21" i="194"/>
  <c r="C21" i="194" s="1"/>
  <c r="B20" i="194"/>
  <c r="C20" i="194" s="1"/>
  <c r="B19" i="194"/>
  <c r="C19" i="194" s="1"/>
  <c r="B17" i="194"/>
  <c r="C17" i="194" s="1"/>
  <c r="B16" i="194"/>
  <c r="C16" i="194" s="1"/>
  <c r="B15" i="194"/>
  <c r="C15" i="194" s="1"/>
  <c r="B14" i="194"/>
  <c r="C14" i="194" s="1"/>
  <c r="B13" i="194"/>
  <c r="C13" i="194" s="1"/>
  <c r="B12" i="194"/>
  <c r="C12" i="194" s="1"/>
  <c r="B11" i="194"/>
  <c r="C11" i="194" s="1"/>
  <c r="B10" i="194"/>
  <c r="C10" i="194" s="1"/>
  <c r="B9" i="194"/>
  <c r="C9" i="194" s="1"/>
  <c r="B8" i="194"/>
  <c r="C8" i="194" s="1"/>
  <c r="C6" i="194" s="1"/>
  <c r="F6" i="194"/>
  <c r="G21" i="194" s="1"/>
  <c r="D6" i="194"/>
  <c r="E22" i="194" s="1"/>
  <c r="B6" i="194"/>
  <c r="C22" i="194" s="1"/>
  <c r="E8" i="194" l="1"/>
  <c r="E9" i="194"/>
  <c r="E10" i="194"/>
  <c r="E11" i="194"/>
  <c r="E12" i="194"/>
  <c r="E13" i="194"/>
  <c r="E14" i="194"/>
  <c r="E15" i="194"/>
  <c r="E16" i="194"/>
  <c r="E17" i="194"/>
  <c r="E19" i="194"/>
  <c r="E20" i="194"/>
  <c r="E21" i="194"/>
  <c r="G22" i="194"/>
  <c r="C5" i="197"/>
  <c r="C10" i="197"/>
  <c r="C14" i="197"/>
  <c r="C19" i="197"/>
  <c r="B5" i="198"/>
  <c r="C7" i="198" s="1"/>
  <c r="E7" i="200"/>
  <c r="E9" i="200"/>
  <c r="E12" i="200"/>
  <c r="E15" i="200"/>
  <c r="E14" i="200" s="1"/>
  <c r="E18" i="200"/>
  <c r="E20" i="200"/>
  <c r="E22" i="200"/>
  <c r="E24" i="200"/>
  <c r="E26" i="200"/>
  <c r="E28" i="200"/>
  <c r="C30" i="200"/>
  <c r="E31" i="200"/>
  <c r="E33" i="200"/>
  <c r="E36" i="200"/>
  <c r="E35" i="200" s="1"/>
  <c r="E39" i="200"/>
  <c r="E41" i="200"/>
  <c r="E43" i="200"/>
  <c r="E46" i="200"/>
  <c r="E48" i="200"/>
  <c r="G8" i="194"/>
  <c r="G9" i="194"/>
  <c r="G10" i="194"/>
  <c r="G11" i="194"/>
  <c r="G12" i="194"/>
  <c r="G13" i="194"/>
  <c r="G14" i="194"/>
  <c r="G15" i="194"/>
  <c r="G16" i="194"/>
  <c r="G17" i="194"/>
  <c r="G19" i="194"/>
  <c r="G20" i="194"/>
  <c r="C7" i="197"/>
  <c r="C11" i="197"/>
  <c r="C15" i="197"/>
  <c r="C20" i="197"/>
  <c r="C8" i="200"/>
  <c r="C11" i="200"/>
  <c r="C13" i="200"/>
  <c r="C16" i="200"/>
  <c r="C14" i="200" s="1"/>
  <c r="C19" i="200"/>
  <c r="C21" i="200"/>
  <c r="C23" i="200"/>
  <c r="C25" i="200"/>
  <c r="C27" i="200"/>
  <c r="C29" i="200"/>
  <c r="C32" i="200"/>
  <c r="C34" i="200"/>
  <c r="C37" i="200"/>
  <c r="C35" i="200" s="1"/>
  <c r="C40" i="200"/>
  <c r="C42" i="200"/>
  <c r="C44" i="200"/>
  <c r="C47" i="200"/>
  <c r="C8" i="197"/>
  <c r="C12" i="197"/>
  <c r="C16" i="197"/>
  <c r="C21" i="197"/>
  <c r="E11" i="200"/>
  <c r="E10" i="200" s="1"/>
  <c r="E19" i="200"/>
  <c r="E21" i="200"/>
  <c r="E23" i="200"/>
  <c r="E25" i="200"/>
  <c r="E27" i="200"/>
  <c r="E30" i="200"/>
  <c r="E32" i="200"/>
  <c r="E40" i="200"/>
  <c r="E42" i="200"/>
  <c r="E45" i="200"/>
  <c r="C9" i="197"/>
  <c r="C13" i="197"/>
  <c r="C18" i="197"/>
  <c r="C7" i="200"/>
  <c r="C18" i="200"/>
  <c r="C20" i="200"/>
  <c r="C22" i="200"/>
  <c r="C24" i="200"/>
  <c r="C26" i="200"/>
  <c r="C31" i="200"/>
  <c r="C39" i="200"/>
  <c r="C38" i="200" s="1"/>
  <c r="C41" i="200"/>
  <c r="C46" i="200"/>
  <c r="C45" i="200" s="1"/>
  <c r="C10" i="200" l="1"/>
  <c r="E17" i="200"/>
  <c r="E6" i="200"/>
  <c r="G6" i="194"/>
  <c r="C17" i="200"/>
  <c r="C6" i="200"/>
  <c r="E38" i="200"/>
  <c r="C8" i="198"/>
  <c r="E6" i="194"/>
  <c r="C6" i="198"/>
  <c r="C5" i="198" l="1"/>
  <c r="B21" i="188" l="1"/>
  <c r="B20" i="188"/>
  <c r="B19" i="188"/>
  <c r="B18" i="188"/>
  <c r="B17" i="188"/>
  <c r="B16" i="188"/>
  <c r="B15" i="188"/>
  <c r="B14" i="188"/>
  <c r="B13" i="188"/>
  <c r="B12" i="188"/>
  <c r="B11" i="188"/>
  <c r="B10" i="188"/>
  <c r="B9" i="188"/>
  <c r="B8" i="188"/>
  <c r="B7" i="188"/>
  <c r="N6" i="188"/>
  <c r="M6" i="188"/>
  <c r="L6" i="188"/>
  <c r="K6" i="188"/>
  <c r="J6" i="188"/>
  <c r="I6" i="188"/>
  <c r="H6" i="188"/>
  <c r="G6" i="188"/>
  <c r="F6" i="188"/>
  <c r="E6" i="188"/>
  <c r="D6" i="188"/>
  <c r="C6" i="188"/>
  <c r="B6" i="188"/>
  <c r="B11" i="187"/>
  <c r="B10" i="187"/>
  <c r="B9" i="187"/>
  <c r="B8" i="187"/>
  <c r="B7" i="187"/>
  <c r="B22" i="186"/>
  <c r="B21" i="186"/>
  <c r="B20" i="186"/>
  <c r="B19" i="186"/>
  <c r="B18" i="186"/>
  <c r="B17" i="186"/>
  <c r="B16" i="186"/>
  <c r="B15" i="186"/>
  <c r="B14" i="186"/>
  <c r="B13" i="186"/>
  <c r="B12" i="186"/>
  <c r="B11" i="186"/>
  <c r="B10" i="186"/>
  <c r="B9" i="186"/>
  <c r="B8" i="186"/>
  <c r="I7" i="186"/>
  <c r="H7" i="186"/>
  <c r="G7" i="186"/>
  <c r="F7" i="186"/>
  <c r="E7" i="186"/>
  <c r="D7" i="186"/>
  <c r="C7" i="186"/>
  <c r="B7" i="186"/>
  <c r="B11" i="185"/>
  <c r="B10" i="185"/>
  <c r="B9" i="185"/>
  <c r="B8" i="185"/>
  <c r="B7" i="185"/>
  <c r="B22" i="184"/>
  <c r="B21" i="184"/>
  <c r="B20" i="184"/>
  <c r="B19" i="184"/>
  <c r="B18" i="184"/>
  <c r="B17" i="184"/>
  <c r="B16" i="184"/>
  <c r="B15" i="184"/>
  <c r="B14" i="184"/>
  <c r="B13" i="184"/>
  <c r="B12" i="184"/>
  <c r="B11" i="184"/>
  <c r="B10" i="184"/>
  <c r="B9" i="184"/>
  <c r="B8" i="184"/>
  <c r="I7" i="184"/>
  <c r="H7" i="184"/>
  <c r="G7" i="184"/>
  <c r="F7" i="184"/>
  <c r="E7" i="184"/>
  <c r="D7" i="184"/>
  <c r="C7" i="184"/>
  <c r="B7" i="184"/>
  <c r="B11" i="183"/>
  <c r="B10" i="183"/>
  <c r="B9" i="183"/>
  <c r="B8" i="183"/>
  <c r="B7" i="183"/>
  <c r="B22" i="182"/>
  <c r="B21" i="182"/>
  <c r="B20" i="182"/>
  <c r="B19" i="182"/>
  <c r="B18" i="182"/>
  <c r="B17" i="182"/>
  <c r="B16" i="182"/>
  <c r="B15" i="182"/>
  <c r="B14" i="182"/>
  <c r="B13" i="182"/>
  <c r="B12" i="182"/>
  <c r="B11" i="182"/>
  <c r="B10" i="182"/>
  <c r="B9" i="182"/>
  <c r="B8" i="182"/>
  <c r="I7" i="182"/>
  <c r="H7" i="182"/>
  <c r="G7" i="182"/>
  <c r="F7" i="182"/>
  <c r="E7" i="182"/>
  <c r="D7" i="182"/>
  <c r="C7" i="182"/>
  <c r="B7" i="182"/>
  <c r="F6" i="181"/>
  <c r="E6" i="181"/>
  <c r="D6" i="181"/>
  <c r="C6" i="181"/>
  <c r="B6" i="181"/>
  <c r="F6" i="180"/>
  <c r="E6" i="180"/>
  <c r="D6" i="180"/>
  <c r="C6" i="180"/>
  <c r="B6" i="180"/>
  <c r="F7" i="179"/>
  <c r="E7" i="179"/>
  <c r="E6" i="179" s="1"/>
  <c r="D7" i="179"/>
  <c r="C7" i="179"/>
  <c r="B7" i="179"/>
  <c r="F6" i="179"/>
  <c r="D6" i="179"/>
  <c r="C6" i="179"/>
  <c r="B6" i="179"/>
  <c r="E22" i="178"/>
  <c r="B22" i="178"/>
  <c r="E21" i="178"/>
  <c r="B21" i="178"/>
  <c r="E20" i="178"/>
  <c r="B20" i="178"/>
  <c r="E19" i="178"/>
  <c r="B19" i="178"/>
  <c r="E18" i="178"/>
  <c r="B18" i="178"/>
  <c r="E17" i="178"/>
  <c r="B17" i="178"/>
  <c r="E16" i="178"/>
  <c r="B16" i="178"/>
  <c r="E15" i="178"/>
  <c r="B15" i="178"/>
  <c r="E14" i="178"/>
  <c r="B14" i="178"/>
  <c r="E13" i="178"/>
  <c r="B13" i="178"/>
  <c r="E12" i="178"/>
  <c r="B12" i="178"/>
  <c r="E11" i="178"/>
  <c r="B11" i="178"/>
  <c r="E10" i="178"/>
  <c r="B10" i="178"/>
  <c r="E9" i="178"/>
  <c r="B9" i="178"/>
  <c r="E8" i="178"/>
  <c r="B8" i="178"/>
  <c r="E7" i="178"/>
  <c r="B7" i="178"/>
  <c r="B6" i="178" s="1"/>
  <c r="G6" i="178"/>
  <c r="F6" i="178"/>
  <c r="E6" i="178"/>
  <c r="D6" i="178"/>
  <c r="C6" i="178"/>
  <c r="E22" i="177"/>
  <c r="B22" i="177"/>
  <c r="E21" i="177"/>
  <c r="B21" i="177"/>
  <c r="E20" i="177"/>
  <c r="B20" i="177"/>
  <c r="E19" i="177"/>
  <c r="B19" i="177"/>
  <c r="E18" i="177"/>
  <c r="B18" i="177"/>
  <c r="E17" i="177"/>
  <c r="B17" i="177"/>
  <c r="E16" i="177"/>
  <c r="B16" i="177"/>
  <c r="E15" i="177"/>
  <c r="B15" i="177"/>
  <c r="E14" i="177"/>
  <c r="B14" i="177"/>
  <c r="E13" i="177"/>
  <c r="B13" i="177"/>
  <c r="E12" i="177"/>
  <c r="B12" i="177"/>
  <c r="E11" i="177"/>
  <c r="B11" i="177"/>
  <c r="E10" i="177"/>
  <c r="B10" i="177"/>
  <c r="E9" i="177"/>
  <c r="B9" i="177"/>
  <c r="E8" i="177"/>
  <c r="E6" i="177" s="1"/>
  <c r="B8" i="177"/>
  <c r="E7" i="177"/>
  <c r="B7" i="177"/>
  <c r="G6" i="177"/>
  <c r="F6" i="177"/>
  <c r="D6" i="177"/>
  <c r="C6" i="177"/>
  <c r="B6" i="177"/>
  <c r="E22" i="176"/>
  <c r="B22" i="176"/>
  <c r="E21" i="176"/>
  <c r="B21" i="176"/>
  <c r="E20" i="176"/>
  <c r="B20" i="176"/>
  <c r="E19" i="176"/>
  <c r="B19" i="176"/>
  <c r="E18" i="176"/>
  <c r="B18" i="176"/>
  <c r="E17" i="176"/>
  <c r="B17" i="176"/>
  <c r="E16" i="176"/>
  <c r="B16" i="176"/>
  <c r="E15" i="176"/>
  <c r="B15" i="176"/>
  <c r="E14" i="176"/>
  <c r="B14" i="176"/>
  <c r="E13" i="176"/>
  <c r="B13" i="176"/>
  <c r="E12" i="176"/>
  <c r="B12" i="176"/>
  <c r="E11" i="176"/>
  <c r="B11" i="176"/>
  <c r="E10" i="176"/>
  <c r="B10" i="176"/>
  <c r="E9" i="176"/>
  <c r="B9" i="176"/>
  <c r="E8" i="176"/>
  <c r="B8" i="176"/>
  <c r="E7" i="176"/>
  <c r="B7" i="176"/>
  <c r="B6" i="176" s="1"/>
  <c r="G6" i="176"/>
  <c r="F6" i="176"/>
  <c r="E6" i="176"/>
  <c r="D6" i="176"/>
  <c r="C6" i="176"/>
  <c r="B22" i="175"/>
  <c r="B21" i="175"/>
  <c r="B20" i="175"/>
  <c r="B19" i="175"/>
  <c r="B18" i="175"/>
  <c r="B17" i="175"/>
  <c r="B16" i="175"/>
  <c r="B15" i="175"/>
  <c r="B14" i="175"/>
  <c r="B13" i="175"/>
  <c r="B12" i="175"/>
  <c r="B11" i="175"/>
  <c r="B10" i="175"/>
  <c r="B9" i="175"/>
  <c r="B6" i="175" s="1"/>
  <c r="B8" i="175"/>
  <c r="B7" i="175"/>
  <c r="D6" i="175"/>
  <c r="C6" i="175"/>
  <c r="E22" i="174"/>
  <c r="B22" i="174"/>
  <c r="E21" i="174"/>
  <c r="B21" i="174"/>
  <c r="E20" i="174"/>
  <c r="B20" i="174"/>
  <c r="E19" i="174"/>
  <c r="B19" i="174"/>
  <c r="E18" i="174"/>
  <c r="B18" i="174"/>
  <c r="E17" i="174"/>
  <c r="B17" i="174"/>
  <c r="E16" i="174"/>
  <c r="B16" i="174"/>
  <c r="E15" i="174"/>
  <c r="B15" i="174"/>
  <c r="E14" i="174"/>
  <c r="B14" i="174"/>
  <c r="G13" i="174"/>
  <c r="F13" i="174"/>
  <c r="E13" i="174" s="1"/>
  <c r="B13" i="174"/>
  <c r="E12" i="174"/>
  <c r="B12" i="174"/>
  <c r="E11" i="174"/>
  <c r="B11" i="174"/>
  <c r="E10" i="174"/>
  <c r="B10" i="174"/>
  <c r="E9" i="174"/>
  <c r="B9" i="174"/>
  <c r="E8" i="174"/>
  <c r="B8" i="174"/>
  <c r="E7" i="174"/>
  <c r="B7" i="174"/>
  <c r="B6" i="174" s="1"/>
  <c r="G6" i="174"/>
  <c r="F6" i="174"/>
  <c r="D6" i="174"/>
  <c r="C6" i="174"/>
  <c r="H22" i="173"/>
  <c r="E22" i="173"/>
  <c r="H21" i="173"/>
  <c r="E21" i="173"/>
  <c r="H20" i="173"/>
  <c r="E20" i="173"/>
  <c r="H19" i="173"/>
  <c r="E19" i="173"/>
  <c r="H18" i="173"/>
  <c r="E18" i="173"/>
  <c r="H17" i="173"/>
  <c r="E17" i="173"/>
  <c r="H16" i="173"/>
  <c r="E16" i="173"/>
  <c r="H15" i="173"/>
  <c r="E15" i="173"/>
  <c r="H14" i="173"/>
  <c r="E14" i="173"/>
  <c r="H13" i="173"/>
  <c r="E13" i="173"/>
  <c r="H12" i="173"/>
  <c r="E12" i="173"/>
  <c r="H11" i="173"/>
  <c r="E11" i="173"/>
  <c r="H10" i="173"/>
  <c r="E10" i="173"/>
  <c r="H9" i="173"/>
  <c r="E9" i="173"/>
  <c r="H8" i="173"/>
  <c r="E8" i="173"/>
  <c r="H7" i="173"/>
  <c r="E7" i="173"/>
  <c r="J6" i="173"/>
  <c r="I6" i="173"/>
  <c r="H6" i="173"/>
  <c r="G6" i="173"/>
  <c r="F6" i="173"/>
  <c r="E6" i="173"/>
  <c r="B6" i="173"/>
  <c r="F6" i="172"/>
  <c r="E6" i="172"/>
  <c r="D6" i="172"/>
  <c r="C6" i="172"/>
  <c r="B6" i="172"/>
  <c r="B11" i="171"/>
  <c r="B10" i="171"/>
  <c r="B9" i="171"/>
  <c r="B8" i="171"/>
  <c r="B7" i="171"/>
  <c r="B10" i="170"/>
  <c r="B9" i="170"/>
  <c r="B8" i="170"/>
  <c r="B7" i="170"/>
  <c r="B6" i="170"/>
  <c r="E6" i="174" l="1"/>
  <c r="F6" i="165" l="1"/>
  <c r="E6" i="165"/>
  <c r="D6" i="165"/>
  <c r="C6" i="165"/>
  <c r="B6" i="165"/>
  <c r="F6" i="164"/>
  <c r="E6" i="164"/>
  <c r="D6" i="164"/>
  <c r="C6" i="164"/>
  <c r="B6" i="164"/>
  <c r="B22" i="163"/>
  <c r="B21" i="163"/>
  <c r="B20" i="163"/>
  <c r="B19" i="163"/>
  <c r="B18" i="163"/>
  <c r="B17" i="163"/>
  <c r="B16" i="163"/>
  <c r="B15" i="163"/>
  <c r="B14" i="163"/>
  <c r="B13" i="163"/>
  <c r="B12" i="163"/>
  <c r="B11" i="163"/>
  <c r="B10" i="163"/>
  <c r="B9" i="163"/>
  <c r="B8" i="163"/>
  <c r="B7" i="163"/>
  <c r="B22" i="162"/>
  <c r="B21" i="162"/>
  <c r="B20" i="162"/>
  <c r="B19" i="162"/>
  <c r="B18" i="162"/>
  <c r="B17" i="162"/>
  <c r="B16" i="162"/>
  <c r="B15" i="162"/>
  <c r="B14" i="162"/>
  <c r="B13" i="162"/>
  <c r="B12" i="162"/>
  <c r="B11" i="162"/>
  <c r="B10" i="162"/>
  <c r="B9" i="162"/>
  <c r="B8" i="162"/>
  <c r="D7" i="162"/>
  <c r="C7" i="162"/>
  <c r="B7" i="162"/>
  <c r="J6" i="158" l="1"/>
  <c r="I6" i="158"/>
  <c r="H6" i="158"/>
  <c r="G6" i="158"/>
  <c r="F6" i="158"/>
  <c r="E6" i="158"/>
  <c r="D6" i="158"/>
  <c r="C6" i="158"/>
  <c r="B6" i="158"/>
  <c r="B21" i="157"/>
  <c r="B20" i="157"/>
  <c r="B19" i="157"/>
  <c r="B18" i="157"/>
  <c r="B17" i="157"/>
  <c r="B16" i="157"/>
  <c r="B15" i="157"/>
  <c r="B14" i="157"/>
  <c r="B13" i="157"/>
  <c r="B12" i="157"/>
  <c r="B11" i="157"/>
  <c r="B10" i="157"/>
  <c r="B9" i="157"/>
  <c r="B8" i="157"/>
  <c r="B7" i="157"/>
  <c r="M6" i="157"/>
  <c r="L6" i="157"/>
  <c r="K6" i="157"/>
  <c r="J6" i="157"/>
  <c r="I6" i="157"/>
  <c r="H6" i="157"/>
  <c r="G6" i="157"/>
  <c r="F6" i="157"/>
  <c r="E6" i="157"/>
  <c r="B6" i="157" s="1"/>
  <c r="D6" i="157"/>
  <c r="C6" i="157"/>
  <c r="B21" i="156"/>
  <c r="B20" i="156"/>
  <c r="B19" i="156"/>
  <c r="B18" i="156"/>
  <c r="B17" i="156"/>
  <c r="B16" i="156"/>
  <c r="B15" i="156"/>
  <c r="B14" i="156"/>
  <c r="B13" i="156"/>
  <c r="B12" i="156"/>
  <c r="B11" i="156"/>
  <c r="B10" i="156"/>
  <c r="B9" i="156"/>
  <c r="B6" i="156" s="1"/>
  <c r="B8" i="156"/>
  <c r="B7" i="156"/>
  <c r="L6" i="156"/>
  <c r="K6" i="156"/>
  <c r="J6" i="156"/>
  <c r="I6" i="156"/>
  <c r="H6" i="156"/>
  <c r="G6" i="156"/>
  <c r="F6" i="156"/>
  <c r="E6" i="156"/>
  <c r="D6" i="156"/>
  <c r="C6" i="156"/>
  <c r="B21" i="155"/>
  <c r="B20" i="155"/>
  <c r="B19" i="155"/>
  <c r="B18" i="155"/>
  <c r="B17" i="155"/>
  <c r="B16" i="155"/>
  <c r="B15" i="155"/>
  <c r="B14" i="155"/>
  <c r="B13" i="155"/>
  <c r="B12" i="155"/>
  <c r="B11" i="155"/>
  <c r="B10" i="155"/>
  <c r="B9" i="155"/>
  <c r="B8" i="155"/>
  <c r="B7" i="155"/>
  <c r="B6" i="155" s="1"/>
  <c r="D6" i="155"/>
  <c r="C6" i="155"/>
  <c r="E31" i="152" l="1"/>
  <c r="C31" i="152"/>
  <c r="E27" i="152"/>
  <c r="C27" i="152"/>
  <c r="E24" i="152"/>
  <c r="C24" i="152"/>
  <c r="E21" i="152"/>
  <c r="C21" i="152"/>
  <c r="E5" i="152"/>
  <c r="C5" i="152"/>
  <c r="B17" i="151"/>
  <c r="B15" i="151"/>
  <c r="B12" i="151"/>
  <c r="B9" i="151"/>
  <c r="B6" i="151"/>
  <c r="B5" i="151"/>
  <c r="D110" i="150"/>
  <c r="C110" i="150"/>
  <c r="B110" i="150"/>
  <c r="D109" i="150"/>
  <c r="C109" i="150"/>
  <c r="B109" i="150"/>
  <c r="D83" i="150"/>
  <c r="C83" i="150"/>
  <c r="C54" i="150" s="1"/>
  <c r="B83" i="150"/>
  <c r="D62" i="150"/>
  <c r="C62" i="150"/>
  <c r="B62" i="150"/>
  <c r="B54" i="150" s="1"/>
  <c r="D55" i="150"/>
  <c r="C55" i="150"/>
  <c r="B55" i="150"/>
  <c r="D54" i="150"/>
  <c r="D49" i="150"/>
  <c r="C49" i="150"/>
  <c r="C48" i="150" s="1"/>
  <c r="B49" i="150"/>
  <c r="D48" i="150"/>
  <c r="B48" i="150"/>
  <c r="D45" i="150"/>
  <c r="C45" i="150"/>
  <c r="B45" i="150"/>
  <c r="D26" i="150"/>
  <c r="D25" i="150" s="1"/>
  <c r="C26" i="150"/>
  <c r="B26" i="150"/>
  <c r="B25" i="150" s="1"/>
  <c r="C25" i="150"/>
  <c r="D21" i="150"/>
  <c r="C21" i="150"/>
  <c r="B21" i="150"/>
  <c r="D18" i="150"/>
  <c r="C18" i="150"/>
  <c r="B18" i="150"/>
  <c r="D15" i="150"/>
  <c r="C15" i="150"/>
  <c r="B15" i="150"/>
  <c r="D14" i="150"/>
  <c r="C14" i="150"/>
  <c r="B14" i="150"/>
  <c r="D10" i="150"/>
  <c r="C10" i="150"/>
  <c r="B10" i="150"/>
  <c r="D7" i="150"/>
  <c r="D6" i="150" s="1"/>
  <c r="D5" i="150" s="1"/>
  <c r="C7" i="150"/>
  <c r="B7" i="150"/>
  <c r="B6" i="150" s="1"/>
  <c r="C6" i="150"/>
  <c r="B21" i="149"/>
  <c r="B18" i="149"/>
  <c r="B16" i="149"/>
  <c r="B13" i="149"/>
  <c r="B9" i="149"/>
  <c r="B6" i="149"/>
  <c r="B5" i="149"/>
  <c r="F6" i="148"/>
  <c r="E6" i="148"/>
  <c r="D6" i="148"/>
  <c r="C6" i="148"/>
  <c r="B6" i="148"/>
  <c r="F5" i="147"/>
  <c r="E5" i="147"/>
  <c r="D5" i="147"/>
  <c r="C5" i="147"/>
  <c r="B5" i="147"/>
  <c r="F5" i="146"/>
  <c r="E5" i="146"/>
  <c r="D5" i="146"/>
  <c r="C5" i="146"/>
  <c r="B5" i="146"/>
  <c r="B5" i="145"/>
  <c r="C23" i="144"/>
  <c r="B23" i="144"/>
  <c r="C22" i="144"/>
  <c r="B22" i="144"/>
  <c r="C21" i="144"/>
  <c r="B21" i="144"/>
  <c r="C20" i="144"/>
  <c r="B20" i="144"/>
  <c r="C19" i="144"/>
  <c r="B19" i="144"/>
  <c r="C18" i="144"/>
  <c r="B18" i="144"/>
  <c r="C17" i="144"/>
  <c r="B17" i="144"/>
  <c r="C16" i="144"/>
  <c r="B16" i="144"/>
  <c r="C15" i="144"/>
  <c r="B15" i="144"/>
  <c r="M14" i="144"/>
  <c r="K14" i="144" s="1"/>
  <c r="I14" i="144" s="1"/>
  <c r="G14" i="144" s="1"/>
  <c r="E14" i="144" s="1"/>
  <c r="C14" i="144" s="1"/>
  <c r="L14" i="144"/>
  <c r="J14" i="144" s="1"/>
  <c r="H14" i="144" s="1"/>
  <c r="F14" i="144" s="1"/>
  <c r="D14" i="144" s="1"/>
  <c r="B14" i="144" s="1"/>
  <c r="M13" i="144"/>
  <c r="K13" i="144" s="1"/>
  <c r="L13" i="144"/>
  <c r="J13" i="144" s="1"/>
  <c r="C12" i="144"/>
  <c r="B12" i="144"/>
  <c r="C11" i="144"/>
  <c r="B11" i="144"/>
  <c r="C10" i="144"/>
  <c r="B10" i="144"/>
  <c r="C9" i="144"/>
  <c r="B9" i="144"/>
  <c r="C8" i="144"/>
  <c r="B8" i="144"/>
  <c r="C7" i="144"/>
  <c r="B7" i="144"/>
  <c r="M6" i="144"/>
  <c r="L6" i="144"/>
  <c r="E6" i="143"/>
  <c r="D6" i="143"/>
  <c r="C6" i="143"/>
  <c r="B6" i="143"/>
  <c r="J7" i="142"/>
  <c r="I7" i="142"/>
  <c r="H7" i="142"/>
  <c r="G7" i="142"/>
  <c r="F7" i="142"/>
  <c r="E7" i="142"/>
  <c r="D7" i="142"/>
  <c r="C7" i="142"/>
  <c r="B7" i="142"/>
  <c r="F113" i="140"/>
  <c r="E113" i="140"/>
  <c r="D113" i="140"/>
  <c r="C113" i="140"/>
  <c r="B113" i="140"/>
  <c r="F93" i="140"/>
  <c r="E93" i="140"/>
  <c r="D93" i="140"/>
  <c r="C93" i="140"/>
  <c r="B93" i="140"/>
  <c r="F81" i="140"/>
  <c r="E81" i="140"/>
  <c r="D81" i="140"/>
  <c r="C81" i="140"/>
  <c r="B81" i="140"/>
  <c r="F78" i="140"/>
  <c r="E78" i="140"/>
  <c r="D78" i="140"/>
  <c r="C78" i="140"/>
  <c r="B78" i="140"/>
  <c r="F64" i="140"/>
  <c r="E64" i="140"/>
  <c r="D64" i="140"/>
  <c r="C64" i="140"/>
  <c r="B64" i="140"/>
  <c r="F56" i="140"/>
  <c r="E56" i="140"/>
  <c r="D56" i="140"/>
  <c r="C56" i="140"/>
  <c r="B56" i="140"/>
  <c r="F47" i="140"/>
  <c r="E47" i="140"/>
  <c r="D47" i="140"/>
  <c r="C47" i="140"/>
  <c r="B47" i="140"/>
  <c r="F43" i="140"/>
  <c r="E43" i="140"/>
  <c r="D43" i="140"/>
  <c r="C43" i="140"/>
  <c r="B43" i="140"/>
  <c r="F40" i="140"/>
  <c r="E40" i="140"/>
  <c r="D40" i="140"/>
  <c r="C40" i="140"/>
  <c r="B40" i="140"/>
  <c r="F31" i="140"/>
  <c r="E31" i="140"/>
  <c r="D31" i="140"/>
  <c r="C31" i="140"/>
  <c r="B31" i="140"/>
  <c r="F26" i="140"/>
  <c r="E26" i="140"/>
  <c r="D26" i="140"/>
  <c r="C26" i="140"/>
  <c r="B26" i="140"/>
  <c r="F22" i="140"/>
  <c r="E22" i="140"/>
  <c r="D22" i="140"/>
  <c r="C22" i="140"/>
  <c r="B22" i="140"/>
  <c r="F16" i="140"/>
  <c r="E16" i="140"/>
  <c r="D16" i="140"/>
  <c r="C16" i="140"/>
  <c r="B16" i="140"/>
  <c r="F12" i="140"/>
  <c r="E12" i="140"/>
  <c r="D12" i="140"/>
  <c r="C12" i="140"/>
  <c r="B12" i="140"/>
  <c r="F7" i="140"/>
  <c r="E7" i="140"/>
  <c r="D7" i="140"/>
  <c r="C7" i="140"/>
  <c r="B7" i="140"/>
  <c r="F6" i="140"/>
  <c r="E6" i="140"/>
  <c r="D6" i="140"/>
  <c r="C6" i="140"/>
  <c r="B6" i="140"/>
  <c r="R124" i="139"/>
  <c r="N124" i="139"/>
  <c r="J124" i="139"/>
  <c r="F124" i="139"/>
  <c r="B124" i="139"/>
  <c r="R123" i="139"/>
  <c r="N123" i="139"/>
  <c r="J123" i="139"/>
  <c r="F123" i="139"/>
  <c r="B123" i="139"/>
  <c r="R122" i="139"/>
  <c r="N122" i="139"/>
  <c r="J122" i="139"/>
  <c r="F122" i="139"/>
  <c r="B122" i="139"/>
  <c r="R121" i="139"/>
  <c r="N121" i="139"/>
  <c r="J121" i="139"/>
  <c r="F121" i="139"/>
  <c r="B121" i="139"/>
  <c r="R120" i="139"/>
  <c r="N120" i="139"/>
  <c r="J120" i="139"/>
  <c r="F120" i="139"/>
  <c r="B120" i="139"/>
  <c r="R119" i="139"/>
  <c r="N119" i="139"/>
  <c r="J119" i="139"/>
  <c r="F119" i="139"/>
  <c r="B119" i="139"/>
  <c r="R118" i="139"/>
  <c r="N118" i="139"/>
  <c r="J118" i="139"/>
  <c r="F118" i="139"/>
  <c r="B118" i="139"/>
  <c r="R117" i="139"/>
  <c r="N117" i="139"/>
  <c r="J117" i="139"/>
  <c r="F117" i="139"/>
  <c r="B117" i="139"/>
  <c r="R116" i="139"/>
  <c r="N116" i="139"/>
  <c r="J116" i="139"/>
  <c r="F116" i="139"/>
  <c r="B116" i="139"/>
  <c r="R115" i="139"/>
  <c r="N115" i="139"/>
  <c r="J115" i="139"/>
  <c r="F115" i="139"/>
  <c r="B115" i="139"/>
  <c r="R114" i="139"/>
  <c r="N114" i="139"/>
  <c r="J114" i="139"/>
  <c r="F114" i="139"/>
  <c r="B114" i="139"/>
  <c r="U113" i="139"/>
  <c r="T113" i="139"/>
  <c r="S113" i="139"/>
  <c r="R113" i="139"/>
  <c r="Q113" i="139"/>
  <c r="P113" i="139"/>
  <c r="O113" i="139"/>
  <c r="N113" i="139"/>
  <c r="M113" i="139"/>
  <c r="L113" i="139"/>
  <c r="K113" i="139"/>
  <c r="J113" i="139" s="1"/>
  <c r="I113" i="139"/>
  <c r="H113" i="139"/>
  <c r="G113" i="139"/>
  <c r="F113" i="139" s="1"/>
  <c r="E113" i="139"/>
  <c r="D113" i="139"/>
  <c r="C113" i="139"/>
  <c r="B113" i="139" s="1"/>
  <c r="R112" i="139"/>
  <c r="N112" i="139"/>
  <c r="J112" i="139"/>
  <c r="F112" i="139"/>
  <c r="B112" i="139"/>
  <c r="R111" i="139"/>
  <c r="N111" i="139"/>
  <c r="J111" i="139"/>
  <c r="F111" i="139"/>
  <c r="B111" i="139"/>
  <c r="R110" i="139"/>
  <c r="N110" i="139"/>
  <c r="J110" i="139"/>
  <c r="F110" i="139"/>
  <c r="B110" i="139"/>
  <c r="R109" i="139"/>
  <c r="N109" i="139"/>
  <c r="J109" i="139"/>
  <c r="F109" i="139"/>
  <c r="B109" i="139"/>
  <c r="R108" i="139"/>
  <c r="N108" i="139"/>
  <c r="J108" i="139"/>
  <c r="F108" i="139"/>
  <c r="B108" i="139"/>
  <c r="R107" i="139"/>
  <c r="N107" i="139"/>
  <c r="J107" i="139"/>
  <c r="F107" i="139"/>
  <c r="B107" i="139"/>
  <c r="R106" i="139"/>
  <c r="N106" i="139"/>
  <c r="J106" i="139"/>
  <c r="F106" i="139"/>
  <c r="B106" i="139"/>
  <c r="R105" i="139"/>
  <c r="N105" i="139"/>
  <c r="J105" i="139"/>
  <c r="F105" i="139"/>
  <c r="B105" i="139"/>
  <c r="R104" i="139"/>
  <c r="N104" i="139"/>
  <c r="J104" i="139"/>
  <c r="F104" i="139"/>
  <c r="B104" i="139"/>
  <c r="R103" i="139"/>
  <c r="N103" i="139"/>
  <c r="J103" i="139"/>
  <c r="F103" i="139"/>
  <c r="B103" i="139"/>
  <c r="R102" i="139"/>
  <c r="N102" i="139"/>
  <c r="J102" i="139"/>
  <c r="F102" i="139"/>
  <c r="B102" i="139"/>
  <c r="R101" i="139"/>
  <c r="N101" i="139"/>
  <c r="J101" i="139"/>
  <c r="F101" i="139"/>
  <c r="B101" i="139"/>
  <c r="R100" i="139"/>
  <c r="N100" i="139"/>
  <c r="J100" i="139"/>
  <c r="F100" i="139"/>
  <c r="B100" i="139"/>
  <c r="R99" i="139"/>
  <c r="N99" i="139"/>
  <c r="J99" i="139"/>
  <c r="F99" i="139"/>
  <c r="B99" i="139"/>
  <c r="R98" i="139"/>
  <c r="N98" i="139"/>
  <c r="J98" i="139"/>
  <c r="F98" i="139"/>
  <c r="B98" i="139"/>
  <c r="R97" i="139"/>
  <c r="N97" i="139"/>
  <c r="J97" i="139"/>
  <c r="F97" i="139"/>
  <c r="B97" i="139"/>
  <c r="R96" i="139"/>
  <c r="N96" i="139"/>
  <c r="J96" i="139"/>
  <c r="F96" i="139"/>
  <c r="B96" i="139"/>
  <c r="R95" i="139"/>
  <c r="N95" i="139"/>
  <c r="J95" i="139"/>
  <c r="F95" i="139"/>
  <c r="B95" i="139"/>
  <c r="R94" i="139"/>
  <c r="N94" i="139"/>
  <c r="J94" i="139"/>
  <c r="F94" i="139"/>
  <c r="B94" i="139"/>
  <c r="U93" i="139"/>
  <c r="T93" i="139"/>
  <c r="R93" i="139" s="1"/>
  <c r="S93" i="139"/>
  <c r="Q93" i="139"/>
  <c r="P93" i="139"/>
  <c r="N93" i="139" s="1"/>
  <c r="O93" i="139"/>
  <c r="M93" i="139"/>
  <c r="L93" i="139"/>
  <c r="J93" i="139" s="1"/>
  <c r="K93" i="139"/>
  <c r="I93" i="139"/>
  <c r="H93" i="139"/>
  <c r="F93" i="139" s="1"/>
  <c r="G93" i="139"/>
  <c r="E93" i="139"/>
  <c r="D93" i="139"/>
  <c r="B93" i="139" s="1"/>
  <c r="C93" i="139"/>
  <c r="R92" i="139"/>
  <c r="N92" i="139"/>
  <c r="J92" i="139"/>
  <c r="F92" i="139"/>
  <c r="B92" i="139"/>
  <c r="R91" i="139"/>
  <c r="N91" i="139"/>
  <c r="J91" i="139"/>
  <c r="F91" i="139"/>
  <c r="B91" i="139"/>
  <c r="R90" i="139"/>
  <c r="N90" i="139"/>
  <c r="J90" i="139"/>
  <c r="F90" i="139"/>
  <c r="B90" i="139"/>
  <c r="R89" i="139"/>
  <c r="N89" i="139"/>
  <c r="J89" i="139"/>
  <c r="F89" i="139"/>
  <c r="B89" i="139"/>
  <c r="R88" i="139"/>
  <c r="N88" i="139"/>
  <c r="J88" i="139"/>
  <c r="F88" i="139"/>
  <c r="B88" i="139"/>
  <c r="R87" i="139"/>
  <c r="N87" i="139"/>
  <c r="J87" i="139"/>
  <c r="F87" i="139"/>
  <c r="B87" i="139"/>
  <c r="R86" i="139"/>
  <c r="N86" i="139"/>
  <c r="J86" i="139"/>
  <c r="F86" i="139"/>
  <c r="B86" i="139"/>
  <c r="R85" i="139"/>
  <c r="N85" i="139"/>
  <c r="J85" i="139"/>
  <c r="F85" i="139"/>
  <c r="B85" i="139"/>
  <c r="R84" i="139"/>
  <c r="N84" i="139"/>
  <c r="J84" i="139"/>
  <c r="F84" i="139"/>
  <c r="B84" i="139"/>
  <c r="R83" i="139"/>
  <c r="N83" i="139"/>
  <c r="J83" i="139"/>
  <c r="F83" i="139"/>
  <c r="B83" i="139"/>
  <c r="R82" i="139"/>
  <c r="N82" i="139"/>
  <c r="J82" i="139"/>
  <c r="F82" i="139"/>
  <c r="B82" i="139"/>
  <c r="U81" i="139"/>
  <c r="T81" i="139"/>
  <c r="S81" i="139"/>
  <c r="R81" i="139" s="1"/>
  <c r="Q81" i="139"/>
  <c r="P81" i="139"/>
  <c r="O81" i="139"/>
  <c r="N81" i="139" s="1"/>
  <c r="M81" i="139"/>
  <c r="L81" i="139"/>
  <c r="K81" i="139"/>
  <c r="J81" i="139" s="1"/>
  <c r="I81" i="139"/>
  <c r="H81" i="139"/>
  <c r="G81" i="139"/>
  <c r="F81" i="139" s="1"/>
  <c r="E81" i="139"/>
  <c r="D81" i="139"/>
  <c r="C81" i="139"/>
  <c r="B81" i="139" s="1"/>
  <c r="R80" i="139"/>
  <c r="N80" i="139"/>
  <c r="J80" i="139"/>
  <c r="F80" i="139"/>
  <c r="B80" i="139"/>
  <c r="R79" i="139"/>
  <c r="N79" i="139"/>
  <c r="J79" i="139"/>
  <c r="F79" i="139"/>
  <c r="B79" i="139"/>
  <c r="U78" i="139"/>
  <c r="T78" i="139"/>
  <c r="S78" i="139"/>
  <c r="R78" i="139" s="1"/>
  <c r="Q78" i="139"/>
  <c r="P78" i="139"/>
  <c r="O78" i="139"/>
  <c r="N78" i="139" s="1"/>
  <c r="M78" i="139"/>
  <c r="L78" i="139"/>
  <c r="K78" i="139"/>
  <c r="J78" i="139" s="1"/>
  <c r="I78" i="139"/>
  <c r="H78" i="139"/>
  <c r="G78" i="139"/>
  <c r="F78" i="139" s="1"/>
  <c r="E78" i="139"/>
  <c r="D78" i="139"/>
  <c r="C78" i="139"/>
  <c r="B78" i="139" s="1"/>
  <c r="R77" i="139"/>
  <c r="N77" i="139"/>
  <c r="J77" i="139"/>
  <c r="F77" i="139"/>
  <c r="B77" i="139"/>
  <c r="R76" i="139"/>
  <c r="N76" i="139"/>
  <c r="J76" i="139"/>
  <c r="F76" i="139"/>
  <c r="B76" i="139"/>
  <c r="R75" i="139"/>
  <c r="N75" i="139"/>
  <c r="J75" i="139"/>
  <c r="F75" i="139"/>
  <c r="B75" i="139"/>
  <c r="R74" i="139"/>
  <c r="N74" i="139"/>
  <c r="J74" i="139"/>
  <c r="F74" i="139"/>
  <c r="B74" i="139"/>
  <c r="R73" i="139"/>
  <c r="N73" i="139"/>
  <c r="J73" i="139"/>
  <c r="F73" i="139"/>
  <c r="B73" i="139"/>
  <c r="R72" i="139"/>
  <c r="N72" i="139"/>
  <c r="J72" i="139"/>
  <c r="F72" i="139"/>
  <c r="B72" i="139"/>
  <c r="R71" i="139"/>
  <c r="N71" i="139"/>
  <c r="J71" i="139"/>
  <c r="F71" i="139"/>
  <c r="B71" i="139"/>
  <c r="R70" i="139"/>
  <c r="N70" i="139"/>
  <c r="J70" i="139"/>
  <c r="F70" i="139"/>
  <c r="B70" i="139"/>
  <c r="R69" i="139"/>
  <c r="N69" i="139"/>
  <c r="J69" i="139"/>
  <c r="F69" i="139"/>
  <c r="B69" i="139"/>
  <c r="R68" i="139"/>
  <c r="N68" i="139"/>
  <c r="J68" i="139"/>
  <c r="F68" i="139"/>
  <c r="B68" i="139"/>
  <c r="R67" i="139"/>
  <c r="N67" i="139"/>
  <c r="J67" i="139"/>
  <c r="F67" i="139"/>
  <c r="B67" i="139"/>
  <c r="R66" i="139"/>
  <c r="N66" i="139"/>
  <c r="J66" i="139"/>
  <c r="F66" i="139"/>
  <c r="B66" i="139"/>
  <c r="R65" i="139"/>
  <c r="N65" i="139"/>
  <c r="J65" i="139"/>
  <c r="F65" i="139"/>
  <c r="B65" i="139"/>
  <c r="U64" i="139"/>
  <c r="T64" i="139"/>
  <c r="S64" i="139"/>
  <c r="R64" i="139"/>
  <c r="Q64" i="139"/>
  <c r="P64" i="139"/>
  <c r="O64" i="139"/>
  <c r="N64" i="139"/>
  <c r="M64" i="139"/>
  <c r="L64" i="139"/>
  <c r="K64" i="139"/>
  <c r="J64" i="139"/>
  <c r="I64" i="139"/>
  <c r="H64" i="139"/>
  <c r="G64" i="139"/>
  <c r="F64" i="139"/>
  <c r="E64" i="139"/>
  <c r="D64" i="139"/>
  <c r="C64" i="139"/>
  <c r="B64" i="139"/>
  <c r="R63" i="139"/>
  <c r="N63" i="139"/>
  <c r="J63" i="139"/>
  <c r="F63" i="139"/>
  <c r="B63" i="139"/>
  <c r="R62" i="139"/>
  <c r="N62" i="139"/>
  <c r="J62" i="139"/>
  <c r="F62" i="139"/>
  <c r="B62" i="139"/>
  <c r="R61" i="139"/>
  <c r="N61" i="139"/>
  <c r="J61" i="139"/>
  <c r="F61" i="139"/>
  <c r="B61" i="139"/>
  <c r="R60" i="139"/>
  <c r="N60" i="139"/>
  <c r="J60" i="139"/>
  <c r="F60" i="139"/>
  <c r="B60" i="139"/>
  <c r="R59" i="139"/>
  <c r="N59" i="139"/>
  <c r="J59" i="139"/>
  <c r="F59" i="139"/>
  <c r="B59" i="139"/>
  <c r="R58" i="139"/>
  <c r="N58" i="139"/>
  <c r="J58" i="139"/>
  <c r="F58" i="139"/>
  <c r="B58" i="139"/>
  <c r="R57" i="139"/>
  <c r="N57" i="139"/>
  <c r="J57" i="139"/>
  <c r="F57" i="139"/>
  <c r="B57" i="139"/>
  <c r="U56" i="139"/>
  <c r="T56" i="139"/>
  <c r="S56" i="139"/>
  <c r="R56" i="139" s="1"/>
  <c r="Q56" i="139"/>
  <c r="P56" i="139"/>
  <c r="O56" i="139"/>
  <c r="N56" i="139" s="1"/>
  <c r="M56" i="139"/>
  <c r="L56" i="139"/>
  <c r="K56" i="139"/>
  <c r="J56" i="139" s="1"/>
  <c r="I56" i="139"/>
  <c r="H56" i="139"/>
  <c r="G56" i="139"/>
  <c r="F56" i="139" s="1"/>
  <c r="E56" i="139"/>
  <c r="D56" i="139"/>
  <c r="C56" i="139"/>
  <c r="B56" i="139" s="1"/>
  <c r="R55" i="139"/>
  <c r="N55" i="139"/>
  <c r="J55" i="139"/>
  <c r="F55" i="139"/>
  <c r="B55" i="139"/>
  <c r="R54" i="139"/>
  <c r="N54" i="139"/>
  <c r="J54" i="139"/>
  <c r="F54" i="139"/>
  <c r="B54" i="139"/>
  <c r="R53" i="139"/>
  <c r="N53" i="139"/>
  <c r="J53" i="139"/>
  <c r="F53" i="139"/>
  <c r="B53" i="139"/>
  <c r="R52" i="139"/>
  <c r="N52" i="139"/>
  <c r="J52" i="139"/>
  <c r="F52" i="139"/>
  <c r="B52" i="139"/>
  <c r="R51" i="139"/>
  <c r="N51" i="139"/>
  <c r="J51" i="139"/>
  <c r="F51" i="139"/>
  <c r="B51" i="139"/>
  <c r="R50" i="139"/>
  <c r="N50" i="139"/>
  <c r="J50" i="139"/>
  <c r="F50" i="139"/>
  <c r="B50" i="139"/>
  <c r="R49" i="139"/>
  <c r="N49" i="139"/>
  <c r="J49" i="139"/>
  <c r="F49" i="139"/>
  <c r="B49" i="139"/>
  <c r="R48" i="139"/>
  <c r="N48" i="139"/>
  <c r="J48" i="139"/>
  <c r="F48" i="139"/>
  <c r="B48" i="139"/>
  <c r="U47" i="139"/>
  <c r="T47" i="139"/>
  <c r="S47" i="139"/>
  <c r="R47" i="139" s="1"/>
  <c r="Q47" i="139"/>
  <c r="P47" i="139"/>
  <c r="O47" i="139"/>
  <c r="N47" i="139" s="1"/>
  <c r="M47" i="139"/>
  <c r="L47" i="139"/>
  <c r="K47" i="139"/>
  <c r="J47" i="139" s="1"/>
  <c r="I47" i="139"/>
  <c r="H47" i="139"/>
  <c r="G47" i="139"/>
  <c r="F47" i="139" s="1"/>
  <c r="E47" i="139"/>
  <c r="D47" i="139"/>
  <c r="C47" i="139"/>
  <c r="B47" i="139" s="1"/>
  <c r="R46" i="139"/>
  <c r="N46" i="139"/>
  <c r="J46" i="139"/>
  <c r="F46" i="139"/>
  <c r="B46" i="139"/>
  <c r="R45" i="139"/>
  <c r="N45" i="139"/>
  <c r="J45" i="139"/>
  <c r="F45" i="139"/>
  <c r="B45" i="139"/>
  <c r="R44" i="139"/>
  <c r="N44" i="139"/>
  <c r="J44" i="139"/>
  <c r="F44" i="139"/>
  <c r="B44" i="139"/>
  <c r="U43" i="139"/>
  <c r="T43" i="139"/>
  <c r="R43" i="139" s="1"/>
  <c r="S43" i="139"/>
  <c r="Q43" i="139"/>
  <c r="P43" i="139"/>
  <c r="N43" i="139" s="1"/>
  <c r="O43" i="139"/>
  <c r="M43" i="139"/>
  <c r="L43" i="139"/>
  <c r="K43" i="139"/>
  <c r="J43" i="139"/>
  <c r="I43" i="139"/>
  <c r="H43" i="139"/>
  <c r="G43" i="139"/>
  <c r="F43" i="139"/>
  <c r="E43" i="139"/>
  <c r="D43" i="139"/>
  <c r="C43" i="139"/>
  <c r="B43" i="139"/>
  <c r="R42" i="139"/>
  <c r="N42" i="139"/>
  <c r="J42" i="139"/>
  <c r="F42" i="139"/>
  <c r="B42" i="139"/>
  <c r="R41" i="139"/>
  <c r="N41" i="139"/>
  <c r="J41" i="139"/>
  <c r="F41" i="139"/>
  <c r="B41" i="139"/>
  <c r="U40" i="139"/>
  <c r="T40" i="139"/>
  <c r="R40" i="139" s="1"/>
  <c r="S40" i="139"/>
  <c r="Q40" i="139"/>
  <c r="P40" i="139"/>
  <c r="O40" i="139"/>
  <c r="N40" i="139"/>
  <c r="M40" i="139"/>
  <c r="L40" i="139"/>
  <c r="K40" i="139"/>
  <c r="J40" i="139"/>
  <c r="I40" i="139"/>
  <c r="H40" i="139"/>
  <c r="G40" i="139"/>
  <c r="F40" i="139"/>
  <c r="E40" i="139"/>
  <c r="D40" i="139"/>
  <c r="C40" i="139"/>
  <c r="B40" i="139"/>
  <c r="R39" i="139"/>
  <c r="N39" i="139"/>
  <c r="J39" i="139"/>
  <c r="F39" i="139"/>
  <c r="B39" i="139"/>
  <c r="R38" i="139"/>
  <c r="N38" i="139"/>
  <c r="J38" i="139"/>
  <c r="F38" i="139"/>
  <c r="B38" i="139"/>
  <c r="R37" i="139"/>
  <c r="N37" i="139"/>
  <c r="J37" i="139"/>
  <c r="F37" i="139"/>
  <c r="B37" i="139"/>
  <c r="R36" i="139"/>
  <c r="N36" i="139"/>
  <c r="J36" i="139"/>
  <c r="F36" i="139"/>
  <c r="B36" i="139"/>
  <c r="R35" i="139"/>
  <c r="N35" i="139"/>
  <c r="J35" i="139"/>
  <c r="F35" i="139"/>
  <c r="B35" i="139"/>
  <c r="R34" i="139"/>
  <c r="N34" i="139"/>
  <c r="J34" i="139"/>
  <c r="F34" i="139"/>
  <c r="B34" i="139"/>
  <c r="R33" i="139"/>
  <c r="N33" i="139"/>
  <c r="J33" i="139"/>
  <c r="F33" i="139"/>
  <c r="B33" i="139"/>
  <c r="R32" i="139"/>
  <c r="N32" i="139"/>
  <c r="F32" i="139"/>
  <c r="B32" i="139"/>
  <c r="U31" i="139"/>
  <c r="T31" i="139"/>
  <c r="S31" i="139"/>
  <c r="R31" i="139" s="1"/>
  <c r="Q31" i="139"/>
  <c r="P31" i="139"/>
  <c r="O31" i="139"/>
  <c r="N31" i="139" s="1"/>
  <c r="M31" i="139"/>
  <c r="L31" i="139"/>
  <c r="K31" i="139"/>
  <c r="J31" i="139" s="1"/>
  <c r="I31" i="139"/>
  <c r="H31" i="139"/>
  <c r="G31" i="139"/>
  <c r="F31" i="139" s="1"/>
  <c r="E31" i="139"/>
  <c r="D31" i="139"/>
  <c r="C31" i="139"/>
  <c r="B31" i="139" s="1"/>
  <c r="R30" i="139"/>
  <c r="N30" i="139"/>
  <c r="J30" i="139"/>
  <c r="F30" i="139"/>
  <c r="B30" i="139"/>
  <c r="R29" i="139"/>
  <c r="N29" i="139"/>
  <c r="J29" i="139"/>
  <c r="F29" i="139"/>
  <c r="B29" i="139"/>
  <c r="R28" i="139"/>
  <c r="N28" i="139"/>
  <c r="J28" i="139"/>
  <c r="F28" i="139"/>
  <c r="B28" i="139"/>
  <c r="R27" i="139"/>
  <c r="N27" i="139"/>
  <c r="J27" i="139"/>
  <c r="F27" i="139"/>
  <c r="B27" i="139"/>
  <c r="U26" i="139"/>
  <c r="T26" i="139"/>
  <c r="S26" i="139"/>
  <c r="R26" i="139" s="1"/>
  <c r="Q26" i="139"/>
  <c r="P26" i="139"/>
  <c r="O26" i="139"/>
  <c r="N26" i="139" s="1"/>
  <c r="M26" i="139"/>
  <c r="L26" i="139"/>
  <c r="K26" i="139"/>
  <c r="J26" i="139" s="1"/>
  <c r="I26" i="139"/>
  <c r="H26" i="139"/>
  <c r="G26" i="139"/>
  <c r="F26" i="139" s="1"/>
  <c r="E26" i="139"/>
  <c r="D26" i="139"/>
  <c r="C26" i="139"/>
  <c r="B26" i="139" s="1"/>
  <c r="R25" i="139"/>
  <c r="N25" i="139"/>
  <c r="J25" i="139"/>
  <c r="F25" i="139"/>
  <c r="B25" i="139"/>
  <c r="R24" i="139"/>
  <c r="N24" i="139"/>
  <c r="J24" i="139"/>
  <c r="F24" i="139"/>
  <c r="B24" i="139"/>
  <c r="R23" i="139"/>
  <c r="N23" i="139"/>
  <c r="J23" i="139"/>
  <c r="F23" i="139"/>
  <c r="B23" i="139"/>
  <c r="U22" i="139"/>
  <c r="T22" i="139"/>
  <c r="R22" i="139" s="1"/>
  <c r="S22" i="139"/>
  <c r="Q22" i="139"/>
  <c r="P22" i="139"/>
  <c r="N22" i="139" s="1"/>
  <c r="O22" i="139"/>
  <c r="M22" i="139"/>
  <c r="L22" i="139"/>
  <c r="J22" i="139" s="1"/>
  <c r="K22" i="139"/>
  <c r="I22" i="139"/>
  <c r="H22" i="139"/>
  <c r="F22" i="139" s="1"/>
  <c r="G22" i="139"/>
  <c r="E22" i="139"/>
  <c r="D22" i="139"/>
  <c r="B22" i="139" s="1"/>
  <c r="C22" i="139"/>
  <c r="R21" i="139"/>
  <c r="N21" i="139"/>
  <c r="J21" i="139"/>
  <c r="F21" i="139"/>
  <c r="B21" i="139"/>
  <c r="R20" i="139"/>
  <c r="N20" i="139"/>
  <c r="J20" i="139"/>
  <c r="F20" i="139"/>
  <c r="B20" i="139"/>
  <c r="R19" i="139"/>
  <c r="N19" i="139"/>
  <c r="J19" i="139"/>
  <c r="F19" i="139"/>
  <c r="B19" i="139"/>
  <c r="R18" i="139"/>
  <c r="N18" i="139"/>
  <c r="J18" i="139"/>
  <c r="F18" i="139"/>
  <c r="B18" i="139"/>
  <c r="R17" i="139"/>
  <c r="N17" i="139"/>
  <c r="J17" i="139"/>
  <c r="F17" i="139"/>
  <c r="B17" i="139"/>
  <c r="U16" i="139"/>
  <c r="U6" i="139" s="1"/>
  <c r="T16" i="139"/>
  <c r="S16" i="139"/>
  <c r="R16" i="139" s="1"/>
  <c r="Q16" i="139"/>
  <c r="Q6" i="139" s="1"/>
  <c r="P16" i="139"/>
  <c r="O16" i="139"/>
  <c r="N16" i="139" s="1"/>
  <c r="M16" i="139"/>
  <c r="M6" i="139" s="1"/>
  <c r="L16" i="139"/>
  <c r="K16" i="139"/>
  <c r="J16" i="139" s="1"/>
  <c r="I16" i="139"/>
  <c r="I6" i="139" s="1"/>
  <c r="H16" i="139"/>
  <c r="G16" i="139"/>
  <c r="F16" i="139" s="1"/>
  <c r="E16" i="139"/>
  <c r="E6" i="139" s="1"/>
  <c r="D16" i="139"/>
  <c r="C16" i="139"/>
  <c r="B16" i="139" s="1"/>
  <c r="R15" i="139"/>
  <c r="N15" i="139"/>
  <c r="J15" i="139"/>
  <c r="F15" i="139"/>
  <c r="B15" i="139"/>
  <c r="R14" i="139"/>
  <c r="N14" i="139"/>
  <c r="J14" i="139"/>
  <c r="F14" i="139"/>
  <c r="B14" i="139"/>
  <c r="R13" i="139"/>
  <c r="N13" i="139"/>
  <c r="J13" i="139"/>
  <c r="F13" i="139"/>
  <c r="B13" i="139"/>
  <c r="U12" i="139"/>
  <c r="T12" i="139"/>
  <c r="R12" i="139" s="1"/>
  <c r="S12" i="139"/>
  <c r="Q12" i="139"/>
  <c r="P12" i="139"/>
  <c r="N12" i="139" s="1"/>
  <c r="O12" i="139"/>
  <c r="M12" i="139"/>
  <c r="L12" i="139"/>
  <c r="J12" i="139" s="1"/>
  <c r="K12" i="139"/>
  <c r="I12" i="139"/>
  <c r="H12" i="139"/>
  <c r="F12" i="139" s="1"/>
  <c r="G12" i="139"/>
  <c r="E12" i="139"/>
  <c r="D12" i="139"/>
  <c r="B12" i="139" s="1"/>
  <c r="C12" i="139"/>
  <c r="R11" i="139"/>
  <c r="N11" i="139"/>
  <c r="J11" i="139"/>
  <c r="F11" i="139"/>
  <c r="B11" i="139"/>
  <c r="R10" i="139"/>
  <c r="N10" i="139"/>
  <c r="J10" i="139"/>
  <c r="F10" i="139"/>
  <c r="B10" i="139"/>
  <c r="R9" i="139"/>
  <c r="N9" i="139"/>
  <c r="J9" i="139"/>
  <c r="F9" i="139"/>
  <c r="B9" i="139"/>
  <c r="R8" i="139"/>
  <c r="N8" i="139"/>
  <c r="J8" i="139"/>
  <c r="F8" i="139"/>
  <c r="B8" i="139"/>
  <c r="U7" i="139"/>
  <c r="T7" i="139"/>
  <c r="R7" i="139" s="1"/>
  <c r="S7" i="139"/>
  <c r="Q7" i="139"/>
  <c r="P7" i="139"/>
  <c r="N7" i="139" s="1"/>
  <c r="O7" i="139"/>
  <c r="M7" i="139"/>
  <c r="L7" i="139"/>
  <c r="J7" i="139" s="1"/>
  <c r="K7" i="139"/>
  <c r="I7" i="139"/>
  <c r="H7" i="139"/>
  <c r="F7" i="139" s="1"/>
  <c r="G7" i="139"/>
  <c r="E7" i="139"/>
  <c r="D7" i="139"/>
  <c r="C7" i="139"/>
  <c r="B7" i="139"/>
  <c r="T6" i="139"/>
  <c r="P6" i="139"/>
  <c r="L6" i="139"/>
  <c r="H6" i="139"/>
  <c r="D6" i="139"/>
  <c r="N124" i="138"/>
  <c r="K124" i="138"/>
  <c r="H124" i="138"/>
  <c r="E124" i="138"/>
  <c r="B124" i="138"/>
  <c r="N123" i="138"/>
  <c r="K123" i="138"/>
  <c r="H123" i="138"/>
  <c r="E123" i="138"/>
  <c r="B123" i="138"/>
  <c r="N122" i="138"/>
  <c r="K122" i="138"/>
  <c r="H122" i="138"/>
  <c r="E122" i="138"/>
  <c r="B122" i="138"/>
  <c r="N121" i="138"/>
  <c r="K121" i="138"/>
  <c r="H121" i="138"/>
  <c r="E121" i="138"/>
  <c r="B121" i="138"/>
  <c r="N120" i="138"/>
  <c r="K120" i="138"/>
  <c r="H120" i="138"/>
  <c r="E120" i="138"/>
  <c r="B120" i="138"/>
  <c r="N119" i="138"/>
  <c r="K119" i="138"/>
  <c r="H119" i="138"/>
  <c r="E119" i="138"/>
  <c r="B119" i="138"/>
  <c r="N118" i="138"/>
  <c r="K118" i="138"/>
  <c r="H118" i="138"/>
  <c r="E118" i="138"/>
  <c r="B118" i="138"/>
  <c r="N117" i="138"/>
  <c r="K117" i="138"/>
  <c r="H117" i="138"/>
  <c r="E117" i="138"/>
  <c r="B117" i="138"/>
  <c r="N116" i="138"/>
  <c r="K116" i="138"/>
  <c r="H116" i="138"/>
  <c r="E116" i="138"/>
  <c r="B116" i="138"/>
  <c r="N115" i="138"/>
  <c r="K115" i="138"/>
  <c r="H115" i="138"/>
  <c r="E115" i="138"/>
  <c r="B115" i="138"/>
  <c r="N114" i="138"/>
  <c r="K114" i="138"/>
  <c r="H114" i="138"/>
  <c r="E114" i="138"/>
  <c r="B114" i="138"/>
  <c r="P113" i="138"/>
  <c r="O113" i="138"/>
  <c r="N113" i="138"/>
  <c r="M113" i="138"/>
  <c r="L113" i="138"/>
  <c r="K113" i="138" s="1"/>
  <c r="J113" i="138"/>
  <c r="H113" i="138" s="1"/>
  <c r="I113" i="138"/>
  <c r="G113" i="138"/>
  <c r="F113" i="138"/>
  <c r="E113" i="138" s="1"/>
  <c r="D113" i="138"/>
  <c r="C113" i="138"/>
  <c r="B113" i="138"/>
  <c r="N112" i="138"/>
  <c r="K112" i="138"/>
  <c r="H112" i="138"/>
  <c r="E112" i="138"/>
  <c r="B112" i="138"/>
  <c r="N111" i="138"/>
  <c r="K111" i="138"/>
  <c r="H111" i="138"/>
  <c r="E111" i="138"/>
  <c r="B111" i="138"/>
  <c r="N110" i="138"/>
  <c r="K110" i="138"/>
  <c r="H110" i="138"/>
  <c r="E110" i="138"/>
  <c r="B110" i="138"/>
  <c r="N109" i="138"/>
  <c r="K109" i="138"/>
  <c r="H109" i="138"/>
  <c r="E109" i="138"/>
  <c r="B109" i="138"/>
  <c r="N108" i="138"/>
  <c r="K108" i="138"/>
  <c r="H108" i="138"/>
  <c r="E108" i="138"/>
  <c r="B108" i="138"/>
  <c r="N107" i="138"/>
  <c r="K107" i="138"/>
  <c r="H107" i="138"/>
  <c r="E107" i="138"/>
  <c r="B107" i="138"/>
  <c r="N106" i="138"/>
  <c r="K106" i="138"/>
  <c r="H106" i="138"/>
  <c r="E106" i="138"/>
  <c r="B106" i="138"/>
  <c r="N105" i="138"/>
  <c r="K105" i="138"/>
  <c r="H105" i="138"/>
  <c r="E105" i="138"/>
  <c r="B105" i="138"/>
  <c r="N104" i="138"/>
  <c r="K104" i="138"/>
  <c r="H104" i="138"/>
  <c r="E104" i="138"/>
  <c r="B104" i="138"/>
  <c r="N103" i="138"/>
  <c r="K103" i="138"/>
  <c r="H103" i="138"/>
  <c r="E103" i="138"/>
  <c r="B103" i="138"/>
  <c r="N102" i="138"/>
  <c r="K102" i="138"/>
  <c r="H102" i="138"/>
  <c r="E102" i="138"/>
  <c r="B102" i="138"/>
  <c r="N101" i="138"/>
  <c r="K101" i="138"/>
  <c r="H101" i="138"/>
  <c r="E101" i="138"/>
  <c r="B101" i="138"/>
  <c r="N100" i="138"/>
  <c r="K100" i="138"/>
  <c r="H100" i="138"/>
  <c r="E100" i="138"/>
  <c r="B100" i="138"/>
  <c r="N99" i="138"/>
  <c r="K99" i="138"/>
  <c r="H99" i="138"/>
  <c r="E99" i="138"/>
  <c r="B99" i="138"/>
  <c r="N98" i="138"/>
  <c r="K98" i="138"/>
  <c r="H98" i="138"/>
  <c r="E98" i="138"/>
  <c r="B98" i="138"/>
  <c r="N97" i="138"/>
  <c r="K97" i="138"/>
  <c r="H97" i="138"/>
  <c r="E97" i="138"/>
  <c r="B97" i="138"/>
  <c r="N96" i="138"/>
  <c r="K96" i="138"/>
  <c r="H96" i="138"/>
  <c r="E96" i="138"/>
  <c r="B96" i="138"/>
  <c r="N95" i="138"/>
  <c r="K95" i="138"/>
  <c r="H95" i="138"/>
  <c r="E95" i="138"/>
  <c r="B95" i="138"/>
  <c r="N94" i="138"/>
  <c r="K94" i="138"/>
  <c r="H94" i="138"/>
  <c r="E94" i="138"/>
  <c r="B94" i="138"/>
  <c r="P93" i="138"/>
  <c r="N93" i="138" s="1"/>
  <c r="O93" i="138"/>
  <c r="M93" i="138"/>
  <c r="L93" i="138"/>
  <c r="K93" i="138" s="1"/>
  <c r="J93" i="138"/>
  <c r="I93" i="138"/>
  <c r="H93" i="138"/>
  <c r="G93" i="138"/>
  <c r="F93" i="138"/>
  <c r="E93" i="138" s="1"/>
  <c r="D93" i="138"/>
  <c r="B93" i="138" s="1"/>
  <c r="C93" i="138"/>
  <c r="N92" i="138"/>
  <c r="K92" i="138"/>
  <c r="H92" i="138"/>
  <c r="E92" i="138"/>
  <c r="B92" i="138"/>
  <c r="N91" i="138"/>
  <c r="K91" i="138"/>
  <c r="H91" i="138"/>
  <c r="E91" i="138"/>
  <c r="B91" i="138"/>
  <c r="N90" i="138"/>
  <c r="K90" i="138"/>
  <c r="H90" i="138"/>
  <c r="E90" i="138"/>
  <c r="B90" i="138"/>
  <c r="N89" i="138"/>
  <c r="K89" i="138"/>
  <c r="H89" i="138"/>
  <c r="E89" i="138"/>
  <c r="B89" i="138"/>
  <c r="N88" i="138"/>
  <c r="K88" i="138"/>
  <c r="H88" i="138"/>
  <c r="E88" i="138"/>
  <c r="B88" i="138"/>
  <c r="N87" i="138"/>
  <c r="K87" i="138"/>
  <c r="H87" i="138"/>
  <c r="E87" i="138"/>
  <c r="B87" i="138"/>
  <c r="N86" i="138"/>
  <c r="K86" i="138"/>
  <c r="H86" i="138"/>
  <c r="E86" i="138"/>
  <c r="B86" i="138"/>
  <c r="N85" i="138"/>
  <c r="K85" i="138"/>
  <c r="H85" i="138"/>
  <c r="E85" i="138"/>
  <c r="B85" i="138"/>
  <c r="N84" i="138"/>
  <c r="K84" i="138"/>
  <c r="H84" i="138"/>
  <c r="E84" i="138"/>
  <c r="B84" i="138"/>
  <c r="N83" i="138"/>
  <c r="K83" i="138"/>
  <c r="H83" i="138"/>
  <c r="E83" i="138"/>
  <c r="B83" i="138"/>
  <c r="N82" i="138"/>
  <c r="K82" i="138"/>
  <c r="H82" i="138"/>
  <c r="E82" i="138"/>
  <c r="B82" i="138"/>
  <c r="P81" i="138"/>
  <c r="O81" i="138"/>
  <c r="N81" i="138"/>
  <c r="M81" i="138"/>
  <c r="L81" i="138"/>
  <c r="K81" i="138" s="1"/>
  <c r="J81" i="138"/>
  <c r="H81" i="138" s="1"/>
  <c r="I81" i="138"/>
  <c r="G81" i="138"/>
  <c r="F81" i="138"/>
  <c r="E81" i="138" s="1"/>
  <c r="D81" i="138"/>
  <c r="C81" i="138"/>
  <c r="B81" i="138"/>
  <c r="N80" i="138"/>
  <c r="K80" i="138"/>
  <c r="H80" i="138"/>
  <c r="E80" i="138"/>
  <c r="B80" i="138"/>
  <c r="N79" i="138"/>
  <c r="K79" i="138"/>
  <c r="H79" i="138"/>
  <c r="E79" i="138"/>
  <c r="B79" i="138"/>
  <c r="P78" i="138"/>
  <c r="O78" i="138"/>
  <c r="N78" i="138" s="1"/>
  <c r="M78" i="138"/>
  <c r="L78" i="138"/>
  <c r="K78" i="138"/>
  <c r="J78" i="138"/>
  <c r="I78" i="138"/>
  <c r="H78" i="138" s="1"/>
  <c r="G78" i="138"/>
  <c r="E78" i="138" s="1"/>
  <c r="F78" i="138"/>
  <c r="D78" i="138"/>
  <c r="C78" i="138"/>
  <c r="B78" i="138" s="1"/>
  <c r="N77" i="138"/>
  <c r="K77" i="138"/>
  <c r="H77" i="138"/>
  <c r="E77" i="138"/>
  <c r="B77" i="138"/>
  <c r="N76" i="138"/>
  <c r="K76" i="138"/>
  <c r="H76" i="138"/>
  <c r="E76" i="138"/>
  <c r="B76" i="138"/>
  <c r="N75" i="138"/>
  <c r="K75" i="138"/>
  <c r="H75" i="138"/>
  <c r="E75" i="138"/>
  <c r="B75" i="138"/>
  <c r="N74" i="138"/>
  <c r="K74" i="138"/>
  <c r="H74" i="138"/>
  <c r="E74" i="138"/>
  <c r="B74" i="138"/>
  <c r="N73" i="138"/>
  <c r="K73" i="138"/>
  <c r="H73" i="138"/>
  <c r="E73" i="138"/>
  <c r="B73" i="138"/>
  <c r="N72" i="138"/>
  <c r="K72" i="138"/>
  <c r="H72" i="138"/>
  <c r="E72" i="138"/>
  <c r="B72" i="138"/>
  <c r="N71" i="138"/>
  <c r="K71" i="138"/>
  <c r="H71" i="138"/>
  <c r="E71" i="138"/>
  <c r="B71" i="138"/>
  <c r="N70" i="138"/>
  <c r="K70" i="138"/>
  <c r="H70" i="138"/>
  <c r="E70" i="138"/>
  <c r="B70" i="138"/>
  <c r="N69" i="138"/>
  <c r="K69" i="138"/>
  <c r="H69" i="138"/>
  <c r="E69" i="138"/>
  <c r="B69" i="138"/>
  <c r="N68" i="138"/>
  <c r="K68" i="138"/>
  <c r="H68" i="138"/>
  <c r="E68" i="138"/>
  <c r="B68" i="138"/>
  <c r="N67" i="138"/>
  <c r="K67" i="138"/>
  <c r="H67" i="138"/>
  <c r="E67" i="138"/>
  <c r="B67" i="138"/>
  <c r="N66" i="138"/>
  <c r="K66" i="138"/>
  <c r="H66" i="138"/>
  <c r="E66" i="138"/>
  <c r="B66" i="138"/>
  <c r="N65" i="138"/>
  <c r="K65" i="138"/>
  <c r="H65" i="138"/>
  <c r="E65" i="138"/>
  <c r="B65" i="138"/>
  <c r="P64" i="138"/>
  <c r="O64" i="138"/>
  <c r="N64" i="138" s="1"/>
  <c r="M64" i="138"/>
  <c r="L64" i="138"/>
  <c r="K64" i="138"/>
  <c r="J64" i="138"/>
  <c r="I64" i="138"/>
  <c r="H64" i="138" s="1"/>
  <c r="G64" i="138"/>
  <c r="E64" i="138" s="1"/>
  <c r="F64" i="138"/>
  <c r="D64" i="138"/>
  <c r="C64" i="138"/>
  <c r="B64" i="138" s="1"/>
  <c r="N63" i="138"/>
  <c r="K63" i="138"/>
  <c r="H63" i="138"/>
  <c r="E63" i="138"/>
  <c r="B63" i="138"/>
  <c r="N62" i="138"/>
  <c r="K62" i="138"/>
  <c r="H62" i="138"/>
  <c r="E62" i="138"/>
  <c r="B62" i="138"/>
  <c r="N61" i="138"/>
  <c r="K61" i="138"/>
  <c r="H61" i="138"/>
  <c r="E61" i="138"/>
  <c r="B61" i="138"/>
  <c r="N60" i="138"/>
  <c r="K60" i="138"/>
  <c r="H60" i="138"/>
  <c r="E60" i="138"/>
  <c r="B60" i="138"/>
  <c r="N59" i="138"/>
  <c r="K59" i="138"/>
  <c r="H59" i="138"/>
  <c r="E59" i="138"/>
  <c r="B59" i="138"/>
  <c r="N58" i="138"/>
  <c r="K58" i="138"/>
  <c r="H58" i="138"/>
  <c r="E58" i="138"/>
  <c r="B58" i="138"/>
  <c r="N57" i="138"/>
  <c r="K57" i="138"/>
  <c r="H57" i="138"/>
  <c r="E57" i="138"/>
  <c r="B57" i="138"/>
  <c r="P56" i="138"/>
  <c r="O56" i="138"/>
  <c r="N56" i="138" s="1"/>
  <c r="M56" i="138"/>
  <c r="K56" i="138" s="1"/>
  <c r="L56" i="138"/>
  <c r="J56" i="138"/>
  <c r="I56" i="138"/>
  <c r="H56" i="138" s="1"/>
  <c r="G56" i="138"/>
  <c r="F56" i="138"/>
  <c r="E56" i="138"/>
  <c r="D56" i="138"/>
  <c r="C56" i="138"/>
  <c r="B56" i="138" s="1"/>
  <c r="N55" i="138"/>
  <c r="K55" i="138"/>
  <c r="H55" i="138"/>
  <c r="E55" i="138"/>
  <c r="B55" i="138"/>
  <c r="N54" i="138"/>
  <c r="K54" i="138"/>
  <c r="H54" i="138"/>
  <c r="E54" i="138"/>
  <c r="B54" i="138"/>
  <c r="N53" i="138"/>
  <c r="K53" i="138"/>
  <c r="H53" i="138"/>
  <c r="E53" i="138"/>
  <c r="B53" i="138"/>
  <c r="N52" i="138"/>
  <c r="K52" i="138"/>
  <c r="H52" i="138"/>
  <c r="E52" i="138"/>
  <c r="B52" i="138"/>
  <c r="N51" i="138"/>
  <c r="K51" i="138"/>
  <c r="H51" i="138"/>
  <c r="E51" i="138"/>
  <c r="B51" i="138"/>
  <c r="N50" i="138"/>
  <c r="K50" i="138"/>
  <c r="H50" i="138"/>
  <c r="E50" i="138"/>
  <c r="B50" i="138"/>
  <c r="N49" i="138"/>
  <c r="K49" i="138"/>
  <c r="H49" i="138"/>
  <c r="E49" i="138"/>
  <c r="B49" i="138"/>
  <c r="N48" i="138"/>
  <c r="K48" i="138"/>
  <c r="H48" i="138"/>
  <c r="E48" i="138"/>
  <c r="B48" i="138"/>
  <c r="P47" i="138"/>
  <c r="N47" i="138" s="1"/>
  <c r="O47" i="138"/>
  <c r="M47" i="138"/>
  <c r="L47" i="138"/>
  <c r="K47" i="138" s="1"/>
  <c r="J47" i="138"/>
  <c r="I47" i="138"/>
  <c r="H47" i="138"/>
  <c r="G47" i="138"/>
  <c r="F47" i="138"/>
  <c r="E47" i="138" s="1"/>
  <c r="D47" i="138"/>
  <c r="B47" i="138" s="1"/>
  <c r="C47" i="138"/>
  <c r="N46" i="138"/>
  <c r="K46" i="138"/>
  <c r="H46" i="138"/>
  <c r="E46" i="138"/>
  <c r="B46" i="138"/>
  <c r="N45" i="138"/>
  <c r="K45" i="138"/>
  <c r="H45" i="138"/>
  <c r="E45" i="138"/>
  <c r="B45" i="138"/>
  <c r="N44" i="138"/>
  <c r="K44" i="138"/>
  <c r="H44" i="138"/>
  <c r="E44" i="138"/>
  <c r="B44" i="138"/>
  <c r="P43" i="138"/>
  <c r="O43" i="138"/>
  <c r="N43" i="138"/>
  <c r="M43" i="138"/>
  <c r="L43" i="138"/>
  <c r="K43" i="138" s="1"/>
  <c r="J43" i="138"/>
  <c r="H43" i="138" s="1"/>
  <c r="I43" i="138"/>
  <c r="G43" i="138"/>
  <c r="F43" i="138"/>
  <c r="E43" i="138" s="1"/>
  <c r="D43" i="138"/>
  <c r="C43" i="138"/>
  <c r="B43" i="138"/>
  <c r="N42" i="138"/>
  <c r="K42" i="138"/>
  <c r="H42" i="138"/>
  <c r="E42" i="138"/>
  <c r="B42" i="138"/>
  <c r="N41" i="138"/>
  <c r="K41" i="138"/>
  <c r="H41" i="138"/>
  <c r="E41" i="138"/>
  <c r="B41" i="138"/>
  <c r="P40" i="138"/>
  <c r="O40" i="138"/>
  <c r="N40" i="138" s="1"/>
  <c r="M40" i="138"/>
  <c r="L40" i="138"/>
  <c r="K40" i="138"/>
  <c r="J40" i="138"/>
  <c r="I40" i="138"/>
  <c r="H40" i="138" s="1"/>
  <c r="G40" i="138"/>
  <c r="E40" i="138" s="1"/>
  <c r="F40" i="138"/>
  <c r="D40" i="138"/>
  <c r="C40" i="138"/>
  <c r="B40" i="138" s="1"/>
  <c r="N39" i="138"/>
  <c r="K39" i="138"/>
  <c r="H39" i="138"/>
  <c r="E39" i="138"/>
  <c r="B39" i="138"/>
  <c r="N38" i="138"/>
  <c r="K38" i="138"/>
  <c r="H38" i="138"/>
  <c r="E38" i="138"/>
  <c r="B38" i="138"/>
  <c r="N37" i="138"/>
  <c r="K37" i="138"/>
  <c r="H37" i="138"/>
  <c r="E37" i="138"/>
  <c r="B37" i="138"/>
  <c r="N36" i="138"/>
  <c r="K36" i="138"/>
  <c r="H36" i="138"/>
  <c r="E36" i="138"/>
  <c r="B36" i="138"/>
  <c r="N35" i="138"/>
  <c r="K35" i="138"/>
  <c r="H35" i="138"/>
  <c r="E35" i="138"/>
  <c r="B35" i="138"/>
  <c r="N34" i="138"/>
  <c r="K34" i="138"/>
  <c r="H34" i="138"/>
  <c r="E34" i="138"/>
  <c r="B34" i="138"/>
  <c r="N33" i="138"/>
  <c r="K33" i="138"/>
  <c r="H33" i="138"/>
  <c r="E33" i="138"/>
  <c r="B33" i="138"/>
  <c r="N32" i="138"/>
  <c r="K32" i="138"/>
  <c r="H32" i="138"/>
  <c r="E32" i="138"/>
  <c r="B32" i="138"/>
  <c r="P31" i="138"/>
  <c r="O31" i="138"/>
  <c r="N31" i="138"/>
  <c r="M31" i="138"/>
  <c r="L31" i="138"/>
  <c r="K31" i="138" s="1"/>
  <c r="J31" i="138"/>
  <c r="H31" i="138" s="1"/>
  <c r="I31" i="138"/>
  <c r="G31" i="138"/>
  <c r="F31" i="138"/>
  <c r="E31" i="138" s="1"/>
  <c r="D31" i="138"/>
  <c r="C31" i="138"/>
  <c r="B31" i="138"/>
  <c r="N30" i="138"/>
  <c r="K30" i="138"/>
  <c r="H30" i="138"/>
  <c r="E30" i="138"/>
  <c r="B30" i="138"/>
  <c r="N29" i="138"/>
  <c r="K29" i="138"/>
  <c r="H29" i="138"/>
  <c r="E29" i="138"/>
  <c r="B29" i="138"/>
  <c r="N28" i="138"/>
  <c r="K28" i="138"/>
  <c r="H28" i="138"/>
  <c r="E28" i="138"/>
  <c r="B28" i="138"/>
  <c r="N27" i="138"/>
  <c r="K27" i="138"/>
  <c r="H27" i="138"/>
  <c r="E27" i="138"/>
  <c r="B27" i="138"/>
  <c r="P26" i="138"/>
  <c r="O26" i="138"/>
  <c r="N26" i="138" s="1"/>
  <c r="M26" i="138"/>
  <c r="K26" i="138" s="1"/>
  <c r="L26" i="138"/>
  <c r="J26" i="138"/>
  <c r="I26" i="138"/>
  <c r="H26" i="138" s="1"/>
  <c r="G26" i="138"/>
  <c r="F26" i="138"/>
  <c r="E26" i="138"/>
  <c r="D26" i="138"/>
  <c r="C26" i="138"/>
  <c r="B26" i="138" s="1"/>
  <c r="N25" i="138"/>
  <c r="K25" i="138"/>
  <c r="H25" i="138"/>
  <c r="E25" i="138"/>
  <c r="B25" i="138"/>
  <c r="N24" i="138"/>
  <c r="K24" i="138"/>
  <c r="H24" i="138"/>
  <c r="E24" i="138"/>
  <c r="B24" i="138"/>
  <c r="N23" i="138"/>
  <c r="K23" i="138"/>
  <c r="H23" i="138"/>
  <c r="E23" i="138"/>
  <c r="B23" i="138"/>
  <c r="P22" i="138"/>
  <c r="O22" i="138"/>
  <c r="N22" i="138" s="1"/>
  <c r="M22" i="138"/>
  <c r="L22" i="138"/>
  <c r="K22" i="138"/>
  <c r="J22" i="138"/>
  <c r="I22" i="138"/>
  <c r="H22" i="138" s="1"/>
  <c r="G22" i="138"/>
  <c r="E22" i="138" s="1"/>
  <c r="F22" i="138"/>
  <c r="D22" i="138"/>
  <c r="C22" i="138"/>
  <c r="B22" i="138" s="1"/>
  <c r="N21" i="138"/>
  <c r="K21" i="138"/>
  <c r="H21" i="138"/>
  <c r="E21" i="138"/>
  <c r="B21" i="138"/>
  <c r="N20" i="138"/>
  <c r="K20" i="138"/>
  <c r="H20" i="138"/>
  <c r="E20" i="138"/>
  <c r="B20" i="138"/>
  <c r="N19" i="138"/>
  <c r="K19" i="138"/>
  <c r="H19" i="138"/>
  <c r="E19" i="138"/>
  <c r="B19" i="138"/>
  <c r="N18" i="138"/>
  <c r="K18" i="138"/>
  <c r="H18" i="138"/>
  <c r="E18" i="138"/>
  <c r="B18" i="138"/>
  <c r="N17" i="138"/>
  <c r="K17" i="138"/>
  <c r="H17" i="138"/>
  <c r="E17" i="138"/>
  <c r="B17" i="138"/>
  <c r="P16" i="138"/>
  <c r="O16" i="138"/>
  <c r="N16" i="138" s="1"/>
  <c r="M16" i="138"/>
  <c r="L16" i="138"/>
  <c r="K16" i="138"/>
  <c r="J16" i="138"/>
  <c r="I16" i="138"/>
  <c r="H16" i="138" s="1"/>
  <c r="G16" i="138"/>
  <c r="E16" i="138" s="1"/>
  <c r="F16" i="138"/>
  <c r="D16" i="138"/>
  <c r="C16" i="138"/>
  <c r="B16" i="138" s="1"/>
  <c r="N15" i="138"/>
  <c r="K15" i="138"/>
  <c r="H15" i="138"/>
  <c r="E15" i="138"/>
  <c r="B15" i="138"/>
  <c r="N14" i="138"/>
  <c r="K14" i="138"/>
  <c r="H14" i="138"/>
  <c r="E14" i="138"/>
  <c r="B14" i="138"/>
  <c r="N13" i="138"/>
  <c r="K13" i="138"/>
  <c r="H13" i="138"/>
  <c r="E13" i="138"/>
  <c r="B13" i="138"/>
  <c r="P12" i="138"/>
  <c r="O12" i="138"/>
  <c r="N12" i="138" s="1"/>
  <c r="M12" i="138"/>
  <c r="K12" i="138" s="1"/>
  <c r="L12" i="138"/>
  <c r="J12" i="138"/>
  <c r="I12" i="138"/>
  <c r="I6" i="138" s="1"/>
  <c r="H6" i="138" s="1"/>
  <c r="G12" i="138"/>
  <c r="F12" i="138"/>
  <c r="E12" i="138"/>
  <c r="D12" i="138"/>
  <c r="C12" i="138"/>
  <c r="B12" i="138" s="1"/>
  <c r="N11" i="138"/>
  <c r="K11" i="138"/>
  <c r="H11" i="138"/>
  <c r="E11" i="138"/>
  <c r="B11" i="138"/>
  <c r="N10" i="138"/>
  <c r="K10" i="138"/>
  <c r="H10" i="138"/>
  <c r="E10" i="138"/>
  <c r="B10" i="138"/>
  <c r="N9" i="138"/>
  <c r="K9" i="138"/>
  <c r="H9" i="138"/>
  <c r="E9" i="138"/>
  <c r="B9" i="138"/>
  <c r="N8" i="138"/>
  <c r="K8" i="138"/>
  <c r="H8" i="138"/>
  <c r="E8" i="138"/>
  <c r="B8" i="138"/>
  <c r="P7" i="138"/>
  <c r="N7" i="138" s="1"/>
  <c r="O7" i="138"/>
  <c r="M7" i="138"/>
  <c r="L7" i="138"/>
  <c r="L6" i="138" s="1"/>
  <c r="J7" i="138"/>
  <c r="J6" i="138" s="1"/>
  <c r="I7" i="138"/>
  <c r="H7" i="138"/>
  <c r="G7" i="138"/>
  <c r="F7" i="138"/>
  <c r="E7" i="138" s="1"/>
  <c r="D7" i="138"/>
  <c r="B7" i="138" s="1"/>
  <c r="C7" i="138"/>
  <c r="O6" i="138"/>
  <c r="G6" i="138"/>
  <c r="C6" i="138"/>
  <c r="N124" i="137"/>
  <c r="K124" i="137"/>
  <c r="H124" i="137"/>
  <c r="E124" i="137"/>
  <c r="B124" i="137"/>
  <c r="N123" i="137"/>
  <c r="K123" i="137"/>
  <c r="H123" i="137"/>
  <c r="E123" i="137"/>
  <c r="B123" i="137"/>
  <c r="N122" i="137"/>
  <c r="K122" i="137"/>
  <c r="H122" i="137"/>
  <c r="E122" i="137"/>
  <c r="B122" i="137"/>
  <c r="N121" i="137"/>
  <c r="K121" i="137"/>
  <c r="H121" i="137"/>
  <c r="E121" i="137"/>
  <c r="B121" i="137"/>
  <c r="N120" i="137"/>
  <c r="K120" i="137"/>
  <c r="H120" i="137"/>
  <c r="E120" i="137"/>
  <c r="B120" i="137"/>
  <c r="N119" i="137"/>
  <c r="K119" i="137"/>
  <c r="H119" i="137"/>
  <c r="E119" i="137"/>
  <c r="B119" i="137"/>
  <c r="N118" i="137"/>
  <c r="K118" i="137"/>
  <c r="H118" i="137"/>
  <c r="E118" i="137"/>
  <c r="B118" i="137"/>
  <c r="N117" i="137"/>
  <c r="K117" i="137"/>
  <c r="H117" i="137"/>
  <c r="E117" i="137"/>
  <c r="B117" i="137"/>
  <c r="N116" i="137"/>
  <c r="K116" i="137"/>
  <c r="H116" i="137"/>
  <c r="E116" i="137"/>
  <c r="B116" i="137"/>
  <c r="N115" i="137"/>
  <c r="K115" i="137"/>
  <c r="H115" i="137"/>
  <c r="E115" i="137"/>
  <c r="B115" i="137"/>
  <c r="N114" i="137"/>
  <c r="K114" i="137"/>
  <c r="H114" i="137"/>
  <c r="E114" i="137"/>
  <c r="B114" i="137"/>
  <c r="P113" i="137"/>
  <c r="O113" i="137"/>
  <c r="N113" i="137" s="1"/>
  <c r="M113" i="137"/>
  <c r="K113" i="137" s="1"/>
  <c r="L113" i="137"/>
  <c r="J113" i="137"/>
  <c r="I113" i="137"/>
  <c r="H113" i="137" s="1"/>
  <c r="G113" i="137"/>
  <c r="F113" i="137"/>
  <c r="E113" i="137"/>
  <c r="D113" i="137"/>
  <c r="C113" i="137"/>
  <c r="B113" i="137" s="1"/>
  <c r="N112" i="137"/>
  <c r="K112" i="137"/>
  <c r="H112" i="137"/>
  <c r="E112" i="137"/>
  <c r="B112" i="137"/>
  <c r="N111" i="137"/>
  <c r="K111" i="137"/>
  <c r="H111" i="137"/>
  <c r="E111" i="137"/>
  <c r="B111" i="137"/>
  <c r="N110" i="137"/>
  <c r="K110" i="137"/>
  <c r="H110" i="137"/>
  <c r="E110" i="137"/>
  <c r="B110" i="137"/>
  <c r="N109" i="137"/>
  <c r="K109" i="137"/>
  <c r="H109" i="137"/>
  <c r="E109" i="137"/>
  <c r="B109" i="137"/>
  <c r="N108" i="137"/>
  <c r="K108" i="137"/>
  <c r="H108" i="137"/>
  <c r="E108" i="137"/>
  <c r="B108" i="137"/>
  <c r="N107" i="137"/>
  <c r="K107" i="137"/>
  <c r="H107" i="137"/>
  <c r="E107" i="137"/>
  <c r="B107" i="137"/>
  <c r="N106" i="137"/>
  <c r="K106" i="137"/>
  <c r="H106" i="137"/>
  <c r="E106" i="137"/>
  <c r="B106" i="137"/>
  <c r="N105" i="137"/>
  <c r="K105" i="137"/>
  <c r="H105" i="137"/>
  <c r="E105" i="137"/>
  <c r="B105" i="137"/>
  <c r="N104" i="137"/>
  <c r="K104" i="137"/>
  <c r="H104" i="137"/>
  <c r="E104" i="137"/>
  <c r="B104" i="137"/>
  <c r="N103" i="137"/>
  <c r="K103" i="137"/>
  <c r="H103" i="137"/>
  <c r="E103" i="137"/>
  <c r="B103" i="137"/>
  <c r="N102" i="137"/>
  <c r="K102" i="137"/>
  <c r="H102" i="137"/>
  <c r="E102" i="137"/>
  <c r="B102" i="137"/>
  <c r="N101" i="137"/>
  <c r="K101" i="137"/>
  <c r="H101" i="137"/>
  <c r="E101" i="137"/>
  <c r="B101" i="137"/>
  <c r="N100" i="137"/>
  <c r="K100" i="137"/>
  <c r="H100" i="137"/>
  <c r="E100" i="137"/>
  <c r="B100" i="137"/>
  <c r="N99" i="137"/>
  <c r="K99" i="137"/>
  <c r="H99" i="137"/>
  <c r="E99" i="137"/>
  <c r="B99" i="137"/>
  <c r="N98" i="137"/>
  <c r="K98" i="137"/>
  <c r="H98" i="137"/>
  <c r="E98" i="137"/>
  <c r="B98" i="137"/>
  <c r="N97" i="137"/>
  <c r="K97" i="137"/>
  <c r="H97" i="137"/>
  <c r="E97" i="137"/>
  <c r="B97" i="137"/>
  <c r="N96" i="137"/>
  <c r="K96" i="137"/>
  <c r="H96" i="137"/>
  <c r="E96" i="137"/>
  <c r="B96" i="137"/>
  <c r="N95" i="137"/>
  <c r="K95" i="137"/>
  <c r="H95" i="137"/>
  <c r="E95" i="137"/>
  <c r="B95" i="137"/>
  <c r="N94" i="137"/>
  <c r="K94" i="137"/>
  <c r="H94" i="137"/>
  <c r="E94" i="137"/>
  <c r="B94" i="137"/>
  <c r="P93" i="137"/>
  <c r="O93" i="137"/>
  <c r="N93" i="137" s="1"/>
  <c r="M93" i="137"/>
  <c r="L93" i="137"/>
  <c r="K93" i="137"/>
  <c r="J93" i="137"/>
  <c r="I93" i="137"/>
  <c r="H93" i="137" s="1"/>
  <c r="G93" i="137"/>
  <c r="E93" i="137" s="1"/>
  <c r="F93" i="137"/>
  <c r="D93" i="137"/>
  <c r="C93" i="137"/>
  <c r="B93" i="137" s="1"/>
  <c r="N92" i="137"/>
  <c r="K92" i="137"/>
  <c r="H92" i="137"/>
  <c r="E92" i="137"/>
  <c r="B92" i="137"/>
  <c r="N91" i="137"/>
  <c r="K91" i="137"/>
  <c r="H91" i="137"/>
  <c r="E91" i="137"/>
  <c r="B91" i="137"/>
  <c r="N90" i="137"/>
  <c r="K90" i="137"/>
  <c r="H90" i="137"/>
  <c r="E90" i="137"/>
  <c r="B90" i="137"/>
  <c r="N89" i="137"/>
  <c r="K89" i="137"/>
  <c r="H89" i="137"/>
  <c r="E89" i="137"/>
  <c r="B89" i="137"/>
  <c r="N88" i="137"/>
  <c r="K88" i="137"/>
  <c r="H88" i="137"/>
  <c r="E88" i="137"/>
  <c r="B88" i="137"/>
  <c r="N87" i="137"/>
  <c r="K87" i="137"/>
  <c r="H87" i="137"/>
  <c r="E87" i="137"/>
  <c r="B87" i="137"/>
  <c r="N86" i="137"/>
  <c r="K86" i="137"/>
  <c r="H86" i="137"/>
  <c r="E86" i="137"/>
  <c r="B86" i="137"/>
  <c r="N85" i="137"/>
  <c r="K85" i="137"/>
  <c r="H85" i="137"/>
  <c r="E85" i="137"/>
  <c r="B85" i="137"/>
  <c r="N84" i="137"/>
  <c r="K84" i="137"/>
  <c r="H84" i="137"/>
  <c r="E84" i="137"/>
  <c r="B84" i="137"/>
  <c r="N83" i="137"/>
  <c r="K83" i="137"/>
  <c r="H83" i="137"/>
  <c r="E83" i="137"/>
  <c r="B83" i="137"/>
  <c r="N82" i="137"/>
  <c r="K82" i="137"/>
  <c r="H82" i="137"/>
  <c r="E82" i="137"/>
  <c r="B82" i="137"/>
  <c r="P81" i="137"/>
  <c r="O81" i="137"/>
  <c r="N81" i="137" s="1"/>
  <c r="M81" i="137"/>
  <c r="K81" i="137" s="1"/>
  <c r="L81" i="137"/>
  <c r="J81" i="137"/>
  <c r="I81" i="137"/>
  <c r="H81" i="137" s="1"/>
  <c r="G81" i="137"/>
  <c r="F81" i="137"/>
  <c r="E81" i="137"/>
  <c r="D81" i="137"/>
  <c r="C81" i="137"/>
  <c r="B81" i="137" s="1"/>
  <c r="N80" i="137"/>
  <c r="K80" i="137"/>
  <c r="H80" i="137"/>
  <c r="E80" i="137"/>
  <c r="B80" i="137"/>
  <c r="N79" i="137"/>
  <c r="K79" i="137"/>
  <c r="H79" i="137"/>
  <c r="E79" i="137"/>
  <c r="B79" i="137"/>
  <c r="P78" i="137"/>
  <c r="O78" i="137"/>
  <c r="N78" i="137"/>
  <c r="M78" i="137"/>
  <c r="L78" i="137"/>
  <c r="K78" i="137" s="1"/>
  <c r="J78" i="137"/>
  <c r="H78" i="137" s="1"/>
  <c r="I78" i="137"/>
  <c r="G78" i="137"/>
  <c r="F78" i="137"/>
  <c r="E78" i="137" s="1"/>
  <c r="D78" i="137"/>
  <c r="C78" i="137"/>
  <c r="B78" i="137"/>
  <c r="N77" i="137"/>
  <c r="K77" i="137"/>
  <c r="H77" i="137"/>
  <c r="E77" i="137"/>
  <c r="B77" i="137"/>
  <c r="N76" i="137"/>
  <c r="K76" i="137"/>
  <c r="H76" i="137"/>
  <c r="E76" i="137"/>
  <c r="B76" i="137"/>
  <c r="N75" i="137"/>
  <c r="K75" i="137"/>
  <c r="H75" i="137"/>
  <c r="E75" i="137"/>
  <c r="B75" i="137"/>
  <c r="N74" i="137"/>
  <c r="K74" i="137"/>
  <c r="H74" i="137"/>
  <c r="E74" i="137"/>
  <c r="B74" i="137"/>
  <c r="N73" i="137"/>
  <c r="K73" i="137"/>
  <c r="H73" i="137"/>
  <c r="E73" i="137"/>
  <c r="B73" i="137"/>
  <c r="N72" i="137"/>
  <c r="K72" i="137"/>
  <c r="H72" i="137"/>
  <c r="E72" i="137"/>
  <c r="B72" i="137"/>
  <c r="N71" i="137"/>
  <c r="K71" i="137"/>
  <c r="H71" i="137"/>
  <c r="E71" i="137"/>
  <c r="B71" i="137"/>
  <c r="N70" i="137"/>
  <c r="K70" i="137"/>
  <c r="H70" i="137"/>
  <c r="E70" i="137"/>
  <c r="B70" i="137"/>
  <c r="N69" i="137"/>
  <c r="K69" i="137"/>
  <c r="H69" i="137"/>
  <c r="E69" i="137"/>
  <c r="B69" i="137"/>
  <c r="N68" i="137"/>
  <c r="K68" i="137"/>
  <c r="H68" i="137"/>
  <c r="E68" i="137"/>
  <c r="B68" i="137"/>
  <c r="N67" i="137"/>
  <c r="K67" i="137"/>
  <c r="H67" i="137"/>
  <c r="E67" i="137"/>
  <c r="B67" i="137"/>
  <c r="N66" i="137"/>
  <c r="K66" i="137"/>
  <c r="H66" i="137"/>
  <c r="E66" i="137"/>
  <c r="B66" i="137"/>
  <c r="N65" i="137"/>
  <c r="K65" i="137"/>
  <c r="H65" i="137"/>
  <c r="E65" i="137"/>
  <c r="B65" i="137"/>
  <c r="P64" i="137"/>
  <c r="O64" i="137"/>
  <c r="N64" i="137" s="1"/>
  <c r="M64" i="137"/>
  <c r="L64" i="137"/>
  <c r="K64" i="137"/>
  <c r="J64" i="137"/>
  <c r="H64" i="137" s="1"/>
  <c r="I64" i="137"/>
  <c r="G64" i="137"/>
  <c r="F64" i="137"/>
  <c r="E64" i="137" s="1"/>
  <c r="D64" i="137"/>
  <c r="C64" i="137"/>
  <c r="B64" i="137" s="1"/>
  <c r="N63" i="137"/>
  <c r="K63" i="137"/>
  <c r="H63" i="137"/>
  <c r="E63" i="137"/>
  <c r="B63" i="137"/>
  <c r="N62" i="137"/>
  <c r="K62" i="137"/>
  <c r="H62" i="137"/>
  <c r="E62" i="137"/>
  <c r="B62" i="137"/>
  <c r="N61" i="137"/>
  <c r="K61" i="137"/>
  <c r="H61" i="137"/>
  <c r="E61" i="137"/>
  <c r="B61" i="137"/>
  <c r="N60" i="137"/>
  <c r="K60" i="137"/>
  <c r="H60" i="137"/>
  <c r="E60" i="137"/>
  <c r="B60" i="137"/>
  <c r="N59" i="137"/>
  <c r="K59" i="137"/>
  <c r="H59" i="137"/>
  <c r="E59" i="137"/>
  <c r="B59" i="137"/>
  <c r="N58" i="137"/>
  <c r="K58" i="137"/>
  <c r="H58" i="137"/>
  <c r="E58" i="137"/>
  <c r="B58" i="137"/>
  <c r="N57" i="137"/>
  <c r="K57" i="137"/>
  <c r="H57" i="137"/>
  <c r="E57" i="137"/>
  <c r="B57" i="137"/>
  <c r="P56" i="137"/>
  <c r="N56" i="137" s="1"/>
  <c r="O56" i="137"/>
  <c r="M56" i="137"/>
  <c r="L56" i="137"/>
  <c r="K56" i="137" s="1"/>
  <c r="J56" i="137"/>
  <c r="I56" i="137"/>
  <c r="H56" i="137" s="1"/>
  <c r="G56" i="137"/>
  <c r="F56" i="137"/>
  <c r="E56" i="137"/>
  <c r="D56" i="137"/>
  <c r="B56" i="137" s="1"/>
  <c r="C56" i="137"/>
  <c r="N55" i="137"/>
  <c r="K55" i="137"/>
  <c r="H55" i="137"/>
  <c r="E55" i="137"/>
  <c r="B55" i="137"/>
  <c r="N54" i="137"/>
  <c r="K54" i="137"/>
  <c r="H54" i="137"/>
  <c r="E54" i="137"/>
  <c r="B54" i="137"/>
  <c r="N53" i="137"/>
  <c r="K53" i="137"/>
  <c r="H53" i="137"/>
  <c r="E53" i="137"/>
  <c r="B53" i="137"/>
  <c r="N52" i="137"/>
  <c r="K52" i="137"/>
  <c r="H52" i="137"/>
  <c r="E52" i="137"/>
  <c r="B52" i="137"/>
  <c r="N51" i="137"/>
  <c r="K51" i="137"/>
  <c r="H51" i="137"/>
  <c r="E51" i="137"/>
  <c r="B51" i="137"/>
  <c r="N50" i="137"/>
  <c r="K50" i="137"/>
  <c r="H50" i="137"/>
  <c r="E50" i="137"/>
  <c r="B50" i="137"/>
  <c r="N49" i="137"/>
  <c r="K49" i="137"/>
  <c r="H49" i="137"/>
  <c r="E49" i="137"/>
  <c r="B49" i="137"/>
  <c r="N48" i="137"/>
  <c r="K48" i="137"/>
  <c r="H48" i="137"/>
  <c r="E48" i="137"/>
  <c r="B48" i="137"/>
  <c r="P47" i="137"/>
  <c r="O47" i="137"/>
  <c r="N47" i="137" s="1"/>
  <c r="M47" i="137"/>
  <c r="L47" i="137"/>
  <c r="K47" i="137" s="1"/>
  <c r="J47" i="137"/>
  <c r="I47" i="137"/>
  <c r="H47" i="137"/>
  <c r="G47" i="137"/>
  <c r="E47" i="137" s="1"/>
  <c r="F47" i="137"/>
  <c r="D47" i="137"/>
  <c r="C47" i="137"/>
  <c r="B47" i="137" s="1"/>
  <c r="N46" i="137"/>
  <c r="K46" i="137"/>
  <c r="H46" i="137"/>
  <c r="E46" i="137"/>
  <c r="B46" i="137"/>
  <c r="N45" i="137"/>
  <c r="K45" i="137"/>
  <c r="H45" i="137"/>
  <c r="E45" i="137"/>
  <c r="B45" i="137"/>
  <c r="N44" i="137"/>
  <c r="K44" i="137"/>
  <c r="H44" i="137"/>
  <c r="E44" i="137"/>
  <c r="B44" i="137"/>
  <c r="P43" i="137"/>
  <c r="O43" i="137"/>
  <c r="N43" i="137"/>
  <c r="M43" i="137"/>
  <c r="K43" i="137" s="1"/>
  <c r="L43" i="137"/>
  <c r="J43" i="137"/>
  <c r="I43" i="137"/>
  <c r="H43" i="137" s="1"/>
  <c r="G43" i="137"/>
  <c r="F43" i="137"/>
  <c r="E43" i="137" s="1"/>
  <c r="D43" i="137"/>
  <c r="C43" i="137"/>
  <c r="B43" i="137"/>
  <c r="N42" i="137"/>
  <c r="K42" i="137"/>
  <c r="H42" i="137"/>
  <c r="E42" i="137"/>
  <c r="B42" i="137"/>
  <c r="N41" i="137"/>
  <c r="K41" i="137"/>
  <c r="H41" i="137"/>
  <c r="E41" i="137"/>
  <c r="B41" i="137"/>
  <c r="P40" i="137"/>
  <c r="O40" i="137"/>
  <c r="N40" i="137" s="1"/>
  <c r="M40" i="137"/>
  <c r="L40" i="137"/>
  <c r="K40" i="137"/>
  <c r="J40" i="137"/>
  <c r="H40" i="137" s="1"/>
  <c r="I40" i="137"/>
  <c r="G40" i="137"/>
  <c r="F40" i="137"/>
  <c r="D40" i="137"/>
  <c r="C40" i="137"/>
  <c r="B40" i="137" s="1"/>
  <c r="N39" i="137"/>
  <c r="K39" i="137"/>
  <c r="H39" i="137"/>
  <c r="E39" i="137"/>
  <c r="B39" i="137"/>
  <c r="N38" i="137"/>
  <c r="K38" i="137"/>
  <c r="H38" i="137"/>
  <c r="E38" i="137"/>
  <c r="B38" i="137"/>
  <c r="N37" i="137"/>
  <c r="K37" i="137"/>
  <c r="H37" i="137"/>
  <c r="E37" i="137"/>
  <c r="B37" i="137"/>
  <c r="N36" i="137"/>
  <c r="K36" i="137"/>
  <c r="H36" i="137"/>
  <c r="E36" i="137"/>
  <c r="B36" i="137"/>
  <c r="N35" i="137"/>
  <c r="K35" i="137"/>
  <c r="H35" i="137"/>
  <c r="E35" i="137"/>
  <c r="B35" i="137"/>
  <c r="N34" i="137"/>
  <c r="K34" i="137"/>
  <c r="H34" i="137"/>
  <c r="E34" i="137"/>
  <c r="B34" i="137"/>
  <c r="N33" i="137"/>
  <c r="K33" i="137"/>
  <c r="H33" i="137"/>
  <c r="E33" i="137"/>
  <c r="B33" i="137"/>
  <c r="N32" i="137"/>
  <c r="K32" i="137"/>
  <c r="H32" i="137"/>
  <c r="E32" i="137"/>
  <c r="B32" i="137"/>
  <c r="P31" i="137"/>
  <c r="O31" i="137"/>
  <c r="N31" i="137"/>
  <c r="M31" i="137"/>
  <c r="K31" i="137" s="1"/>
  <c r="L31" i="137"/>
  <c r="J31" i="137"/>
  <c r="J6" i="137" s="1"/>
  <c r="I31" i="137"/>
  <c r="G31" i="137"/>
  <c r="F31" i="137"/>
  <c r="D31" i="137"/>
  <c r="C31" i="137"/>
  <c r="B31" i="137"/>
  <c r="N30" i="137"/>
  <c r="K30" i="137"/>
  <c r="H30" i="137"/>
  <c r="E30" i="137"/>
  <c r="B30" i="137"/>
  <c r="N29" i="137"/>
  <c r="K29" i="137"/>
  <c r="H29" i="137"/>
  <c r="H26" i="137" s="1"/>
  <c r="E29" i="137"/>
  <c r="B29" i="137"/>
  <c r="N28" i="137"/>
  <c r="K28" i="137"/>
  <c r="H28" i="137"/>
  <c r="E28" i="137"/>
  <c r="B28" i="137"/>
  <c r="N27" i="137"/>
  <c r="N26" i="137" s="1"/>
  <c r="K27" i="137"/>
  <c r="H27" i="137"/>
  <c r="E27" i="137"/>
  <c r="B27" i="137"/>
  <c r="P26" i="137"/>
  <c r="O26" i="137"/>
  <c r="M26" i="137"/>
  <c r="L26" i="137"/>
  <c r="J26" i="137"/>
  <c r="I26" i="137"/>
  <c r="G26" i="137"/>
  <c r="F26" i="137"/>
  <c r="E26" i="137"/>
  <c r="D26" i="137"/>
  <c r="B26" i="137" s="1"/>
  <c r="C26" i="137"/>
  <c r="N25" i="137"/>
  <c r="K25" i="137"/>
  <c r="H25" i="137"/>
  <c r="E25" i="137"/>
  <c r="B25" i="137"/>
  <c r="N24" i="137"/>
  <c r="K24" i="137"/>
  <c r="H24" i="137"/>
  <c r="E24" i="137"/>
  <c r="B24" i="137"/>
  <c r="N23" i="137"/>
  <c r="K23" i="137"/>
  <c r="H23" i="137"/>
  <c r="E23" i="137"/>
  <c r="B23" i="137"/>
  <c r="P22" i="137"/>
  <c r="O22" i="137"/>
  <c r="N22" i="137" s="1"/>
  <c r="M22" i="137"/>
  <c r="L22" i="137"/>
  <c r="K22" i="137"/>
  <c r="J22" i="137"/>
  <c r="H22" i="137" s="1"/>
  <c r="I22" i="137"/>
  <c r="G22" i="137"/>
  <c r="F22" i="137"/>
  <c r="D22" i="137"/>
  <c r="C22" i="137"/>
  <c r="B22" i="137" s="1"/>
  <c r="N21" i="137"/>
  <c r="K21" i="137"/>
  <c r="H21" i="137"/>
  <c r="E21" i="137"/>
  <c r="B21" i="137"/>
  <c r="N20" i="137"/>
  <c r="K20" i="137"/>
  <c r="H20" i="137"/>
  <c r="E20" i="137"/>
  <c r="B20" i="137"/>
  <c r="N19" i="137"/>
  <c r="K19" i="137"/>
  <c r="H19" i="137"/>
  <c r="E19" i="137"/>
  <c r="B19" i="137"/>
  <c r="N18" i="137"/>
  <c r="K18" i="137"/>
  <c r="H18" i="137"/>
  <c r="E18" i="137"/>
  <c r="B18" i="137"/>
  <c r="N17" i="137"/>
  <c r="K17" i="137"/>
  <c r="H17" i="137"/>
  <c r="E17" i="137"/>
  <c r="B17" i="137"/>
  <c r="P16" i="137"/>
  <c r="O16" i="137"/>
  <c r="N16" i="137" s="1"/>
  <c r="M16" i="137"/>
  <c r="L16" i="137"/>
  <c r="K16" i="137"/>
  <c r="J16" i="137"/>
  <c r="H16" i="137" s="1"/>
  <c r="I16" i="137"/>
  <c r="G16" i="137"/>
  <c r="F16" i="137"/>
  <c r="D16" i="137"/>
  <c r="C16" i="137"/>
  <c r="B16" i="137" s="1"/>
  <c r="N15" i="137"/>
  <c r="K15" i="137"/>
  <c r="H15" i="137"/>
  <c r="E15" i="137"/>
  <c r="B15" i="137"/>
  <c r="N14" i="137"/>
  <c r="K14" i="137"/>
  <c r="H14" i="137"/>
  <c r="E14" i="137"/>
  <c r="B14" i="137"/>
  <c r="N13" i="137"/>
  <c r="K13" i="137"/>
  <c r="H13" i="137"/>
  <c r="E13" i="137"/>
  <c r="B13" i="137"/>
  <c r="P12" i="137"/>
  <c r="N12" i="137" s="1"/>
  <c r="O12" i="137"/>
  <c r="M12" i="137"/>
  <c r="L12" i="137"/>
  <c r="K12" i="137" s="1"/>
  <c r="J12" i="137"/>
  <c r="I12" i="137"/>
  <c r="H12" i="137" s="1"/>
  <c r="G12" i="137"/>
  <c r="F12" i="137"/>
  <c r="E12" i="137"/>
  <c r="D12" i="137"/>
  <c r="B12" i="137" s="1"/>
  <c r="C12" i="137"/>
  <c r="N11" i="137"/>
  <c r="K11" i="137"/>
  <c r="H11" i="137"/>
  <c r="E11" i="137"/>
  <c r="B11" i="137"/>
  <c r="N10" i="137"/>
  <c r="K10" i="137"/>
  <c r="H10" i="137"/>
  <c r="E10" i="137"/>
  <c r="B10" i="137"/>
  <c r="N9" i="137"/>
  <c r="K9" i="137"/>
  <c r="H9" i="137"/>
  <c r="E9" i="137"/>
  <c r="B9" i="137"/>
  <c r="N8" i="137"/>
  <c r="K8" i="137"/>
  <c r="H8" i="137"/>
  <c r="E8" i="137"/>
  <c r="B8" i="137"/>
  <c r="P7" i="137"/>
  <c r="P6" i="137" s="1"/>
  <c r="O7" i="137"/>
  <c r="M7" i="137"/>
  <c r="M6" i="137" s="1"/>
  <c r="L7" i="137"/>
  <c r="J7" i="137"/>
  <c r="I7" i="137"/>
  <c r="I6" i="137" s="1"/>
  <c r="H6" i="137" s="1"/>
  <c r="H7" i="137"/>
  <c r="G7" i="137"/>
  <c r="E7" i="137" s="1"/>
  <c r="F7" i="137"/>
  <c r="D7" i="137"/>
  <c r="D6" i="137" s="1"/>
  <c r="C7" i="137"/>
  <c r="G6" i="137"/>
  <c r="C6" i="137"/>
  <c r="F112" i="136"/>
  <c r="E112" i="136"/>
  <c r="D112" i="136"/>
  <c r="C112" i="136"/>
  <c r="B112" i="136"/>
  <c r="F92" i="136"/>
  <c r="E92" i="136"/>
  <c r="D92" i="136"/>
  <c r="C92" i="136"/>
  <c r="B92" i="136"/>
  <c r="F80" i="136"/>
  <c r="E80" i="136"/>
  <c r="D80" i="136"/>
  <c r="C80" i="136"/>
  <c r="B80" i="136"/>
  <c r="F77" i="136"/>
  <c r="E77" i="136"/>
  <c r="D77" i="136"/>
  <c r="C77" i="136"/>
  <c r="B77" i="136"/>
  <c r="F63" i="136"/>
  <c r="E63" i="136"/>
  <c r="D63" i="136"/>
  <c r="C63" i="136"/>
  <c r="B63" i="136"/>
  <c r="F55" i="136"/>
  <c r="E55" i="136"/>
  <c r="D55" i="136"/>
  <c r="C55" i="136"/>
  <c r="B55" i="136"/>
  <c r="F46" i="136"/>
  <c r="E46" i="136"/>
  <c r="D46" i="136"/>
  <c r="C46" i="136"/>
  <c r="B46" i="136"/>
  <c r="F42" i="136"/>
  <c r="E42" i="136"/>
  <c r="D42" i="136"/>
  <c r="C42" i="136"/>
  <c r="B42" i="136"/>
  <c r="F39" i="136"/>
  <c r="E39" i="136"/>
  <c r="D39" i="136"/>
  <c r="C39" i="136"/>
  <c r="B39" i="136"/>
  <c r="F30" i="136"/>
  <c r="E30" i="136"/>
  <c r="D30" i="136"/>
  <c r="C30" i="136"/>
  <c r="B30" i="136"/>
  <c r="F25" i="136"/>
  <c r="E25" i="136"/>
  <c r="D25" i="136"/>
  <c r="C25" i="136"/>
  <c r="B25" i="136"/>
  <c r="F21" i="136"/>
  <c r="E21" i="136"/>
  <c r="D21" i="136"/>
  <c r="C21" i="136"/>
  <c r="C5" i="136" s="1"/>
  <c r="B21" i="136"/>
  <c r="F15" i="136"/>
  <c r="E15" i="136"/>
  <c r="D15" i="136"/>
  <c r="C15" i="136"/>
  <c r="B15" i="136"/>
  <c r="F11" i="136"/>
  <c r="E11" i="136"/>
  <c r="D11" i="136"/>
  <c r="C11" i="136"/>
  <c r="B11" i="136"/>
  <c r="F6" i="136"/>
  <c r="F5" i="136" s="1"/>
  <c r="E6" i="136"/>
  <c r="D6" i="136"/>
  <c r="C6" i="136"/>
  <c r="B6" i="136"/>
  <c r="B5" i="136" s="1"/>
  <c r="B5" i="134"/>
  <c r="B5" i="133"/>
  <c r="C19" i="132"/>
  <c r="C18" i="132"/>
  <c r="C17" i="132"/>
  <c r="C16" i="132"/>
  <c r="C15" i="132"/>
  <c r="C14" i="132"/>
  <c r="C13" i="132"/>
  <c r="C12" i="132"/>
  <c r="C11" i="132"/>
  <c r="C10" i="132"/>
  <c r="C9" i="132"/>
  <c r="C8" i="132"/>
  <c r="C7" i="132"/>
  <c r="C6" i="132"/>
  <c r="E7" i="127"/>
  <c r="E6" i="127" s="1"/>
  <c r="F6" i="127"/>
  <c r="G8" i="127" s="1"/>
  <c r="D6" i="127"/>
  <c r="B6" i="127"/>
  <c r="E5" i="126"/>
  <c r="E22" i="125"/>
  <c r="E5" i="125"/>
  <c r="E5" i="124"/>
  <c r="C5" i="123"/>
  <c r="B5" i="123"/>
  <c r="E21" i="122"/>
  <c r="B21" i="122"/>
  <c r="E20" i="122"/>
  <c r="B20" i="122"/>
  <c r="E19" i="122"/>
  <c r="B19" i="122"/>
  <c r="E17" i="122"/>
  <c r="B17" i="122"/>
  <c r="E16" i="122"/>
  <c r="B16" i="122"/>
  <c r="E15" i="122"/>
  <c r="B15" i="122"/>
  <c r="E14" i="122"/>
  <c r="B14" i="122"/>
  <c r="E13" i="122"/>
  <c r="B13" i="122"/>
  <c r="E12" i="122"/>
  <c r="B12" i="122"/>
  <c r="E11" i="122"/>
  <c r="B11" i="122"/>
  <c r="E10" i="122"/>
  <c r="B10" i="122"/>
  <c r="E9" i="122"/>
  <c r="E6" i="122" s="1"/>
  <c r="B9" i="122"/>
  <c r="E8" i="122"/>
  <c r="B8" i="122"/>
  <c r="B6" i="122" s="1"/>
  <c r="G6" i="122"/>
  <c r="F6" i="122"/>
  <c r="D6" i="122"/>
  <c r="C6" i="122"/>
  <c r="B5" i="120"/>
  <c r="B5" i="119"/>
  <c r="B21" i="116"/>
  <c r="B20" i="116"/>
  <c r="B19" i="116"/>
  <c r="B18" i="116"/>
  <c r="B17" i="116"/>
  <c r="B16" i="116"/>
  <c r="B15" i="116"/>
  <c r="B14" i="116"/>
  <c r="B13" i="116"/>
  <c r="B12" i="116"/>
  <c r="B11" i="116"/>
  <c r="B10" i="116"/>
  <c r="B9" i="116"/>
  <c r="B6" i="116" s="1"/>
  <c r="B8" i="116"/>
  <c r="B7" i="116"/>
  <c r="F6" i="116"/>
  <c r="E6" i="116"/>
  <c r="D6" i="116"/>
  <c r="C6" i="116"/>
  <c r="B21" i="115"/>
  <c r="B20" i="115"/>
  <c r="B19" i="115"/>
  <c r="B18" i="115"/>
  <c r="B17" i="115"/>
  <c r="B16" i="115"/>
  <c r="B15" i="115"/>
  <c r="B14" i="115"/>
  <c r="B13" i="115"/>
  <c r="B12" i="115"/>
  <c r="B11" i="115"/>
  <c r="B10" i="115"/>
  <c r="B9" i="115"/>
  <c r="B6" i="115" s="1"/>
  <c r="B8" i="115"/>
  <c r="B7" i="115"/>
  <c r="F6" i="115"/>
  <c r="E6" i="115"/>
  <c r="D6" i="115"/>
  <c r="C6" i="115"/>
  <c r="B21" i="114"/>
  <c r="B20" i="114"/>
  <c r="B19" i="114"/>
  <c r="B18" i="114"/>
  <c r="B17" i="114"/>
  <c r="B16" i="114"/>
  <c r="B15" i="114"/>
  <c r="E14" i="114"/>
  <c r="C14" i="114"/>
  <c r="B14" i="114" s="1"/>
  <c r="B13" i="114"/>
  <c r="E12" i="114"/>
  <c r="E11" i="114" s="1"/>
  <c r="E10" i="114" s="1"/>
  <c r="E9" i="114" s="1"/>
  <c r="E8" i="114" s="1"/>
  <c r="E7" i="114" s="1"/>
  <c r="E6" i="114" s="1"/>
  <c r="C12" i="114"/>
  <c r="C11" i="114" s="1"/>
  <c r="F6" i="114"/>
  <c r="D6" i="114"/>
  <c r="B9" i="113"/>
  <c r="B8" i="113"/>
  <c r="B7" i="113"/>
  <c r="G6" i="113"/>
  <c r="F6" i="113"/>
  <c r="E6" i="113"/>
  <c r="D6" i="113"/>
  <c r="C6" i="113"/>
  <c r="B6" i="113" s="1"/>
  <c r="I6" i="112"/>
  <c r="H6" i="112"/>
  <c r="G6" i="112"/>
  <c r="E6" i="112"/>
  <c r="D6" i="112"/>
  <c r="C6" i="112"/>
  <c r="F8" i="111"/>
  <c r="F5" i="111"/>
  <c r="B9" i="109"/>
  <c r="B8" i="109"/>
  <c r="B7" i="109"/>
  <c r="F6" i="109"/>
  <c r="E6" i="109"/>
  <c r="D6" i="109"/>
  <c r="C6" i="109"/>
  <c r="B6" i="109" s="1"/>
  <c r="E19" i="108"/>
  <c r="D19" i="108"/>
  <c r="B8" i="108"/>
  <c r="B7" i="108"/>
  <c r="F6" i="108"/>
  <c r="E6" i="108"/>
  <c r="D6" i="108"/>
  <c r="C19" i="108" s="1"/>
  <c r="C6" i="108"/>
  <c r="B19" i="108" s="1"/>
  <c r="G21" i="106"/>
  <c r="F21" i="106"/>
  <c r="E21" i="106"/>
  <c r="D21" i="106" s="1"/>
  <c r="C21" i="106" s="1"/>
  <c r="B21" i="106" s="1"/>
  <c r="G20" i="106"/>
  <c r="F20" i="106" s="1"/>
  <c r="E20" i="106" s="1"/>
  <c r="D20" i="106" s="1"/>
  <c r="C20" i="106" s="1"/>
  <c r="B20" i="106" s="1"/>
  <c r="B19" i="106"/>
  <c r="G18" i="106"/>
  <c r="F18" i="106"/>
  <c r="E18" i="106" s="1"/>
  <c r="D18" i="106" s="1"/>
  <c r="C18" i="106" s="1"/>
  <c r="B18" i="106" s="1"/>
  <c r="G17" i="106"/>
  <c r="F17" i="106"/>
  <c r="E17" i="106"/>
  <c r="D17" i="106"/>
  <c r="C17" i="106" s="1"/>
  <c r="B17" i="106" s="1"/>
  <c r="G16" i="106"/>
  <c r="F16" i="106"/>
  <c r="E16" i="106" s="1"/>
  <c r="D16" i="106" s="1"/>
  <c r="C16" i="106" s="1"/>
  <c r="B16" i="106" s="1"/>
  <c r="B15" i="106"/>
  <c r="G14" i="106"/>
  <c r="F14" i="106"/>
  <c r="E14" i="106"/>
  <c r="D14" i="106" s="1"/>
  <c r="C14" i="106" s="1"/>
  <c r="B14" i="106" s="1"/>
  <c r="B13" i="106"/>
  <c r="B12" i="106"/>
  <c r="B11" i="106"/>
  <c r="B10" i="106"/>
  <c r="B9" i="106"/>
  <c r="G8" i="106"/>
  <c r="F8" i="106"/>
  <c r="E8" i="106" s="1"/>
  <c r="D8" i="106" s="1"/>
  <c r="C8" i="106" s="1"/>
  <c r="B8" i="106" s="1"/>
  <c r="G7" i="106"/>
  <c r="F7" i="106"/>
  <c r="F6" i="106" s="1"/>
  <c r="F6" i="105"/>
  <c r="E6" i="105"/>
  <c r="D6" i="105"/>
  <c r="C6" i="105"/>
  <c r="B6" i="105"/>
  <c r="H27" i="104"/>
  <c r="H26" i="104" s="1"/>
  <c r="H25" i="104" s="1"/>
  <c r="H24" i="104" s="1"/>
  <c r="H23" i="104" s="1"/>
  <c r="H22" i="104" s="1"/>
  <c r="H21" i="104" s="1"/>
  <c r="H20" i="104" s="1"/>
  <c r="H19" i="104" s="1"/>
  <c r="H18" i="104" s="1"/>
  <c r="H17" i="104" s="1"/>
  <c r="H16" i="104" s="1"/>
  <c r="H15" i="104" s="1"/>
  <c r="H14" i="104" s="1"/>
  <c r="H13" i="104" s="1"/>
  <c r="H12" i="104" s="1"/>
  <c r="H11" i="104" s="1"/>
  <c r="H10" i="104" s="1"/>
  <c r="H9" i="104" s="1"/>
  <c r="H8" i="104" s="1"/>
  <c r="H7" i="104" s="1"/>
  <c r="D27" i="104"/>
  <c r="B27" i="104" s="1"/>
  <c r="D26" i="104"/>
  <c r="D25" i="104" s="1"/>
  <c r="J7" i="104"/>
  <c r="I7" i="104"/>
  <c r="G7" i="104"/>
  <c r="F7" i="104"/>
  <c r="E7" i="104"/>
  <c r="C7" i="104"/>
  <c r="B12" i="103"/>
  <c r="B11" i="103"/>
  <c r="B10" i="103"/>
  <c r="B9" i="103"/>
  <c r="B8" i="103"/>
  <c r="B7" i="103"/>
  <c r="B6" i="103"/>
  <c r="B5" i="102"/>
  <c r="B11" i="101"/>
  <c r="B10" i="101"/>
  <c r="F9" i="101"/>
  <c r="E9" i="101"/>
  <c r="D9" i="101"/>
  <c r="C9" i="101"/>
  <c r="B9" i="101"/>
  <c r="B8" i="101"/>
  <c r="B7" i="101"/>
  <c r="B5" i="101" s="1"/>
  <c r="B6" i="101"/>
  <c r="F5" i="101"/>
  <c r="E5" i="101"/>
  <c r="D5" i="101"/>
  <c r="C5" i="101"/>
  <c r="F6" i="100"/>
  <c r="E6" i="100"/>
  <c r="D6" i="100"/>
  <c r="C6" i="100"/>
  <c r="B6" i="100"/>
  <c r="B12" i="99"/>
  <c r="B11" i="99"/>
  <c r="B10" i="99"/>
  <c r="B9" i="99"/>
  <c r="B8" i="99"/>
  <c r="B7" i="99"/>
  <c r="F6" i="99"/>
  <c r="E6" i="99"/>
  <c r="D6" i="99"/>
  <c r="C6" i="99"/>
  <c r="B6" i="99"/>
  <c r="F6" i="98"/>
  <c r="E6" i="98"/>
  <c r="D6" i="98"/>
  <c r="C6" i="98"/>
  <c r="B6" i="98"/>
  <c r="F34" i="95"/>
  <c r="E34" i="95"/>
  <c r="D34" i="95"/>
  <c r="C34" i="95"/>
  <c r="B34" i="95"/>
  <c r="F33" i="95"/>
  <c r="B33" i="95"/>
  <c r="F32" i="95"/>
  <c r="B32" i="95"/>
  <c r="F6" i="95"/>
  <c r="E6" i="95"/>
  <c r="D6" i="95"/>
  <c r="C6" i="95"/>
  <c r="B6" i="95"/>
  <c r="B5" i="94"/>
  <c r="F6" i="93"/>
  <c r="E6" i="93"/>
  <c r="D6" i="93"/>
  <c r="C6" i="93"/>
  <c r="B6" i="93"/>
  <c r="F50" i="91"/>
  <c r="E50" i="91"/>
  <c r="D50" i="91"/>
  <c r="C50" i="91"/>
  <c r="B50" i="91"/>
  <c r="F45" i="91"/>
  <c r="E45" i="91"/>
  <c r="D45" i="91"/>
  <c r="C45" i="91"/>
  <c r="B45" i="91"/>
  <c r="F39" i="91"/>
  <c r="E39" i="91"/>
  <c r="D39" i="91"/>
  <c r="C39" i="91"/>
  <c r="B39" i="91"/>
  <c r="F34" i="91"/>
  <c r="E34" i="91"/>
  <c r="D34" i="91"/>
  <c r="C34" i="91"/>
  <c r="B34" i="91"/>
  <c r="F31" i="91"/>
  <c r="E31" i="91"/>
  <c r="D31" i="91"/>
  <c r="C31" i="91"/>
  <c r="B31" i="91"/>
  <c r="F22" i="91"/>
  <c r="E22" i="91"/>
  <c r="D22" i="91"/>
  <c r="C22" i="91"/>
  <c r="B22" i="91"/>
  <c r="F20" i="91"/>
  <c r="E20" i="91"/>
  <c r="D20" i="91"/>
  <c r="C20" i="91"/>
  <c r="B20" i="91"/>
  <c r="F17" i="91"/>
  <c r="E17" i="91"/>
  <c r="D17" i="91"/>
  <c r="C17" i="91"/>
  <c r="B17" i="91"/>
  <c r="F7" i="91"/>
  <c r="E7" i="91"/>
  <c r="D7" i="91"/>
  <c r="C7" i="91"/>
  <c r="B7" i="91"/>
  <c r="F6" i="91"/>
  <c r="E6" i="91"/>
  <c r="D6" i="91"/>
  <c r="C6" i="91"/>
  <c r="B6" i="91"/>
  <c r="F6" i="90"/>
  <c r="E6" i="90"/>
  <c r="D6" i="90"/>
  <c r="C6" i="90"/>
  <c r="B6" i="90"/>
  <c r="D24" i="104" l="1"/>
  <c r="B25" i="104"/>
  <c r="C10" i="114"/>
  <c r="B11" i="114"/>
  <c r="B26" i="104"/>
  <c r="G6" i="106"/>
  <c r="E7" i="106"/>
  <c r="B6" i="108"/>
  <c r="B12" i="114"/>
  <c r="E5" i="136"/>
  <c r="D5" i="136"/>
  <c r="B6" i="137"/>
  <c r="B7" i="137"/>
  <c r="E40" i="137"/>
  <c r="J6" i="144"/>
  <c r="H13" i="144"/>
  <c r="N7" i="137"/>
  <c r="K26" i="137"/>
  <c r="E31" i="137"/>
  <c r="F6" i="137"/>
  <c r="E6" i="137" s="1"/>
  <c r="K6" i="144"/>
  <c r="I13" i="144"/>
  <c r="C8" i="127"/>
  <c r="C7" i="127"/>
  <c r="C6" i="127" s="1"/>
  <c r="B5" i="150"/>
  <c r="C5" i="150"/>
  <c r="G7" i="127"/>
  <c r="G6" i="127" s="1"/>
  <c r="O6" i="137"/>
  <c r="N6" i="137" s="1"/>
  <c r="L6" i="137"/>
  <c r="K6" i="137" s="1"/>
  <c r="K7" i="137"/>
  <c r="E16" i="137"/>
  <c r="E22" i="137"/>
  <c r="H31" i="137"/>
  <c r="B6" i="138"/>
  <c r="F6" i="138"/>
  <c r="E6" i="138" s="1"/>
  <c r="K7" i="138"/>
  <c r="H12" i="138"/>
  <c r="C6" i="139"/>
  <c r="B6" i="139" s="1"/>
  <c r="G6" i="139"/>
  <c r="F6" i="139" s="1"/>
  <c r="K6" i="139"/>
  <c r="J6" i="139" s="1"/>
  <c r="O6" i="139"/>
  <c r="N6" i="139" s="1"/>
  <c r="S6" i="139"/>
  <c r="R6" i="139" s="1"/>
  <c r="D6" i="138"/>
  <c r="P6" i="138"/>
  <c r="N6" i="138" s="1"/>
  <c r="M6" i="138"/>
  <c r="K6" i="138" s="1"/>
  <c r="G13" i="144" l="1"/>
  <c r="I6" i="144"/>
  <c r="F13" i="144"/>
  <c r="H6" i="144"/>
  <c r="D7" i="106"/>
  <c r="E6" i="106"/>
  <c r="B10" i="114"/>
  <c r="C9" i="114"/>
  <c r="B24" i="104"/>
  <c r="D23" i="104"/>
  <c r="B23" i="104" l="1"/>
  <c r="D22" i="104"/>
  <c r="B9" i="114"/>
  <c r="C8" i="114"/>
  <c r="F6" i="144"/>
  <c r="D13" i="144"/>
  <c r="C7" i="106"/>
  <c r="D6" i="106"/>
  <c r="G6" i="144"/>
  <c r="E13" i="144"/>
  <c r="C7" i="114" l="1"/>
  <c r="B8" i="114"/>
  <c r="B7" i="106"/>
  <c r="C6" i="106"/>
  <c r="B6" i="106" s="1"/>
  <c r="C13" i="144"/>
  <c r="C6" i="144" s="1"/>
  <c r="E6" i="144"/>
  <c r="B13" i="144"/>
  <c r="B6" i="144" s="1"/>
  <c r="D6" i="144"/>
  <c r="D21" i="104"/>
  <c r="B22" i="104"/>
  <c r="D20" i="104" l="1"/>
  <c r="B21" i="104"/>
  <c r="B7" i="114"/>
  <c r="B6" i="114" s="1"/>
  <c r="C6" i="114"/>
  <c r="B20" i="104" l="1"/>
  <c r="D19" i="104"/>
  <c r="B19" i="104" l="1"/>
  <c r="D18" i="104"/>
  <c r="D17" i="104" l="1"/>
  <c r="B18" i="104"/>
  <c r="D16" i="104" l="1"/>
  <c r="B17" i="104"/>
  <c r="B16" i="104" l="1"/>
  <c r="D15" i="104"/>
  <c r="B15" i="104" l="1"/>
  <c r="D14" i="104"/>
  <c r="D13" i="104" l="1"/>
  <c r="B14" i="104"/>
  <c r="D12" i="104" l="1"/>
  <c r="B13" i="104"/>
  <c r="B12" i="104" l="1"/>
  <c r="D11" i="104"/>
  <c r="B11" i="104" l="1"/>
  <c r="D10" i="104"/>
  <c r="D9" i="104" l="1"/>
  <c r="B10" i="104"/>
  <c r="D8" i="104" l="1"/>
  <c r="B9" i="104"/>
  <c r="D7" i="104" l="1"/>
  <c r="B7" i="104" s="1"/>
  <c r="B8" i="104"/>
  <c r="F6" i="87" l="1"/>
  <c r="E6" i="87"/>
  <c r="D6" i="87"/>
  <c r="C6" i="87"/>
  <c r="B6" i="87"/>
  <c r="F5" i="86"/>
  <c r="E5" i="86"/>
  <c r="D5" i="86"/>
  <c r="C5" i="86"/>
  <c r="B5" i="86"/>
  <c r="F5" i="85"/>
  <c r="E5" i="85"/>
  <c r="D5" i="85"/>
  <c r="C5" i="85"/>
  <c r="B5" i="85"/>
  <c r="B23" i="84"/>
  <c r="B22" i="84"/>
  <c r="B21" i="84"/>
  <c r="B20" i="84"/>
  <c r="B19" i="84"/>
  <c r="B18" i="84"/>
  <c r="B17" i="84"/>
  <c r="B16" i="84"/>
  <c r="B15" i="84"/>
  <c r="B14" i="84"/>
  <c r="B13" i="84"/>
  <c r="B12" i="84"/>
  <c r="B11" i="84"/>
  <c r="B10" i="84"/>
  <c r="B9" i="84"/>
  <c r="B8" i="84"/>
  <c r="B7" i="84"/>
  <c r="F6" i="84"/>
  <c r="E6" i="84"/>
  <c r="D6" i="84"/>
  <c r="C6" i="84"/>
  <c r="B6" i="84"/>
  <c r="B23" i="83"/>
  <c r="B22" i="83"/>
  <c r="B21" i="83"/>
  <c r="B20" i="83"/>
  <c r="B19" i="83"/>
  <c r="B18" i="83"/>
  <c r="B17" i="83"/>
  <c r="B16" i="83"/>
  <c r="B15" i="83"/>
  <c r="B14" i="83"/>
  <c r="B13" i="83"/>
  <c r="B12" i="83"/>
  <c r="B11" i="83"/>
  <c r="B10" i="83"/>
  <c r="B9" i="83"/>
  <c r="B8" i="83"/>
  <c r="B7" i="83"/>
  <c r="H6" i="83"/>
  <c r="G6" i="83"/>
  <c r="F6" i="83"/>
  <c r="E6" i="83"/>
  <c r="D6" i="83"/>
  <c r="C6" i="83"/>
  <c r="B6" i="83"/>
  <c r="C6" i="82"/>
  <c r="B6" i="82"/>
  <c r="B33" i="81"/>
  <c r="B32" i="81"/>
  <c r="B31" i="81"/>
  <c r="B30" i="81"/>
  <c r="B29" i="81"/>
  <c r="B28" i="81"/>
  <c r="B27" i="81"/>
  <c r="B26" i="81"/>
  <c r="B25" i="81"/>
  <c r="B24" i="81"/>
  <c r="B23" i="81"/>
  <c r="B22" i="81"/>
  <c r="B21" i="81"/>
  <c r="B20" i="81"/>
  <c r="B19" i="81"/>
  <c r="E18" i="81"/>
  <c r="B18" i="81" s="1"/>
  <c r="B17" i="81"/>
  <c r="B16" i="81"/>
  <c r="B15" i="81"/>
  <c r="B14" i="81"/>
  <c r="B13" i="81"/>
  <c r="B12" i="81"/>
  <c r="B11" i="81"/>
  <c r="B10" i="81"/>
  <c r="B9" i="81"/>
  <c r="B8" i="81"/>
  <c r="B7" i="81"/>
  <c r="K6" i="81"/>
  <c r="J6" i="81"/>
  <c r="I6" i="81"/>
  <c r="H6" i="81"/>
  <c r="G6" i="81"/>
  <c r="F6" i="81"/>
  <c r="E6" i="81"/>
  <c r="D6" i="81"/>
  <c r="C6" i="81"/>
  <c r="B6" i="81" s="1"/>
  <c r="B133" i="80"/>
  <c r="B132" i="80"/>
  <c r="B131" i="80"/>
  <c r="B130" i="80"/>
  <c r="B129" i="80"/>
  <c r="B128" i="80"/>
  <c r="B127" i="80"/>
  <c r="H126" i="80"/>
  <c r="G126" i="80"/>
  <c r="F126" i="80"/>
  <c r="E126" i="80"/>
  <c r="B126" i="80" s="1"/>
  <c r="D126" i="80"/>
  <c r="C126" i="80"/>
  <c r="B125" i="80"/>
  <c r="B124" i="80"/>
  <c r="B123" i="80"/>
  <c r="B122" i="80"/>
  <c r="B121" i="80"/>
  <c r="B120" i="80"/>
  <c r="B119" i="80"/>
  <c r="H118" i="80"/>
  <c r="G118" i="80"/>
  <c r="F118" i="80"/>
  <c r="E118" i="80"/>
  <c r="D118" i="80"/>
  <c r="C118" i="80"/>
  <c r="B118" i="80" s="1"/>
  <c r="B117" i="80"/>
  <c r="B116" i="80"/>
  <c r="B115" i="80"/>
  <c r="B114" i="80"/>
  <c r="B113" i="80"/>
  <c r="B112" i="80"/>
  <c r="B111" i="80"/>
  <c r="H110" i="80"/>
  <c r="G110" i="80"/>
  <c r="F110" i="80"/>
  <c r="E110" i="80"/>
  <c r="D110" i="80"/>
  <c r="C110" i="80"/>
  <c r="B110" i="80"/>
  <c r="B109" i="80"/>
  <c r="B108" i="80"/>
  <c r="B107" i="80"/>
  <c r="B106" i="80"/>
  <c r="B105" i="80"/>
  <c r="B104" i="80"/>
  <c r="B103" i="80"/>
  <c r="H102" i="80"/>
  <c r="G102" i="80"/>
  <c r="F102" i="80"/>
  <c r="E102" i="80"/>
  <c r="D102" i="80"/>
  <c r="C102" i="80"/>
  <c r="B102" i="80" s="1"/>
  <c r="B101" i="80"/>
  <c r="B100" i="80"/>
  <c r="B99" i="80"/>
  <c r="B98" i="80"/>
  <c r="B97" i="80"/>
  <c r="B96" i="80"/>
  <c r="B95" i="80"/>
  <c r="H94" i="80"/>
  <c r="G94" i="80"/>
  <c r="F94" i="80"/>
  <c r="E94" i="80"/>
  <c r="D94" i="80"/>
  <c r="C94" i="80"/>
  <c r="B94" i="80"/>
  <c r="B93" i="80"/>
  <c r="B92" i="80"/>
  <c r="B91" i="80"/>
  <c r="B90" i="80"/>
  <c r="B89" i="80"/>
  <c r="B88" i="80"/>
  <c r="B87" i="80"/>
  <c r="H86" i="80"/>
  <c r="G86" i="80"/>
  <c r="F86" i="80"/>
  <c r="E86" i="80"/>
  <c r="D86" i="80"/>
  <c r="C86" i="80"/>
  <c r="B86" i="80" s="1"/>
  <c r="B85" i="80"/>
  <c r="B84" i="80"/>
  <c r="B83" i="80"/>
  <c r="B82" i="80"/>
  <c r="B81" i="80"/>
  <c r="B80" i="80"/>
  <c r="B79" i="80"/>
  <c r="H78" i="80"/>
  <c r="G78" i="80"/>
  <c r="F78" i="80"/>
  <c r="E78" i="80"/>
  <c r="D78" i="80"/>
  <c r="C78" i="80"/>
  <c r="B78" i="80"/>
  <c r="B77" i="80"/>
  <c r="B76" i="80"/>
  <c r="B75" i="80"/>
  <c r="B74" i="80"/>
  <c r="B73" i="80"/>
  <c r="B72" i="80"/>
  <c r="B71" i="80"/>
  <c r="H70" i="80"/>
  <c r="G70" i="80"/>
  <c r="F70" i="80"/>
  <c r="E70" i="80"/>
  <c r="D70" i="80"/>
  <c r="C70" i="80"/>
  <c r="B70" i="80" s="1"/>
  <c r="B69" i="80"/>
  <c r="B68" i="80"/>
  <c r="B67" i="80"/>
  <c r="B66" i="80"/>
  <c r="B65" i="80"/>
  <c r="B64" i="80"/>
  <c r="B63" i="80"/>
  <c r="H62" i="80"/>
  <c r="G62" i="80"/>
  <c r="F62" i="80"/>
  <c r="E62" i="80"/>
  <c r="D62" i="80"/>
  <c r="C62" i="80"/>
  <c r="B62" i="80"/>
  <c r="B61" i="80"/>
  <c r="B60" i="80"/>
  <c r="B59" i="80"/>
  <c r="B58" i="80"/>
  <c r="B57" i="80"/>
  <c r="B56" i="80"/>
  <c r="B55" i="80"/>
  <c r="H54" i="80"/>
  <c r="G54" i="80"/>
  <c r="F54" i="80"/>
  <c r="E54" i="80"/>
  <c r="D54" i="80"/>
  <c r="B54" i="80" s="1"/>
  <c r="C54" i="80"/>
  <c r="B53" i="80"/>
  <c r="B52" i="80"/>
  <c r="B51" i="80"/>
  <c r="B50" i="80"/>
  <c r="B49" i="80"/>
  <c r="B48" i="80"/>
  <c r="B47" i="80"/>
  <c r="H46" i="80"/>
  <c r="G46" i="80"/>
  <c r="F46" i="80"/>
  <c r="E46" i="80"/>
  <c r="D46" i="80"/>
  <c r="C46" i="80"/>
  <c r="B46" i="80"/>
  <c r="B45" i="80"/>
  <c r="B44" i="80"/>
  <c r="B43" i="80"/>
  <c r="B42" i="80"/>
  <c r="B41" i="80"/>
  <c r="B40" i="80"/>
  <c r="B39" i="80"/>
  <c r="H38" i="80"/>
  <c r="G38" i="80"/>
  <c r="F38" i="80"/>
  <c r="E38" i="80"/>
  <c r="D38" i="80"/>
  <c r="C38" i="80"/>
  <c r="B38" i="80"/>
  <c r="B37" i="80"/>
  <c r="B36" i="80"/>
  <c r="B35" i="80"/>
  <c r="B34" i="80"/>
  <c r="B33" i="80"/>
  <c r="B32" i="80"/>
  <c r="B31" i="80"/>
  <c r="H30" i="80"/>
  <c r="G30" i="80"/>
  <c r="F30" i="80"/>
  <c r="E30" i="80"/>
  <c r="D30" i="80"/>
  <c r="C30" i="80"/>
  <c r="B30" i="80"/>
  <c r="B29" i="80"/>
  <c r="B28" i="80"/>
  <c r="B27" i="80"/>
  <c r="B26" i="80"/>
  <c r="B25" i="80"/>
  <c r="B24" i="80"/>
  <c r="B23" i="80"/>
  <c r="H22" i="80"/>
  <c r="G22" i="80"/>
  <c r="F22" i="80"/>
  <c r="E22" i="80"/>
  <c r="D22" i="80"/>
  <c r="B22" i="80" s="1"/>
  <c r="C22" i="80"/>
  <c r="B21" i="80"/>
  <c r="B20" i="80"/>
  <c r="B19" i="80"/>
  <c r="B18" i="80"/>
  <c r="B17" i="80"/>
  <c r="B16" i="80"/>
  <c r="B15" i="80"/>
  <c r="H14" i="80"/>
  <c r="G14" i="80"/>
  <c r="F14" i="80"/>
  <c r="E14" i="80"/>
  <c r="D14" i="80"/>
  <c r="C14" i="80"/>
  <c r="B14" i="80"/>
  <c r="H13" i="80"/>
  <c r="G13" i="80"/>
  <c r="F13" i="80"/>
  <c r="E13" i="80"/>
  <c r="D13" i="80"/>
  <c r="C13" i="80"/>
  <c r="B13" i="80" s="1"/>
  <c r="H12" i="80"/>
  <c r="G12" i="80"/>
  <c r="F12" i="80"/>
  <c r="E12" i="80"/>
  <c r="D12" i="80"/>
  <c r="B12" i="80" s="1"/>
  <c r="C12" i="80"/>
  <c r="H11" i="80"/>
  <c r="G11" i="80"/>
  <c r="F11" i="80"/>
  <c r="E11" i="80"/>
  <c r="D11" i="80"/>
  <c r="C11" i="80"/>
  <c r="B11" i="80" s="1"/>
  <c r="H10" i="80"/>
  <c r="G10" i="80"/>
  <c r="F10" i="80"/>
  <c r="E10" i="80"/>
  <c r="D10" i="80"/>
  <c r="C10" i="80"/>
  <c r="B10" i="80"/>
  <c r="H9" i="80"/>
  <c r="G9" i="80"/>
  <c r="F9" i="80"/>
  <c r="E9" i="80"/>
  <c r="D9" i="80"/>
  <c r="C9" i="80"/>
  <c r="B9" i="80" s="1"/>
  <c r="H8" i="80"/>
  <c r="G8" i="80"/>
  <c r="F8" i="80"/>
  <c r="E8" i="80"/>
  <c r="D8" i="80"/>
  <c r="B8" i="80" s="1"/>
  <c r="C8" i="80"/>
  <c r="H7" i="80"/>
  <c r="G7" i="80"/>
  <c r="G6" i="80" s="1"/>
  <c r="F7" i="80"/>
  <c r="E7" i="80"/>
  <c r="E6" i="80" s="1"/>
  <c r="D7" i="80"/>
  <c r="C7" i="80"/>
  <c r="C6" i="80" s="1"/>
  <c r="B6" i="80" s="1"/>
  <c r="H6" i="80"/>
  <c r="F6" i="80"/>
  <c r="D6" i="80"/>
  <c r="B53" i="79"/>
  <c r="B52" i="79"/>
  <c r="B51" i="79" s="1"/>
  <c r="H51" i="79"/>
  <c r="G51" i="79"/>
  <c r="F51" i="79"/>
  <c r="E51" i="79"/>
  <c r="D51" i="79"/>
  <c r="C51" i="79"/>
  <c r="B50" i="79"/>
  <c r="B49" i="79"/>
  <c r="H48" i="79"/>
  <c r="G48" i="79"/>
  <c r="F48" i="79"/>
  <c r="E48" i="79"/>
  <c r="D48" i="79"/>
  <c r="C48" i="79"/>
  <c r="B48" i="79"/>
  <c r="B47" i="79"/>
  <c r="B46" i="79"/>
  <c r="B45" i="79" s="1"/>
  <c r="H45" i="79"/>
  <c r="G45" i="79"/>
  <c r="F45" i="79"/>
  <c r="E45" i="79"/>
  <c r="D45" i="79"/>
  <c r="C45" i="79"/>
  <c r="B44" i="79"/>
  <c r="B43" i="79"/>
  <c r="H42" i="79"/>
  <c r="G42" i="79"/>
  <c r="F42" i="79"/>
  <c r="E42" i="79"/>
  <c r="D42" i="79"/>
  <c r="C42" i="79"/>
  <c r="B42" i="79"/>
  <c r="B41" i="79"/>
  <c r="B40" i="79"/>
  <c r="B39" i="79" s="1"/>
  <c r="H39" i="79"/>
  <c r="G39" i="79"/>
  <c r="F39" i="79"/>
  <c r="E39" i="79"/>
  <c r="D39" i="79"/>
  <c r="C39" i="79"/>
  <c r="B38" i="79"/>
  <c r="B37" i="79"/>
  <c r="H36" i="79"/>
  <c r="G36" i="79"/>
  <c r="F36" i="79"/>
  <c r="E36" i="79"/>
  <c r="D36" i="79"/>
  <c r="C36" i="79"/>
  <c r="B36" i="79"/>
  <c r="B35" i="79"/>
  <c r="B34" i="79"/>
  <c r="B33" i="79" s="1"/>
  <c r="H33" i="79"/>
  <c r="G33" i="79"/>
  <c r="F33" i="79"/>
  <c r="E33" i="79"/>
  <c r="D33" i="79"/>
  <c r="C33" i="79"/>
  <c r="B32" i="79"/>
  <c r="B31" i="79"/>
  <c r="H30" i="79"/>
  <c r="G30" i="79"/>
  <c r="F30" i="79"/>
  <c r="E30" i="79"/>
  <c r="D30" i="79"/>
  <c r="C30" i="79"/>
  <c r="B30" i="79"/>
  <c r="B29" i="79"/>
  <c r="B28" i="79"/>
  <c r="B27" i="79" s="1"/>
  <c r="H27" i="79"/>
  <c r="G27" i="79"/>
  <c r="F27" i="79"/>
  <c r="E27" i="79"/>
  <c r="D27" i="79"/>
  <c r="C27" i="79"/>
  <c r="B26" i="79"/>
  <c r="B25" i="79"/>
  <c r="H24" i="79"/>
  <c r="G24" i="79"/>
  <c r="F24" i="79"/>
  <c r="E24" i="79"/>
  <c r="D24" i="79"/>
  <c r="C24" i="79"/>
  <c r="B24" i="79"/>
  <c r="B23" i="79"/>
  <c r="B22" i="79"/>
  <c r="B21" i="79" s="1"/>
  <c r="H21" i="79"/>
  <c r="G21" i="79"/>
  <c r="F21" i="79"/>
  <c r="E21" i="79"/>
  <c r="D21" i="79"/>
  <c r="C21" i="79"/>
  <c r="B20" i="79"/>
  <c r="B19" i="79"/>
  <c r="H18" i="79"/>
  <c r="G18" i="79"/>
  <c r="F18" i="79"/>
  <c r="E18" i="79"/>
  <c r="D18" i="79"/>
  <c r="C18" i="79"/>
  <c r="B18" i="79"/>
  <c r="B17" i="79"/>
  <c r="B16" i="79"/>
  <c r="B15" i="79" s="1"/>
  <c r="H15" i="79"/>
  <c r="G15" i="79"/>
  <c r="F15" i="79"/>
  <c r="E15" i="79"/>
  <c r="D15" i="79"/>
  <c r="C15" i="79"/>
  <c r="B14" i="79"/>
  <c r="B13" i="79"/>
  <c r="H12" i="79"/>
  <c r="G12" i="79"/>
  <c r="F12" i="79"/>
  <c r="E12" i="79"/>
  <c r="D12" i="79"/>
  <c r="C12" i="79"/>
  <c r="B12" i="79"/>
  <c r="B11" i="79"/>
  <c r="B10" i="79"/>
  <c r="B9" i="79" s="1"/>
  <c r="H9" i="79"/>
  <c r="G9" i="79"/>
  <c r="F9" i="79"/>
  <c r="E9" i="79"/>
  <c r="D9" i="79"/>
  <c r="C9" i="79"/>
  <c r="H8" i="79"/>
  <c r="H6" i="79" s="1"/>
  <c r="G8" i="79"/>
  <c r="F8" i="79"/>
  <c r="E8" i="79"/>
  <c r="D8" i="79"/>
  <c r="B8" i="79" s="1"/>
  <c r="C8" i="79"/>
  <c r="H7" i="79"/>
  <c r="G7" i="79"/>
  <c r="G6" i="79" s="1"/>
  <c r="F7" i="79"/>
  <c r="E7" i="79"/>
  <c r="E6" i="79" s="1"/>
  <c r="D7" i="79"/>
  <c r="C7" i="79"/>
  <c r="C6" i="79" s="1"/>
  <c r="F6" i="79"/>
  <c r="B53" i="78"/>
  <c r="B52" i="78"/>
  <c r="H51" i="78"/>
  <c r="G51" i="78"/>
  <c r="F51" i="78"/>
  <c r="E51" i="78"/>
  <c r="D51" i="78"/>
  <c r="C51" i="78"/>
  <c r="B51" i="78" s="1"/>
  <c r="B50" i="78"/>
  <c r="B49" i="78"/>
  <c r="H48" i="78"/>
  <c r="G48" i="78"/>
  <c r="F48" i="78"/>
  <c r="E48" i="78"/>
  <c r="D48" i="78"/>
  <c r="B48" i="78" s="1"/>
  <c r="C48" i="78"/>
  <c r="B47" i="78"/>
  <c r="B46" i="78"/>
  <c r="H45" i="78"/>
  <c r="G45" i="78"/>
  <c r="F45" i="78"/>
  <c r="E45" i="78"/>
  <c r="D45" i="78"/>
  <c r="C45" i="78"/>
  <c r="B45" i="78" s="1"/>
  <c r="B44" i="78"/>
  <c r="B43" i="78"/>
  <c r="H42" i="78"/>
  <c r="G42" i="78"/>
  <c r="F42" i="78"/>
  <c r="E42" i="78"/>
  <c r="D42" i="78"/>
  <c r="C42" i="78"/>
  <c r="B42" i="78"/>
  <c r="B41" i="78"/>
  <c r="B40" i="78"/>
  <c r="H39" i="78"/>
  <c r="G39" i="78"/>
  <c r="F39" i="78"/>
  <c r="E39" i="78"/>
  <c r="D39" i="78"/>
  <c r="C39" i="78"/>
  <c r="B39" i="78" s="1"/>
  <c r="B38" i="78"/>
  <c r="B37" i="78"/>
  <c r="H36" i="78"/>
  <c r="G36" i="78"/>
  <c r="F36" i="78"/>
  <c r="E36" i="78"/>
  <c r="D36" i="78"/>
  <c r="B36" i="78" s="1"/>
  <c r="C36" i="78"/>
  <c r="B35" i="78"/>
  <c r="B34" i="78"/>
  <c r="H33" i="78"/>
  <c r="G33" i="78"/>
  <c r="F33" i="78"/>
  <c r="E33" i="78"/>
  <c r="D33" i="78"/>
  <c r="C33" i="78"/>
  <c r="B33" i="78" s="1"/>
  <c r="B32" i="78"/>
  <c r="B31" i="78"/>
  <c r="H30" i="78"/>
  <c r="G30" i="78"/>
  <c r="F30" i="78"/>
  <c r="E30" i="78"/>
  <c r="D30" i="78"/>
  <c r="C30" i="78"/>
  <c r="B30" i="78"/>
  <c r="B29" i="78"/>
  <c r="B28" i="78"/>
  <c r="H27" i="78"/>
  <c r="G27" i="78"/>
  <c r="F27" i="78"/>
  <c r="E27" i="78"/>
  <c r="D27" i="78"/>
  <c r="C27" i="78"/>
  <c r="B27" i="78" s="1"/>
  <c r="B26" i="78"/>
  <c r="B25" i="78"/>
  <c r="H24" i="78"/>
  <c r="G24" i="78"/>
  <c r="F24" i="78"/>
  <c r="E24" i="78"/>
  <c r="D24" i="78"/>
  <c r="B24" i="78" s="1"/>
  <c r="C24" i="78"/>
  <c r="B23" i="78"/>
  <c r="B22" i="78"/>
  <c r="H21" i="78"/>
  <c r="G21" i="78"/>
  <c r="F21" i="78"/>
  <c r="E21" i="78"/>
  <c r="D21" i="78"/>
  <c r="C21" i="78"/>
  <c r="B21" i="78" s="1"/>
  <c r="B20" i="78"/>
  <c r="B19" i="78"/>
  <c r="H18" i="78"/>
  <c r="G18" i="78"/>
  <c r="F18" i="78"/>
  <c r="E18" i="78"/>
  <c r="D18" i="78"/>
  <c r="C18" i="78"/>
  <c r="B18" i="78"/>
  <c r="B17" i="78"/>
  <c r="B16" i="78"/>
  <c r="H15" i="78"/>
  <c r="G15" i="78"/>
  <c r="F15" i="78"/>
  <c r="E15" i="78"/>
  <c r="D15" i="78"/>
  <c r="C15" i="78"/>
  <c r="B15" i="78" s="1"/>
  <c r="B14" i="78"/>
  <c r="B13" i="78"/>
  <c r="H12" i="78"/>
  <c r="G12" i="78"/>
  <c r="F12" i="78"/>
  <c r="E12" i="78"/>
  <c r="D12" i="78"/>
  <c r="B12" i="78" s="1"/>
  <c r="C12" i="78"/>
  <c r="B11" i="78"/>
  <c r="B10" i="78"/>
  <c r="H9" i="78"/>
  <c r="G9" i="78"/>
  <c r="F9" i="78"/>
  <c r="E9" i="78"/>
  <c r="D9" i="78"/>
  <c r="C9" i="78"/>
  <c r="B9" i="78" s="1"/>
  <c r="H8" i="78"/>
  <c r="G8" i="78"/>
  <c r="F8" i="78"/>
  <c r="E8" i="78"/>
  <c r="D8" i="78"/>
  <c r="B8" i="78" s="1"/>
  <c r="C8" i="78"/>
  <c r="H7" i="78"/>
  <c r="G7" i="78"/>
  <c r="G6" i="78" s="1"/>
  <c r="F7" i="78"/>
  <c r="E7" i="78"/>
  <c r="D7" i="78"/>
  <c r="C7" i="78"/>
  <c r="C6" i="78" s="1"/>
  <c r="H6" i="78"/>
  <c r="F6" i="78"/>
  <c r="E6" i="78"/>
  <c r="B21" i="77"/>
  <c r="B20" i="77"/>
  <c r="B19" i="77"/>
  <c r="B18" i="77"/>
  <c r="B17" i="77"/>
  <c r="B16" i="77"/>
  <c r="B15" i="77"/>
  <c r="B14" i="77"/>
  <c r="B13" i="77"/>
  <c r="B12" i="77"/>
  <c r="B11" i="77"/>
  <c r="B10" i="77"/>
  <c r="B9" i="77"/>
  <c r="B8" i="77"/>
  <c r="B7" i="77"/>
  <c r="H6" i="77"/>
  <c r="G6" i="77"/>
  <c r="F6" i="77"/>
  <c r="E6" i="77"/>
  <c r="D6" i="77"/>
  <c r="C6" i="77"/>
  <c r="B6" i="77" s="1"/>
  <c r="B96" i="76"/>
  <c r="B95" i="76"/>
  <c r="B94" i="76"/>
  <c r="B93" i="76"/>
  <c r="H92" i="76"/>
  <c r="G92" i="76"/>
  <c r="F92" i="76"/>
  <c r="E92" i="76"/>
  <c r="D92" i="76"/>
  <c r="C92" i="76"/>
  <c r="B92" i="76"/>
  <c r="B91" i="76"/>
  <c r="H90" i="76"/>
  <c r="G90" i="76"/>
  <c r="F90" i="76"/>
  <c r="E90" i="76"/>
  <c r="D90" i="76"/>
  <c r="C90" i="76"/>
  <c r="B90" i="76"/>
  <c r="B89" i="76"/>
  <c r="B88" i="76"/>
  <c r="B87" i="76"/>
  <c r="H86" i="76"/>
  <c r="G86" i="76"/>
  <c r="F86" i="76"/>
  <c r="E86" i="76"/>
  <c r="D86" i="76"/>
  <c r="C86" i="76"/>
  <c r="B86" i="76" s="1"/>
  <c r="B85" i="76"/>
  <c r="H84" i="76"/>
  <c r="G84" i="76"/>
  <c r="F84" i="76"/>
  <c r="E84" i="76"/>
  <c r="D84" i="76"/>
  <c r="C84" i="76"/>
  <c r="B84" i="76" s="1"/>
  <c r="B83" i="76"/>
  <c r="B82" i="76"/>
  <c r="B81" i="76"/>
  <c r="H80" i="76"/>
  <c r="G80" i="76"/>
  <c r="F80" i="76"/>
  <c r="E80" i="76"/>
  <c r="D80" i="76"/>
  <c r="C80" i="76"/>
  <c r="B80" i="76"/>
  <c r="B79" i="76"/>
  <c r="B78" i="76"/>
  <c r="B77" i="76"/>
  <c r="B76" i="76"/>
  <c r="B75" i="76"/>
  <c r="B74" i="76"/>
  <c r="B73" i="76"/>
  <c r="B72" i="76"/>
  <c r="H71" i="76"/>
  <c r="G71" i="76"/>
  <c r="F71" i="76"/>
  <c r="E71" i="76"/>
  <c r="D71" i="76"/>
  <c r="B71" i="76" s="1"/>
  <c r="C71" i="76"/>
  <c r="B70" i="76"/>
  <c r="B69" i="76"/>
  <c r="B68" i="76"/>
  <c r="H67" i="76"/>
  <c r="G67" i="76"/>
  <c r="F67" i="76"/>
  <c r="E67" i="76"/>
  <c r="D67" i="76"/>
  <c r="C67" i="76"/>
  <c r="B67" i="76"/>
  <c r="B66" i="76"/>
  <c r="B65" i="76"/>
  <c r="B64" i="76"/>
  <c r="B63" i="76"/>
  <c r="B62" i="76"/>
  <c r="B61" i="76"/>
  <c r="H60" i="76"/>
  <c r="G60" i="76"/>
  <c r="F60" i="76"/>
  <c r="E60" i="76"/>
  <c r="D60" i="76"/>
  <c r="C60" i="76"/>
  <c r="B60" i="76" s="1"/>
  <c r="B59" i="76"/>
  <c r="B58" i="76"/>
  <c r="B57" i="76"/>
  <c r="B56" i="76"/>
  <c r="B55" i="76"/>
  <c r="B54" i="76"/>
  <c r="B53" i="76"/>
  <c r="B52" i="76"/>
  <c r="B51" i="76"/>
  <c r="B50" i="76"/>
  <c r="B49" i="76"/>
  <c r="B48" i="76"/>
  <c r="B47" i="76"/>
  <c r="B46" i="76"/>
  <c r="B45" i="76"/>
  <c r="B44" i="76"/>
  <c r="B43" i="76"/>
  <c r="B42" i="76"/>
  <c r="H41" i="76"/>
  <c r="G41" i="76"/>
  <c r="F41" i="76"/>
  <c r="E41" i="76"/>
  <c r="D41" i="76"/>
  <c r="B41" i="76" s="1"/>
  <c r="C41" i="76"/>
  <c r="B40" i="76"/>
  <c r="B39" i="76"/>
  <c r="B38" i="76"/>
  <c r="B37" i="76"/>
  <c r="B36" i="76"/>
  <c r="B35" i="76"/>
  <c r="H34" i="76"/>
  <c r="G34" i="76"/>
  <c r="F34" i="76"/>
  <c r="E34" i="76"/>
  <c r="B34" i="76" s="1"/>
  <c r="D34" i="76"/>
  <c r="C34" i="76"/>
  <c r="B33" i="76"/>
  <c r="H32" i="76"/>
  <c r="G32" i="76"/>
  <c r="F32" i="76"/>
  <c r="E32" i="76"/>
  <c r="B32" i="76" s="1"/>
  <c r="D32" i="76"/>
  <c r="C32" i="76"/>
  <c r="B31" i="76"/>
  <c r="B30" i="76"/>
  <c r="B29" i="76"/>
  <c r="B28" i="76"/>
  <c r="H27" i="76"/>
  <c r="G27" i="76"/>
  <c r="F27" i="76"/>
  <c r="E27" i="76"/>
  <c r="D27" i="76"/>
  <c r="B27" i="76" s="1"/>
  <c r="C27" i="76"/>
  <c r="B26" i="76"/>
  <c r="B25" i="76"/>
  <c r="B24" i="76"/>
  <c r="B23" i="76"/>
  <c r="H22" i="76"/>
  <c r="G22" i="76"/>
  <c r="F22" i="76"/>
  <c r="E22" i="76"/>
  <c r="D22" i="76"/>
  <c r="C22" i="76"/>
  <c r="B22" i="76" s="1"/>
  <c r="B21" i="76"/>
  <c r="B20" i="76"/>
  <c r="B19" i="76"/>
  <c r="B18" i="76"/>
  <c r="B17" i="76"/>
  <c r="B16" i="76"/>
  <c r="B15" i="76"/>
  <c r="H14" i="76"/>
  <c r="G14" i="76"/>
  <c r="F14" i="76"/>
  <c r="E14" i="76"/>
  <c r="B14" i="76" s="1"/>
  <c r="D14" i="76"/>
  <c r="C14" i="76"/>
  <c r="B13" i="76"/>
  <c r="B12" i="76"/>
  <c r="B11" i="76"/>
  <c r="B10" i="76"/>
  <c r="B9" i="76"/>
  <c r="B8" i="76"/>
  <c r="H7" i="76"/>
  <c r="H6" i="76" s="1"/>
  <c r="G7" i="76"/>
  <c r="F7" i="76"/>
  <c r="F6" i="76" s="1"/>
  <c r="E7" i="76"/>
  <c r="D7" i="76"/>
  <c r="D6" i="76" s="1"/>
  <c r="C7" i="76"/>
  <c r="B7" i="76"/>
  <c r="B6" i="76" s="1"/>
  <c r="G6" i="76"/>
  <c r="E6" i="76"/>
  <c r="C6" i="76"/>
  <c r="B103" i="75"/>
  <c r="B102" i="75"/>
  <c r="H101" i="75"/>
  <c r="G101" i="75"/>
  <c r="F101" i="75"/>
  <c r="E101" i="75"/>
  <c r="D101" i="75"/>
  <c r="B101" i="75" s="1"/>
  <c r="C101" i="75"/>
  <c r="B100" i="75"/>
  <c r="B99" i="75"/>
  <c r="H98" i="75"/>
  <c r="G98" i="75"/>
  <c r="F98" i="75"/>
  <c r="E98" i="75"/>
  <c r="D98" i="75"/>
  <c r="C98" i="75"/>
  <c r="B98" i="75" s="1"/>
  <c r="B97" i="75"/>
  <c r="B96" i="75"/>
  <c r="H95" i="75"/>
  <c r="G95" i="75"/>
  <c r="F95" i="75"/>
  <c r="E95" i="75"/>
  <c r="D95" i="75"/>
  <c r="C95" i="75"/>
  <c r="B95" i="75"/>
  <c r="B94" i="75"/>
  <c r="B93" i="75"/>
  <c r="H92" i="75"/>
  <c r="G92" i="75"/>
  <c r="F92" i="75"/>
  <c r="E92" i="75"/>
  <c r="D92" i="75"/>
  <c r="C92" i="75"/>
  <c r="B92" i="75" s="1"/>
  <c r="B91" i="75"/>
  <c r="B90" i="75"/>
  <c r="B89" i="75"/>
  <c r="B88" i="75"/>
  <c r="B87" i="75"/>
  <c r="H86" i="75"/>
  <c r="G86" i="75"/>
  <c r="F86" i="75"/>
  <c r="E86" i="75"/>
  <c r="D86" i="75"/>
  <c r="C86" i="75"/>
  <c r="B86" i="75" s="1"/>
  <c r="B85" i="75"/>
  <c r="B84" i="75"/>
  <c r="B83" i="75"/>
  <c r="B82" i="75"/>
  <c r="B81" i="75"/>
  <c r="B80" i="75"/>
  <c r="B79" i="75"/>
  <c r="B78" i="75"/>
  <c r="B77" i="75"/>
  <c r="H76" i="75"/>
  <c r="G76" i="75"/>
  <c r="F76" i="75"/>
  <c r="E76" i="75"/>
  <c r="D76" i="75"/>
  <c r="C76" i="75"/>
  <c r="B76" i="75" s="1"/>
  <c r="B75" i="75"/>
  <c r="B74" i="75"/>
  <c r="H73" i="75"/>
  <c r="G73" i="75"/>
  <c r="F73" i="75"/>
  <c r="E73" i="75"/>
  <c r="D73" i="75"/>
  <c r="B73" i="75" s="1"/>
  <c r="C73" i="75"/>
  <c r="B72" i="75"/>
  <c r="B71" i="75"/>
  <c r="B70" i="75"/>
  <c r="H69" i="75"/>
  <c r="G69" i="75"/>
  <c r="F69" i="75"/>
  <c r="E69" i="75"/>
  <c r="D69" i="75"/>
  <c r="C69" i="75"/>
  <c r="B69" i="75"/>
  <c r="B68" i="75"/>
  <c r="B67" i="75"/>
  <c r="B66" i="75"/>
  <c r="B65" i="75"/>
  <c r="B64" i="75"/>
  <c r="B63" i="75"/>
  <c r="B62" i="75"/>
  <c r="B61" i="75"/>
  <c r="B60" i="75"/>
  <c r="B59" i="75"/>
  <c r="B58" i="75"/>
  <c r="B57" i="75"/>
  <c r="B56" i="75"/>
  <c r="B55" i="75"/>
  <c r="B54" i="75"/>
  <c r="B53" i="75"/>
  <c r="B52" i="75"/>
  <c r="B51" i="75"/>
  <c r="B50" i="75"/>
  <c r="B49" i="75"/>
  <c r="B48" i="75"/>
  <c r="B47" i="75"/>
  <c r="B46" i="75"/>
  <c r="B45" i="75"/>
  <c r="B44" i="75"/>
  <c r="B43" i="75"/>
  <c r="B42" i="75"/>
  <c r="B41" i="75"/>
  <c r="B40" i="75"/>
  <c r="B39" i="75"/>
  <c r="B38" i="75"/>
  <c r="H37" i="75"/>
  <c r="G37" i="75"/>
  <c r="F37" i="75"/>
  <c r="E37" i="75"/>
  <c r="D37" i="75"/>
  <c r="B37" i="75" s="1"/>
  <c r="C37" i="75"/>
  <c r="B36" i="75"/>
  <c r="B35" i="75"/>
  <c r="B34" i="75"/>
  <c r="B33" i="75"/>
  <c r="B32" i="75"/>
  <c r="B31" i="75"/>
  <c r="B30" i="75"/>
  <c r="B29" i="75"/>
  <c r="B28" i="75"/>
  <c r="B27" i="75"/>
  <c r="B26" i="75"/>
  <c r="B25" i="75"/>
  <c r="B24" i="75"/>
  <c r="B23" i="75"/>
  <c r="H22" i="75"/>
  <c r="G22" i="75"/>
  <c r="F22" i="75"/>
  <c r="E22" i="75"/>
  <c r="D22" i="75"/>
  <c r="C22" i="75"/>
  <c r="B22" i="75" s="1"/>
  <c r="B21" i="75"/>
  <c r="H20" i="75"/>
  <c r="G20" i="75"/>
  <c r="F20" i="75"/>
  <c r="E20" i="75"/>
  <c r="D20" i="75"/>
  <c r="C20" i="75"/>
  <c r="B20" i="75" s="1"/>
  <c r="B19" i="75"/>
  <c r="B18" i="75"/>
  <c r="B17" i="75"/>
  <c r="H16" i="75"/>
  <c r="G16" i="75"/>
  <c r="F16" i="75"/>
  <c r="E16" i="75"/>
  <c r="D16" i="75"/>
  <c r="C16" i="75"/>
  <c r="B16" i="75" s="1"/>
  <c r="B15" i="75"/>
  <c r="B14" i="75"/>
  <c r="H13" i="75"/>
  <c r="G13" i="75"/>
  <c r="F13" i="75"/>
  <c r="E13" i="75"/>
  <c r="D13" i="75"/>
  <c r="B13" i="75" s="1"/>
  <c r="C13" i="75"/>
  <c r="B12" i="75"/>
  <c r="B11" i="75"/>
  <c r="B10" i="75"/>
  <c r="H9" i="75"/>
  <c r="G9" i="75"/>
  <c r="F9" i="75"/>
  <c r="E9" i="75"/>
  <c r="D9" i="75"/>
  <c r="C9" i="75"/>
  <c r="B9" i="75"/>
  <c r="B8" i="75"/>
  <c r="H7" i="75"/>
  <c r="H6" i="75" s="1"/>
  <c r="G7" i="75"/>
  <c r="F7" i="75"/>
  <c r="F6" i="75" s="1"/>
  <c r="E7" i="75"/>
  <c r="D7" i="75"/>
  <c r="D6" i="75" s="1"/>
  <c r="C7" i="75"/>
  <c r="B7" i="75"/>
  <c r="G6" i="75"/>
  <c r="E6" i="75"/>
  <c r="C6" i="75"/>
  <c r="B6" i="75" s="1"/>
  <c r="B21" i="74"/>
  <c r="B20" i="74"/>
  <c r="B19" i="74"/>
  <c r="B18" i="74"/>
  <c r="B17" i="74"/>
  <c r="B16" i="74"/>
  <c r="B15" i="74"/>
  <c r="B14" i="74"/>
  <c r="B13" i="74"/>
  <c r="B12" i="74"/>
  <c r="B11" i="74"/>
  <c r="B10" i="74"/>
  <c r="B9" i="74"/>
  <c r="B8" i="74"/>
  <c r="B7" i="74"/>
  <c r="B6" i="74" s="1"/>
  <c r="H6" i="74"/>
  <c r="G6" i="74"/>
  <c r="F6" i="74"/>
  <c r="E6" i="74"/>
  <c r="D6" i="74"/>
  <c r="C6" i="74"/>
  <c r="H21" i="73"/>
  <c r="E21" i="73"/>
  <c r="D21" i="73"/>
  <c r="B21" i="73" s="1"/>
  <c r="C21" i="73"/>
  <c r="H20" i="73"/>
  <c r="E20" i="73"/>
  <c r="D20" i="73"/>
  <c r="C20" i="73"/>
  <c r="B20" i="73" s="1"/>
  <c r="H19" i="73"/>
  <c r="E19" i="73"/>
  <c r="D19" i="73"/>
  <c r="C19" i="73"/>
  <c r="B19" i="73"/>
  <c r="H18" i="73"/>
  <c r="E18" i="73"/>
  <c r="D18" i="73"/>
  <c r="C18" i="73"/>
  <c r="B18" i="73" s="1"/>
  <c r="H17" i="73"/>
  <c r="E17" i="73"/>
  <c r="D17" i="73"/>
  <c r="B17" i="73" s="1"/>
  <c r="C17" i="73"/>
  <c r="H16" i="73"/>
  <c r="E16" i="73"/>
  <c r="D16" i="73"/>
  <c r="C16" i="73"/>
  <c r="B16" i="73" s="1"/>
  <c r="H15" i="73"/>
  <c r="E15" i="73"/>
  <c r="D15" i="73"/>
  <c r="C15" i="73"/>
  <c r="B15" i="73"/>
  <c r="H14" i="73"/>
  <c r="E14" i="73"/>
  <c r="D14" i="73"/>
  <c r="C14" i="73"/>
  <c r="B14" i="73" s="1"/>
  <c r="H13" i="73"/>
  <c r="E13" i="73"/>
  <c r="D13" i="73"/>
  <c r="B13" i="73" s="1"/>
  <c r="C13" i="73"/>
  <c r="H12" i="73"/>
  <c r="E12" i="73"/>
  <c r="D12" i="73"/>
  <c r="C12" i="73"/>
  <c r="B12" i="73" s="1"/>
  <c r="H11" i="73"/>
  <c r="E11" i="73"/>
  <c r="D11" i="73"/>
  <c r="C11" i="73"/>
  <c r="B11" i="73"/>
  <c r="H10" i="73"/>
  <c r="E10" i="73"/>
  <c r="D10" i="73"/>
  <c r="C10" i="73"/>
  <c r="B10" i="73" s="1"/>
  <c r="H9" i="73"/>
  <c r="E9" i="73"/>
  <c r="D9" i="73"/>
  <c r="B9" i="73" s="1"/>
  <c r="C9" i="73"/>
  <c r="H8" i="73"/>
  <c r="E8" i="73"/>
  <c r="D8" i="73"/>
  <c r="C8" i="73"/>
  <c r="B8" i="73" s="1"/>
  <c r="H7" i="73"/>
  <c r="H6" i="73" s="1"/>
  <c r="E7" i="73"/>
  <c r="D7" i="73"/>
  <c r="C7" i="73"/>
  <c r="B7" i="73"/>
  <c r="J6" i="73"/>
  <c r="I6" i="73"/>
  <c r="G6" i="73"/>
  <c r="D6" i="73" s="1"/>
  <c r="F6" i="73"/>
  <c r="E6" i="73"/>
  <c r="C6" i="73"/>
  <c r="B20" i="72"/>
  <c r="B19" i="72"/>
  <c r="B18" i="72"/>
  <c r="B17" i="72"/>
  <c r="B16" i="72"/>
  <c r="B15" i="72"/>
  <c r="B14" i="72"/>
  <c r="B13" i="72"/>
  <c r="B12" i="72"/>
  <c r="B11" i="72"/>
  <c r="B10" i="72"/>
  <c r="B9" i="72"/>
  <c r="B8" i="72"/>
  <c r="B6" i="72" s="1"/>
  <c r="B7" i="72"/>
  <c r="E6" i="72"/>
  <c r="D6" i="72"/>
  <c r="C6" i="72"/>
  <c r="G22" i="71"/>
  <c r="C22" i="71"/>
  <c r="G21" i="71"/>
  <c r="B21" i="71" s="1"/>
  <c r="C21" i="71"/>
  <c r="G20" i="71"/>
  <c r="C20" i="71"/>
  <c r="B20" i="71" s="1"/>
  <c r="G19" i="71"/>
  <c r="C19" i="71"/>
  <c r="B19" i="71"/>
  <c r="G18" i="71"/>
  <c r="C18" i="71"/>
  <c r="B18" i="71" s="1"/>
  <c r="G17" i="71"/>
  <c r="B17" i="71" s="1"/>
  <c r="C17" i="71"/>
  <c r="G16" i="71"/>
  <c r="C16" i="71"/>
  <c r="B16" i="71" s="1"/>
  <c r="G15" i="71"/>
  <c r="C15" i="71"/>
  <c r="B15" i="71"/>
  <c r="G14" i="71"/>
  <c r="C14" i="71"/>
  <c r="B14" i="71" s="1"/>
  <c r="G13" i="71"/>
  <c r="B13" i="71" s="1"/>
  <c r="C13" i="71"/>
  <c r="G12" i="71"/>
  <c r="C12" i="71"/>
  <c r="B12" i="71" s="1"/>
  <c r="G11" i="71"/>
  <c r="C11" i="71"/>
  <c r="B11" i="71"/>
  <c r="G10" i="71"/>
  <c r="C10" i="71"/>
  <c r="B10" i="71" s="1"/>
  <c r="G9" i="71"/>
  <c r="G7" i="71" s="1"/>
  <c r="C9" i="71"/>
  <c r="G8" i="71"/>
  <c r="C8" i="71"/>
  <c r="B8" i="71" s="1"/>
  <c r="J7" i="71"/>
  <c r="I7" i="71"/>
  <c r="H7" i="71"/>
  <c r="F7" i="71"/>
  <c r="E7" i="71"/>
  <c r="D7" i="71"/>
  <c r="B6" i="73" l="1"/>
  <c r="B7" i="78"/>
  <c r="B6" i="78" s="1"/>
  <c r="B7" i="79"/>
  <c r="B6" i="79" s="1"/>
  <c r="B7" i="80"/>
  <c r="B9" i="71"/>
  <c r="C7" i="71"/>
  <c r="B7" i="71" s="1"/>
  <c r="D6" i="78"/>
  <c r="D6" i="79"/>
  <c r="B5" i="66" l="1"/>
  <c r="C23" i="65"/>
  <c r="C21" i="65"/>
  <c r="C17" i="65"/>
  <c r="C11" i="65"/>
  <c r="C10" i="65" s="1"/>
  <c r="C6" i="65" s="1"/>
  <c r="C7" i="65" s="1"/>
  <c r="C44" i="64"/>
  <c r="C42" i="64"/>
  <c r="C33" i="64"/>
  <c r="C31" i="64"/>
  <c r="C28" i="64"/>
  <c r="C25" i="64"/>
  <c r="C23" i="64"/>
  <c r="C19" i="64"/>
  <c r="C15" i="64"/>
  <c r="C14" i="64"/>
  <c r="C13" i="64" s="1"/>
  <c r="C10" i="64" s="1"/>
  <c r="C6" i="64" s="1"/>
  <c r="C7" i="64" s="1"/>
  <c r="C11" i="64"/>
  <c r="C18" i="63"/>
  <c r="C17" i="63"/>
  <c r="C13" i="63" s="1"/>
  <c r="C10" i="63" s="1"/>
  <c r="C6" i="63" s="1"/>
  <c r="C7" i="63" s="1"/>
  <c r="C11" i="63"/>
  <c r="C44" i="62"/>
  <c r="C38" i="62"/>
  <c r="C12" i="62"/>
  <c r="C11" i="62" s="1"/>
  <c r="C7" i="62" s="1"/>
  <c r="C8" i="62" s="1"/>
  <c r="E42" i="59" l="1"/>
  <c r="D42" i="59"/>
  <c r="C42" i="59"/>
  <c r="B42" i="59"/>
  <c r="E41" i="59"/>
  <c r="D41" i="59"/>
  <c r="C41" i="59"/>
  <c r="B41" i="59"/>
  <c r="E40" i="59"/>
  <c r="D40" i="59"/>
  <c r="C40" i="59"/>
  <c r="B40" i="59"/>
  <c r="E39" i="59"/>
  <c r="D39" i="59"/>
  <c r="C39" i="59"/>
  <c r="B39" i="59"/>
  <c r="E38" i="59"/>
  <c r="D38" i="59"/>
  <c r="C38" i="59"/>
  <c r="B38" i="59"/>
  <c r="M37" i="59"/>
  <c r="L37" i="59"/>
  <c r="K37" i="59"/>
  <c r="J37" i="59"/>
  <c r="I37" i="59"/>
  <c r="H37" i="59"/>
  <c r="G37" i="59"/>
  <c r="F37" i="59"/>
  <c r="E37" i="59"/>
  <c r="D37" i="59"/>
  <c r="C37" i="59"/>
  <c r="B37" i="59"/>
  <c r="E36" i="59"/>
  <c r="D36" i="59"/>
  <c r="C36" i="59"/>
  <c r="B36" i="59"/>
  <c r="E35" i="59"/>
  <c r="D35" i="59"/>
  <c r="C35" i="59"/>
  <c r="B35" i="59"/>
  <c r="E34" i="59"/>
  <c r="D34" i="59"/>
  <c r="C34" i="59"/>
  <c r="B34" i="59"/>
  <c r="E33" i="59"/>
  <c r="D33" i="59"/>
  <c r="C33" i="59"/>
  <c r="B33" i="59"/>
  <c r="E32" i="59"/>
  <c r="D32" i="59"/>
  <c r="C32" i="59"/>
  <c r="B32" i="59"/>
  <c r="M31" i="59"/>
  <c r="L31" i="59"/>
  <c r="K31" i="59"/>
  <c r="J31" i="59"/>
  <c r="I31" i="59"/>
  <c r="H31" i="59"/>
  <c r="G31" i="59"/>
  <c r="F31" i="59"/>
  <c r="E31" i="59"/>
  <c r="D31" i="59"/>
  <c r="C31" i="59"/>
  <c r="B31" i="59"/>
  <c r="E30" i="59"/>
  <c r="D30" i="59"/>
  <c r="C30" i="59"/>
  <c r="B30" i="59"/>
  <c r="E29" i="59"/>
  <c r="D29" i="59"/>
  <c r="C29" i="59"/>
  <c r="B29" i="59"/>
  <c r="E28" i="59"/>
  <c r="D28" i="59"/>
  <c r="C28" i="59"/>
  <c r="B28" i="59"/>
  <c r="E27" i="59"/>
  <c r="D27" i="59"/>
  <c r="C27" i="59"/>
  <c r="B27" i="59"/>
  <c r="E26" i="59"/>
  <c r="D26" i="59"/>
  <c r="C26" i="59"/>
  <c r="B26" i="59"/>
  <c r="M25" i="59"/>
  <c r="L25" i="59"/>
  <c r="K25" i="59"/>
  <c r="J25" i="59"/>
  <c r="I25" i="59"/>
  <c r="H25" i="59"/>
  <c r="G25" i="59"/>
  <c r="F25" i="59"/>
  <c r="E25" i="59"/>
  <c r="D25" i="59"/>
  <c r="C25" i="59"/>
  <c r="B25" i="59"/>
  <c r="E24" i="59"/>
  <c r="D24" i="59"/>
  <c r="C24" i="59"/>
  <c r="B24" i="59"/>
  <c r="E23" i="59"/>
  <c r="D23" i="59"/>
  <c r="C23" i="59"/>
  <c r="B23" i="59"/>
  <c r="E22" i="59"/>
  <c r="D22" i="59"/>
  <c r="C22" i="59"/>
  <c r="B22" i="59"/>
  <c r="E21" i="59"/>
  <c r="D21" i="59"/>
  <c r="C21" i="59"/>
  <c r="B21" i="59"/>
  <c r="E20" i="59"/>
  <c r="D20" i="59"/>
  <c r="C20" i="59"/>
  <c r="B20" i="59"/>
  <c r="M19" i="59"/>
  <c r="L19" i="59"/>
  <c r="K19" i="59"/>
  <c r="J19" i="59"/>
  <c r="I19" i="59"/>
  <c r="H19" i="59"/>
  <c r="G19" i="59"/>
  <c r="F19" i="59"/>
  <c r="E19" i="59"/>
  <c r="D19" i="59"/>
  <c r="C19" i="59"/>
  <c r="B19" i="59"/>
  <c r="E18" i="59"/>
  <c r="D18" i="59"/>
  <c r="C18" i="59"/>
  <c r="B18" i="59"/>
  <c r="E17" i="59"/>
  <c r="D17" i="59"/>
  <c r="C17" i="59"/>
  <c r="B17" i="59"/>
  <c r="E16" i="59"/>
  <c r="D16" i="59"/>
  <c r="C16" i="59"/>
  <c r="B16" i="59"/>
  <c r="E15" i="59"/>
  <c r="D15" i="59"/>
  <c r="C15" i="59"/>
  <c r="B15" i="59"/>
  <c r="E14" i="59"/>
  <c r="D14" i="59"/>
  <c r="C14" i="59"/>
  <c r="B14" i="59"/>
  <c r="M13" i="59"/>
  <c r="L13" i="59"/>
  <c r="K13" i="59"/>
  <c r="J13" i="59"/>
  <c r="I13" i="59"/>
  <c r="H13" i="59"/>
  <c r="G13" i="59"/>
  <c r="F13" i="59"/>
  <c r="E13" i="59"/>
  <c r="D13" i="59"/>
  <c r="C13" i="59"/>
  <c r="B13" i="59"/>
  <c r="M12" i="59"/>
  <c r="L12" i="59"/>
  <c r="K12" i="59"/>
  <c r="J12" i="59"/>
  <c r="I12" i="59"/>
  <c r="H12" i="59"/>
  <c r="G12" i="59"/>
  <c r="F12" i="59"/>
  <c r="E12" i="59"/>
  <c r="D12" i="59"/>
  <c r="C12" i="59"/>
  <c r="B12" i="59"/>
  <c r="M11" i="59"/>
  <c r="L11" i="59"/>
  <c r="K11" i="59"/>
  <c r="J11" i="59"/>
  <c r="I11" i="59"/>
  <c r="H11" i="59"/>
  <c r="G11" i="59"/>
  <c r="F11" i="59"/>
  <c r="E11" i="59"/>
  <c r="D11" i="59"/>
  <c r="C11" i="59"/>
  <c r="B11" i="59"/>
  <c r="M10" i="59"/>
  <c r="L10" i="59"/>
  <c r="K10" i="59"/>
  <c r="J10" i="59"/>
  <c r="I10" i="59"/>
  <c r="H10" i="59"/>
  <c r="G10" i="59"/>
  <c r="F10" i="59"/>
  <c r="E10" i="59"/>
  <c r="D10" i="59"/>
  <c r="C10" i="59"/>
  <c r="B10" i="59"/>
  <c r="M9" i="59"/>
  <c r="L9" i="59"/>
  <c r="K9" i="59"/>
  <c r="J9" i="59"/>
  <c r="I9" i="59"/>
  <c r="H9" i="59"/>
  <c r="G9" i="59"/>
  <c r="F9" i="59"/>
  <c r="E9" i="59"/>
  <c r="D9" i="59"/>
  <c r="C9" i="59"/>
  <c r="B9" i="59"/>
  <c r="M8" i="59"/>
  <c r="L8" i="59"/>
  <c r="K8" i="59"/>
  <c r="J8" i="59"/>
  <c r="I8" i="59"/>
  <c r="H8" i="59"/>
  <c r="G8" i="59"/>
  <c r="F8" i="59"/>
  <c r="E8" i="59"/>
  <c r="D8" i="59"/>
  <c r="C8" i="59"/>
  <c r="B8" i="59"/>
  <c r="M7" i="59"/>
  <c r="L7" i="59"/>
  <c r="K7" i="59"/>
  <c r="J7" i="59"/>
  <c r="I7" i="59"/>
  <c r="H7" i="59"/>
  <c r="G7" i="59"/>
  <c r="F7" i="59"/>
  <c r="E7" i="59"/>
  <c r="D7" i="59"/>
  <c r="C7" i="59"/>
  <c r="B7" i="59"/>
  <c r="E42" i="58"/>
  <c r="D42" i="58"/>
  <c r="C42" i="58"/>
  <c r="B42" i="58"/>
  <c r="E41" i="58"/>
  <c r="D41" i="58"/>
  <c r="C41" i="58"/>
  <c r="B41" i="58"/>
  <c r="E40" i="58"/>
  <c r="D40" i="58"/>
  <c r="C40" i="58"/>
  <c r="B40" i="58"/>
  <c r="E39" i="58"/>
  <c r="D39" i="58"/>
  <c r="C39" i="58"/>
  <c r="B39" i="58"/>
  <c r="E38" i="58"/>
  <c r="D38" i="58"/>
  <c r="C38" i="58"/>
  <c r="B38" i="58"/>
  <c r="M37" i="58"/>
  <c r="L37" i="58"/>
  <c r="K37" i="58"/>
  <c r="J37" i="58"/>
  <c r="I37" i="58"/>
  <c r="H37" i="58"/>
  <c r="G37" i="58"/>
  <c r="F37" i="58"/>
  <c r="E37" i="58"/>
  <c r="D37" i="58"/>
  <c r="C37" i="58"/>
  <c r="B37" i="58"/>
  <c r="E36" i="58"/>
  <c r="D36" i="58"/>
  <c r="C36" i="58"/>
  <c r="B36" i="58"/>
  <c r="E35" i="58"/>
  <c r="D35" i="58"/>
  <c r="C35" i="58"/>
  <c r="B35" i="58"/>
  <c r="E34" i="58"/>
  <c r="D34" i="58"/>
  <c r="C34" i="58"/>
  <c r="B34" i="58"/>
  <c r="E33" i="58"/>
  <c r="D33" i="58"/>
  <c r="C33" i="58"/>
  <c r="B33" i="58"/>
  <c r="E32" i="58"/>
  <c r="D32" i="58"/>
  <c r="C32" i="58"/>
  <c r="B32" i="58"/>
  <c r="M31" i="58"/>
  <c r="L31" i="58"/>
  <c r="K31" i="58"/>
  <c r="J31" i="58"/>
  <c r="I31" i="58"/>
  <c r="H31" i="58"/>
  <c r="G31" i="58"/>
  <c r="F31" i="58"/>
  <c r="E31" i="58"/>
  <c r="D31" i="58"/>
  <c r="C31" i="58"/>
  <c r="B31" i="58"/>
  <c r="E30" i="58"/>
  <c r="D30" i="58"/>
  <c r="C30" i="58"/>
  <c r="B30" i="58"/>
  <c r="E29" i="58"/>
  <c r="D29" i="58"/>
  <c r="C29" i="58"/>
  <c r="B29" i="58"/>
  <c r="E28" i="58"/>
  <c r="D28" i="58"/>
  <c r="C28" i="58"/>
  <c r="B28" i="58"/>
  <c r="E27" i="58"/>
  <c r="D27" i="58"/>
  <c r="C27" i="58"/>
  <c r="B27" i="58"/>
  <c r="E26" i="58"/>
  <c r="D26" i="58"/>
  <c r="C26" i="58"/>
  <c r="B26" i="58"/>
  <c r="M25" i="58"/>
  <c r="L25" i="58"/>
  <c r="K25" i="58"/>
  <c r="J25" i="58"/>
  <c r="I25" i="58"/>
  <c r="H25" i="58"/>
  <c r="G25" i="58"/>
  <c r="F25" i="58"/>
  <c r="E25" i="58"/>
  <c r="D25" i="58"/>
  <c r="C25" i="58"/>
  <c r="B25" i="58"/>
  <c r="E24" i="58"/>
  <c r="D24" i="58"/>
  <c r="C24" i="58"/>
  <c r="B24" i="58"/>
  <c r="E23" i="58"/>
  <c r="D23" i="58"/>
  <c r="C23" i="58"/>
  <c r="B23" i="58"/>
  <c r="E22" i="58"/>
  <c r="D22" i="58"/>
  <c r="C22" i="58"/>
  <c r="B22" i="58"/>
  <c r="E21" i="58"/>
  <c r="D21" i="58"/>
  <c r="C21" i="58"/>
  <c r="B21" i="58"/>
  <c r="E20" i="58"/>
  <c r="D20" i="58"/>
  <c r="C20" i="58"/>
  <c r="B20" i="58"/>
  <c r="M19" i="58"/>
  <c r="L19" i="58"/>
  <c r="K19" i="58"/>
  <c r="J19" i="58"/>
  <c r="I19" i="58"/>
  <c r="H19" i="58"/>
  <c r="G19" i="58"/>
  <c r="F19" i="58"/>
  <c r="E19" i="58"/>
  <c r="D19" i="58"/>
  <c r="C19" i="58"/>
  <c r="B19" i="58"/>
  <c r="E18" i="58"/>
  <c r="D18" i="58"/>
  <c r="C18" i="58"/>
  <c r="B18" i="58"/>
  <c r="E17" i="58"/>
  <c r="D17" i="58"/>
  <c r="C17" i="58"/>
  <c r="B17" i="58"/>
  <c r="E16" i="58"/>
  <c r="D16" i="58"/>
  <c r="C16" i="58"/>
  <c r="B16" i="58"/>
  <c r="E15" i="58"/>
  <c r="D15" i="58"/>
  <c r="C15" i="58"/>
  <c r="B15" i="58"/>
  <c r="E14" i="58"/>
  <c r="D14" i="58"/>
  <c r="C14" i="58"/>
  <c r="B14" i="58"/>
  <c r="M13" i="58"/>
  <c r="L13" i="58"/>
  <c r="K13" i="58"/>
  <c r="J13" i="58"/>
  <c r="I13" i="58"/>
  <c r="H13" i="58"/>
  <c r="G13" i="58"/>
  <c r="F13" i="58"/>
  <c r="E13" i="58"/>
  <c r="D13" i="58"/>
  <c r="C13" i="58"/>
  <c r="B13" i="58"/>
  <c r="M12" i="58"/>
  <c r="L12" i="58"/>
  <c r="K12" i="58"/>
  <c r="J12" i="58"/>
  <c r="I12" i="58"/>
  <c r="H12" i="58"/>
  <c r="G12" i="58"/>
  <c r="F12" i="58"/>
  <c r="E12" i="58"/>
  <c r="D12" i="58"/>
  <c r="C12" i="58"/>
  <c r="B12" i="58"/>
  <c r="M11" i="58"/>
  <c r="L11" i="58"/>
  <c r="K11" i="58"/>
  <c r="J11" i="58"/>
  <c r="I11" i="58"/>
  <c r="H11" i="58"/>
  <c r="G11" i="58"/>
  <c r="F11" i="58"/>
  <c r="E11" i="58"/>
  <c r="D11" i="58"/>
  <c r="C11" i="58"/>
  <c r="B11" i="58"/>
  <c r="M10" i="58"/>
  <c r="L10" i="58"/>
  <c r="K10" i="58"/>
  <c r="J10" i="58"/>
  <c r="I10" i="58"/>
  <c r="H10" i="58"/>
  <c r="G10" i="58"/>
  <c r="F10" i="58"/>
  <c r="E10" i="58"/>
  <c r="D10" i="58"/>
  <c r="C10" i="58"/>
  <c r="B10" i="58"/>
  <c r="M9" i="58"/>
  <c r="L9" i="58"/>
  <c r="K9" i="58"/>
  <c r="J9" i="58"/>
  <c r="I9" i="58"/>
  <c r="H9" i="58"/>
  <c r="G9" i="58"/>
  <c r="F9" i="58"/>
  <c r="E9" i="58"/>
  <c r="D9" i="58"/>
  <c r="C9" i="58"/>
  <c r="B9" i="58"/>
  <c r="M8" i="58"/>
  <c r="L8" i="58"/>
  <c r="K8" i="58"/>
  <c r="J8" i="58"/>
  <c r="I8" i="58"/>
  <c r="H8" i="58"/>
  <c r="G8" i="58"/>
  <c r="F8" i="58"/>
  <c r="E8" i="58"/>
  <c r="D8" i="58"/>
  <c r="C8" i="58"/>
  <c r="B8" i="58"/>
  <c r="M7" i="58"/>
  <c r="L7" i="58"/>
  <c r="K7" i="58"/>
  <c r="J7" i="58"/>
  <c r="I7" i="58"/>
  <c r="H7" i="58"/>
  <c r="G7" i="58"/>
  <c r="F7" i="58"/>
  <c r="E7" i="58"/>
  <c r="D7" i="58"/>
  <c r="C7" i="58"/>
  <c r="B7" i="58"/>
  <c r="C22" i="57"/>
  <c r="B22" i="57"/>
  <c r="C21" i="57"/>
  <c r="B21" i="57"/>
  <c r="C20" i="57"/>
  <c r="B20" i="57"/>
  <c r="C19" i="57"/>
  <c r="B19" i="57"/>
  <c r="C18" i="57"/>
  <c r="B18" i="57"/>
  <c r="C17" i="57"/>
  <c r="B17" i="57"/>
  <c r="C16" i="57"/>
  <c r="B16" i="57"/>
  <c r="C15" i="57"/>
  <c r="B15" i="57"/>
  <c r="C14" i="57"/>
  <c r="B14" i="57"/>
  <c r="C13" i="57"/>
  <c r="B13" i="57"/>
  <c r="C12" i="57"/>
  <c r="B12" i="57"/>
  <c r="C11" i="57"/>
  <c r="B11" i="57"/>
  <c r="C10" i="57"/>
  <c r="B10" i="57"/>
  <c r="C9" i="57"/>
  <c r="B9" i="57"/>
  <c r="C8" i="57"/>
  <c r="B8" i="57"/>
  <c r="C7" i="57"/>
  <c r="B7" i="57"/>
  <c r="U6" i="57"/>
  <c r="T6" i="57"/>
  <c r="S6" i="57"/>
  <c r="R6" i="57"/>
  <c r="Q6" i="57"/>
  <c r="P6" i="57"/>
  <c r="O6" i="57"/>
  <c r="N6" i="57"/>
  <c r="M6" i="57"/>
  <c r="L6" i="57"/>
  <c r="K6" i="57"/>
  <c r="J6" i="57"/>
  <c r="I6" i="57"/>
  <c r="H6" i="57"/>
  <c r="G6" i="57"/>
  <c r="F6" i="57"/>
  <c r="E6" i="57"/>
  <c r="D6" i="57"/>
  <c r="B6" i="57" s="1"/>
  <c r="C6" i="57"/>
  <c r="C22" i="56"/>
  <c r="B22" i="56"/>
  <c r="C21" i="56"/>
  <c r="B21" i="56"/>
  <c r="C20" i="56"/>
  <c r="B20" i="56"/>
  <c r="C19" i="56"/>
  <c r="B19" i="56"/>
  <c r="C18" i="56"/>
  <c r="B18" i="56"/>
  <c r="C17" i="56"/>
  <c r="B17" i="56"/>
  <c r="C16" i="56"/>
  <c r="B16" i="56"/>
  <c r="C15" i="56"/>
  <c r="B15" i="56"/>
  <c r="C14" i="56"/>
  <c r="B14" i="56"/>
  <c r="C13" i="56"/>
  <c r="B13" i="56"/>
  <c r="C12" i="56"/>
  <c r="B12" i="56"/>
  <c r="C11" i="56"/>
  <c r="B11" i="56"/>
  <c r="C10" i="56"/>
  <c r="B10" i="56"/>
  <c r="C9" i="56"/>
  <c r="B9" i="56"/>
  <c r="C8" i="56"/>
  <c r="B8" i="56"/>
  <c r="C7" i="56"/>
  <c r="B7" i="56"/>
  <c r="S6" i="56"/>
  <c r="R6" i="56"/>
  <c r="Q6" i="56"/>
  <c r="P6" i="56"/>
  <c r="O6" i="56"/>
  <c r="N6" i="56"/>
  <c r="M6" i="56"/>
  <c r="L6" i="56"/>
  <c r="K6" i="56"/>
  <c r="J6" i="56"/>
  <c r="I6" i="56"/>
  <c r="H6" i="56"/>
  <c r="G6" i="56"/>
  <c r="F6" i="56"/>
  <c r="E6" i="56"/>
  <c r="C6" i="56" s="1"/>
  <c r="D6" i="56"/>
  <c r="B6" i="56" s="1"/>
  <c r="C22" i="55"/>
  <c r="B22" i="55"/>
  <c r="C21" i="55"/>
  <c r="B21" i="55"/>
  <c r="C20" i="55"/>
  <c r="B20" i="55"/>
  <c r="C19" i="55"/>
  <c r="B19" i="55"/>
  <c r="C18" i="55"/>
  <c r="B18" i="55"/>
  <c r="C17" i="55"/>
  <c r="B17" i="55"/>
  <c r="C16" i="55"/>
  <c r="B16" i="55"/>
  <c r="C15" i="55"/>
  <c r="B15" i="55"/>
  <c r="C14" i="55"/>
  <c r="B14" i="55"/>
  <c r="C13" i="55"/>
  <c r="B13" i="55"/>
  <c r="C12" i="55"/>
  <c r="B12" i="55"/>
  <c r="C11" i="55"/>
  <c r="B11" i="55"/>
  <c r="C10" i="55"/>
  <c r="B10" i="55"/>
  <c r="C9" i="55"/>
  <c r="B9" i="55"/>
  <c r="C8" i="55"/>
  <c r="B8" i="55"/>
  <c r="C7" i="55"/>
  <c r="B7" i="55"/>
  <c r="Q6" i="55"/>
  <c r="P6" i="55"/>
  <c r="O6" i="55"/>
  <c r="N6" i="55"/>
  <c r="M6" i="55"/>
  <c r="L6" i="55"/>
  <c r="K6" i="55"/>
  <c r="J6" i="55"/>
  <c r="I6" i="55"/>
  <c r="H6" i="55"/>
  <c r="G6" i="55"/>
  <c r="F6" i="55"/>
  <c r="E6" i="55"/>
  <c r="C6" i="55" s="1"/>
  <c r="D6" i="55"/>
  <c r="B6" i="55" s="1"/>
  <c r="C21" i="54"/>
  <c r="B21" i="54"/>
  <c r="C20" i="54"/>
  <c r="B20" i="54"/>
  <c r="C19" i="54"/>
  <c r="B19" i="54"/>
  <c r="C18" i="54"/>
  <c r="B18" i="54"/>
  <c r="C17" i="54"/>
  <c r="B17" i="54"/>
  <c r="C16" i="54"/>
  <c r="B16" i="54"/>
  <c r="C15" i="54"/>
  <c r="B15" i="54"/>
  <c r="C14" i="54"/>
  <c r="B14" i="54"/>
  <c r="C13" i="54"/>
  <c r="B13" i="54"/>
  <c r="C12" i="54"/>
  <c r="B12" i="54"/>
  <c r="C11" i="54"/>
  <c r="B11" i="54"/>
  <c r="C10" i="54"/>
  <c r="B10" i="54"/>
  <c r="C9" i="54"/>
  <c r="B9" i="54"/>
  <c r="C8" i="54"/>
  <c r="B8" i="54"/>
  <c r="C7" i="54"/>
  <c r="B7" i="54"/>
  <c r="S6" i="54"/>
  <c r="R6" i="54"/>
  <c r="Q6" i="54"/>
  <c r="P6" i="54"/>
  <c r="O6" i="54"/>
  <c r="N6" i="54"/>
  <c r="M6" i="54"/>
  <c r="L6" i="54"/>
  <c r="K6" i="54"/>
  <c r="J6" i="54"/>
  <c r="I6" i="54"/>
  <c r="H6" i="54"/>
  <c r="G6" i="54"/>
  <c r="F6" i="54"/>
  <c r="E6" i="54"/>
  <c r="C6" i="54" s="1"/>
  <c r="D6" i="54"/>
  <c r="B6" i="54" s="1"/>
  <c r="C22" i="53"/>
  <c r="B22" i="53"/>
  <c r="C21" i="53"/>
  <c r="B21" i="53"/>
  <c r="C20" i="53"/>
  <c r="B20" i="53"/>
  <c r="C19" i="53"/>
  <c r="B19" i="53"/>
  <c r="C18" i="53"/>
  <c r="B18" i="53"/>
  <c r="C17" i="53"/>
  <c r="B17" i="53"/>
  <c r="C16" i="53"/>
  <c r="B16" i="53"/>
  <c r="C15" i="53"/>
  <c r="B15" i="53"/>
  <c r="C14" i="53"/>
  <c r="B14" i="53"/>
  <c r="C13" i="53"/>
  <c r="B13" i="53"/>
  <c r="C12" i="53"/>
  <c r="B12" i="53"/>
  <c r="C11" i="53"/>
  <c r="B11" i="53"/>
  <c r="C10" i="53"/>
  <c r="B10" i="53"/>
  <c r="C9" i="53"/>
  <c r="B9" i="53"/>
  <c r="C8" i="53"/>
  <c r="B8" i="53"/>
  <c r="C7" i="53"/>
  <c r="B7" i="53"/>
  <c r="Q6" i="53"/>
  <c r="P6" i="53"/>
  <c r="O6" i="53"/>
  <c r="N6" i="53"/>
  <c r="M6" i="53"/>
  <c r="L6" i="53"/>
  <c r="K6" i="53"/>
  <c r="J6" i="53"/>
  <c r="I6" i="53"/>
  <c r="H6" i="53"/>
  <c r="G6" i="53"/>
  <c r="F6" i="53"/>
  <c r="E6" i="53"/>
  <c r="C6" i="53" s="1"/>
  <c r="D6" i="53"/>
  <c r="B6" i="53" s="1"/>
  <c r="G6" i="52"/>
  <c r="F6" i="52"/>
  <c r="E6" i="52"/>
  <c r="D6" i="52"/>
  <c r="C6" i="52"/>
  <c r="B6" i="52"/>
  <c r="B22" i="49" l="1"/>
  <c r="B21" i="49"/>
  <c r="N20" i="49"/>
  <c r="M20" i="49"/>
  <c r="L20" i="49"/>
  <c r="K20" i="49"/>
  <c r="J20" i="49"/>
  <c r="I20" i="49"/>
  <c r="H20" i="49"/>
  <c r="G20" i="49"/>
  <c r="F20" i="49"/>
  <c r="E20" i="49"/>
  <c r="D20" i="49"/>
  <c r="B20" i="49" s="1"/>
  <c r="B6" i="49" s="1"/>
  <c r="C20" i="49"/>
  <c r="B19" i="49"/>
  <c r="B18" i="49"/>
  <c r="B17" i="49"/>
  <c r="B16" i="49"/>
  <c r="N15" i="49"/>
  <c r="M15" i="49"/>
  <c r="L15" i="49"/>
  <c r="K15" i="49"/>
  <c r="J15" i="49"/>
  <c r="I15" i="49"/>
  <c r="H15" i="49"/>
  <c r="G15" i="49"/>
  <c r="F15" i="49"/>
  <c r="E15" i="49"/>
  <c r="D15" i="49"/>
  <c r="C15" i="49"/>
  <c r="B15" i="49"/>
  <c r="B14" i="49"/>
  <c r="B13" i="49"/>
  <c r="B12" i="49"/>
  <c r="N11" i="49"/>
  <c r="M11" i="49"/>
  <c r="L11" i="49"/>
  <c r="K11" i="49"/>
  <c r="J11" i="49"/>
  <c r="I11" i="49"/>
  <c r="H11" i="49"/>
  <c r="G11" i="49"/>
  <c r="F11" i="49"/>
  <c r="E11" i="49"/>
  <c r="D11" i="49"/>
  <c r="C11" i="49"/>
  <c r="B11" i="49"/>
  <c r="B10" i="49"/>
  <c r="B9" i="49"/>
  <c r="B8" i="49"/>
  <c r="N7" i="49"/>
  <c r="N6" i="49" s="1"/>
  <c r="M7" i="49"/>
  <c r="L7" i="49"/>
  <c r="K7" i="49"/>
  <c r="J7" i="49"/>
  <c r="I7" i="49"/>
  <c r="H7" i="49"/>
  <c r="G7" i="49"/>
  <c r="F7" i="49"/>
  <c r="E7" i="49"/>
  <c r="D7" i="49"/>
  <c r="C7" i="49"/>
  <c r="B7" i="49"/>
  <c r="M6" i="49"/>
  <c r="L6" i="49"/>
  <c r="K6" i="49"/>
  <c r="J6" i="49"/>
  <c r="I6" i="49"/>
  <c r="H6" i="49"/>
  <c r="G6" i="49"/>
  <c r="F6" i="49"/>
  <c r="E6" i="49"/>
  <c r="D6" i="49"/>
  <c r="C6" i="49"/>
  <c r="B60" i="48"/>
  <c r="B58" i="48"/>
  <c r="B57" i="48"/>
  <c r="B55" i="48"/>
  <c r="B50" i="48"/>
  <c r="B45" i="48"/>
  <c r="B37" i="48"/>
  <c r="B36" i="48" s="1"/>
  <c r="B34" i="48"/>
  <c r="B28" i="48"/>
  <c r="B26" i="48"/>
  <c r="B22" i="48"/>
  <c r="B21" i="48"/>
  <c r="B18" i="48"/>
  <c r="B16" i="48"/>
  <c r="B11" i="48"/>
  <c r="B10" i="48"/>
  <c r="B7" i="48"/>
  <c r="B6" i="48"/>
  <c r="B5" i="48" s="1"/>
  <c r="G22" i="47"/>
  <c r="F22" i="47"/>
  <c r="E22" i="47"/>
  <c r="D22" i="47"/>
  <c r="C22" i="47"/>
  <c r="B22" i="47"/>
  <c r="G17" i="47"/>
  <c r="F17" i="47"/>
  <c r="E17" i="47"/>
  <c r="D17" i="47"/>
  <c r="C17" i="47"/>
  <c r="B17" i="47"/>
  <c r="G12" i="47"/>
  <c r="F12" i="47"/>
  <c r="E12" i="47"/>
  <c r="D12" i="47"/>
  <c r="C12" i="47"/>
  <c r="B12" i="47"/>
  <c r="G8" i="47"/>
  <c r="F8" i="47"/>
  <c r="E8" i="47"/>
  <c r="D8" i="47"/>
  <c r="C8" i="47"/>
  <c r="B8" i="47"/>
  <c r="G6" i="47"/>
  <c r="F6" i="47"/>
  <c r="E6" i="47"/>
  <c r="D6" i="47"/>
  <c r="C6" i="47"/>
  <c r="B6" i="47"/>
  <c r="G5" i="47"/>
  <c r="F5" i="47"/>
  <c r="E5" i="47"/>
  <c r="D5" i="47"/>
  <c r="C5" i="47"/>
  <c r="B5" i="47"/>
  <c r="B30" i="46"/>
  <c r="O29" i="46"/>
  <c r="N29" i="46"/>
  <c r="M29" i="46"/>
  <c r="L29" i="46"/>
  <c r="K29" i="46"/>
  <c r="J29" i="46"/>
  <c r="I29" i="46"/>
  <c r="H29" i="46"/>
  <c r="G29" i="46"/>
  <c r="F29" i="46"/>
  <c r="E29" i="46"/>
  <c r="D29" i="46"/>
  <c r="C29" i="46"/>
  <c r="B29" i="46"/>
  <c r="B28" i="46"/>
  <c r="B27" i="46"/>
  <c r="B26" i="46"/>
  <c r="O25" i="46"/>
  <c r="N25" i="46"/>
  <c r="M25" i="46"/>
  <c r="L25" i="46"/>
  <c r="K25" i="46"/>
  <c r="J25" i="46"/>
  <c r="I25" i="46"/>
  <c r="H25" i="46"/>
  <c r="G25" i="46"/>
  <c r="F25" i="46"/>
  <c r="E25" i="46"/>
  <c r="D25" i="46"/>
  <c r="C25" i="46"/>
  <c r="B25" i="46"/>
  <c r="B24" i="46"/>
  <c r="B23" i="46"/>
  <c r="B22" i="46"/>
  <c r="O21" i="46"/>
  <c r="N21" i="46"/>
  <c r="M21" i="46"/>
  <c r="L21" i="46"/>
  <c r="K21" i="46"/>
  <c r="J21" i="46"/>
  <c r="I21" i="46"/>
  <c r="H21" i="46"/>
  <c r="G21" i="46"/>
  <c r="F21" i="46"/>
  <c r="E21" i="46"/>
  <c r="D21" i="46"/>
  <c r="C21" i="46"/>
  <c r="B21" i="46" s="1"/>
  <c r="B20" i="46"/>
  <c r="B19" i="46"/>
  <c r="O18" i="46"/>
  <c r="N18" i="46"/>
  <c r="M18" i="46"/>
  <c r="L18" i="46"/>
  <c r="K18" i="46"/>
  <c r="J18" i="46"/>
  <c r="I18" i="46"/>
  <c r="H18" i="46"/>
  <c r="G18" i="46"/>
  <c r="F18" i="46"/>
  <c r="E18" i="46"/>
  <c r="D18" i="46"/>
  <c r="C18" i="46"/>
  <c r="B18" i="46"/>
  <c r="B17" i="46"/>
  <c r="O16" i="46"/>
  <c r="N16" i="46"/>
  <c r="M16" i="46"/>
  <c r="L16" i="46"/>
  <c r="K16" i="46"/>
  <c r="J16" i="46"/>
  <c r="I16" i="46"/>
  <c r="H16" i="46"/>
  <c r="G16" i="46"/>
  <c r="F16" i="46"/>
  <c r="E16" i="46"/>
  <c r="D16" i="46"/>
  <c r="C16" i="46"/>
  <c r="B16" i="46"/>
  <c r="B15" i="46"/>
  <c r="O14" i="46"/>
  <c r="N14" i="46"/>
  <c r="M14" i="46"/>
  <c r="L14" i="46"/>
  <c r="K14" i="46"/>
  <c r="J14" i="46"/>
  <c r="I14" i="46"/>
  <c r="H14" i="46"/>
  <c r="G14" i="46"/>
  <c r="F14" i="46"/>
  <c r="E14" i="46"/>
  <c r="D14" i="46"/>
  <c r="C14" i="46"/>
  <c r="B14" i="46" s="1"/>
  <c r="B13" i="46"/>
  <c r="B12" i="46"/>
  <c r="O11" i="46"/>
  <c r="N11" i="46"/>
  <c r="M11" i="46"/>
  <c r="L11" i="46"/>
  <c r="K11" i="46"/>
  <c r="J11" i="46"/>
  <c r="I11" i="46"/>
  <c r="H11" i="46"/>
  <c r="G11" i="46"/>
  <c r="F11" i="46"/>
  <c r="E11" i="46"/>
  <c r="D11" i="46"/>
  <c r="C11" i="46"/>
  <c r="B11" i="46" s="1"/>
  <c r="B10" i="46"/>
  <c r="O9" i="46"/>
  <c r="N9" i="46"/>
  <c r="M9" i="46"/>
  <c r="L9" i="46"/>
  <c r="K9" i="46"/>
  <c r="J9" i="46"/>
  <c r="I9" i="46"/>
  <c r="H9" i="46"/>
  <c r="G9" i="46"/>
  <c r="F9" i="46"/>
  <c r="E9" i="46"/>
  <c r="D9" i="46"/>
  <c r="C9" i="46"/>
  <c r="B9" i="46" s="1"/>
  <c r="B8" i="46"/>
  <c r="O7" i="46"/>
  <c r="N7" i="46"/>
  <c r="N6" i="46" s="1"/>
  <c r="M7" i="46"/>
  <c r="L7" i="46"/>
  <c r="K7" i="46"/>
  <c r="J7" i="46"/>
  <c r="J6" i="46" s="1"/>
  <c r="I7" i="46"/>
  <c r="H7" i="46"/>
  <c r="G7" i="46"/>
  <c r="F7" i="46"/>
  <c r="F6" i="46" s="1"/>
  <c r="E7" i="46"/>
  <c r="D7" i="46"/>
  <c r="C7" i="46"/>
  <c r="B7" i="46" s="1"/>
  <c r="O6" i="46"/>
  <c r="M6" i="46"/>
  <c r="L6" i="46"/>
  <c r="K6" i="46"/>
  <c r="I6" i="46"/>
  <c r="H6" i="46"/>
  <c r="G6" i="46"/>
  <c r="E6" i="46"/>
  <c r="D6" i="46"/>
  <c r="C6" i="46"/>
  <c r="B30" i="45"/>
  <c r="N29" i="45"/>
  <c r="M29" i="45"/>
  <c r="L29" i="45"/>
  <c r="K29" i="45"/>
  <c r="J29" i="45"/>
  <c r="I29" i="45"/>
  <c r="H29" i="45"/>
  <c r="G29" i="45"/>
  <c r="F29" i="45"/>
  <c r="E29" i="45"/>
  <c r="D29" i="45"/>
  <c r="C29" i="45"/>
  <c r="B29" i="45" s="1"/>
  <c r="B28" i="45"/>
  <c r="B27" i="45"/>
  <c r="B26" i="45"/>
  <c r="N25" i="45"/>
  <c r="M25" i="45"/>
  <c r="L25" i="45"/>
  <c r="K25" i="45"/>
  <c r="J25" i="45"/>
  <c r="I25" i="45"/>
  <c r="H25" i="45"/>
  <c r="G25" i="45"/>
  <c r="F25" i="45"/>
  <c r="E25" i="45"/>
  <c r="D25" i="45"/>
  <c r="C25" i="45"/>
  <c r="B25" i="45" s="1"/>
  <c r="B24" i="45"/>
  <c r="B23" i="45"/>
  <c r="B22" i="45"/>
  <c r="N21" i="45"/>
  <c r="M21" i="45"/>
  <c r="L21" i="45"/>
  <c r="K21" i="45"/>
  <c r="J21" i="45"/>
  <c r="I21" i="45"/>
  <c r="H21" i="45"/>
  <c r="G21" i="45"/>
  <c r="F21" i="45"/>
  <c r="E21" i="45"/>
  <c r="D21" i="45"/>
  <c r="C21" i="45"/>
  <c r="B21" i="45" s="1"/>
  <c r="B20" i="45"/>
  <c r="B19" i="45"/>
  <c r="N18" i="45"/>
  <c r="M18" i="45"/>
  <c r="L18" i="45"/>
  <c r="K18" i="45"/>
  <c r="J18" i="45"/>
  <c r="I18" i="45"/>
  <c r="H18" i="45"/>
  <c r="G18" i="45"/>
  <c r="F18" i="45"/>
  <c r="E18" i="45"/>
  <c r="D18" i="45"/>
  <c r="C18" i="45"/>
  <c r="B18" i="45"/>
  <c r="B17" i="45"/>
  <c r="N16" i="45"/>
  <c r="M16" i="45"/>
  <c r="L16" i="45"/>
  <c r="K16" i="45"/>
  <c r="J16" i="45"/>
  <c r="I16" i="45"/>
  <c r="H16" i="45"/>
  <c r="G16" i="45"/>
  <c r="F16" i="45"/>
  <c r="E16" i="45"/>
  <c r="D16" i="45"/>
  <c r="C16" i="45"/>
  <c r="B16" i="45"/>
  <c r="B15" i="45"/>
  <c r="N14" i="45"/>
  <c r="M14" i="45"/>
  <c r="L14" i="45"/>
  <c r="K14" i="45"/>
  <c r="J14" i="45"/>
  <c r="I14" i="45"/>
  <c r="H14" i="45"/>
  <c r="G14" i="45"/>
  <c r="F14" i="45"/>
  <c r="E14" i="45"/>
  <c r="D14" i="45"/>
  <c r="B14" i="45" s="1"/>
  <c r="C14" i="45"/>
  <c r="B13" i="45"/>
  <c r="B12" i="45"/>
  <c r="N11" i="45"/>
  <c r="M11" i="45"/>
  <c r="L11" i="45"/>
  <c r="K11" i="45"/>
  <c r="J11" i="45"/>
  <c r="I11" i="45"/>
  <c r="H11" i="45"/>
  <c r="G11" i="45"/>
  <c r="F11" i="45"/>
  <c r="E11" i="45"/>
  <c r="D11" i="45"/>
  <c r="C11" i="45"/>
  <c r="B11" i="45" s="1"/>
  <c r="B10" i="45"/>
  <c r="N9" i="45"/>
  <c r="M9" i="45"/>
  <c r="L9" i="45"/>
  <c r="K9" i="45"/>
  <c r="J9" i="45"/>
  <c r="I9" i="45"/>
  <c r="H9" i="45"/>
  <c r="G9" i="45"/>
  <c r="F9" i="45"/>
  <c r="E9" i="45"/>
  <c r="D9" i="45"/>
  <c r="C9" i="45"/>
  <c r="B9" i="45" s="1"/>
  <c r="B8" i="45"/>
  <c r="N7" i="45"/>
  <c r="M7" i="45"/>
  <c r="M6" i="45" s="1"/>
  <c r="L7" i="45"/>
  <c r="K7" i="45"/>
  <c r="K6" i="45" s="1"/>
  <c r="J7" i="45"/>
  <c r="I7" i="45"/>
  <c r="I6" i="45" s="1"/>
  <c r="H7" i="45"/>
  <c r="G7" i="45"/>
  <c r="G6" i="45" s="1"/>
  <c r="F7" i="45"/>
  <c r="E7" i="45"/>
  <c r="E6" i="45" s="1"/>
  <c r="D7" i="45"/>
  <c r="C7" i="45"/>
  <c r="B7" i="45" s="1"/>
  <c r="B6" i="45" s="1"/>
  <c r="N6" i="45"/>
  <c r="L6" i="45"/>
  <c r="J6" i="45"/>
  <c r="H6" i="45"/>
  <c r="F6" i="45"/>
  <c r="D6" i="45"/>
  <c r="C75" i="44"/>
  <c r="C74" i="44" s="1"/>
  <c r="B75" i="44"/>
  <c r="B74" i="44" s="1"/>
  <c r="C71" i="44"/>
  <c r="B71" i="44"/>
  <c r="C69" i="44"/>
  <c r="B69" i="44"/>
  <c r="C68" i="44"/>
  <c r="B68" i="44"/>
  <c r="C66" i="44"/>
  <c r="B66" i="44"/>
  <c r="C65" i="44"/>
  <c r="B65" i="44"/>
  <c r="C53" i="44"/>
  <c r="B53" i="44"/>
  <c r="C51" i="44"/>
  <c r="C50" i="44" s="1"/>
  <c r="B51" i="44"/>
  <c r="B50" i="44" s="1"/>
  <c r="C46" i="44"/>
  <c r="B46" i="44"/>
  <c r="C43" i="44"/>
  <c r="B43" i="44"/>
  <c r="C42" i="44"/>
  <c r="B42" i="44"/>
  <c r="C40" i="44"/>
  <c r="B40" i="44"/>
  <c r="C39" i="44"/>
  <c r="B39" i="44"/>
  <c r="C36" i="44"/>
  <c r="B36" i="44"/>
  <c r="C31" i="44"/>
  <c r="C30" i="44" s="1"/>
  <c r="B31" i="44"/>
  <c r="B30" i="44" s="1"/>
  <c r="C7" i="44"/>
  <c r="C6" i="44" s="1"/>
  <c r="C5" i="44" s="1"/>
  <c r="B7" i="44"/>
  <c r="B6" i="44" s="1"/>
  <c r="C21" i="43"/>
  <c r="B21" i="43"/>
  <c r="C20" i="43"/>
  <c r="B20" i="43"/>
  <c r="C18" i="43"/>
  <c r="B18" i="43"/>
  <c r="C16" i="43"/>
  <c r="B16" i="43"/>
  <c r="C13" i="43"/>
  <c r="B13" i="43"/>
  <c r="C12" i="43"/>
  <c r="B12" i="43"/>
  <c r="C10" i="43"/>
  <c r="B10" i="43"/>
  <c r="C9" i="43"/>
  <c r="B9" i="43"/>
  <c r="C7" i="43"/>
  <c r="B7" i="43"/>
  <c r="C6" i="43"/>
  <c r="C5" i="43" s="1"/>
  <c r="B6" i="43"/>
  <c r="B5" i="43" s="1"/>
  <c r="C67" i="42"/>
  <c r="C66" i="42" s="1"/>
  <c r="B67" i="42"/>
  <c r="B66" i="42" s="1"/>
  <c r="C64" i="42"/>
  <c r="B64" i="42"/>
  <c r="C62" i="42"/>
  <c r="B62" i="42"/>
  <c r="C61" i="42"/>
  <c r="B61" i="42"/>
  <c r="C57" i="42"/>
  <c r="B57" i="42"/>
  <c r="C56" i="42"/>
  <c r="B56" i="42"/>
  <c r="C49" i="42"/>
  <c r="B49" i="42"/>
  <c r="C47" i="42"/>
  <c r="C46" i="42" s="1"/>
  <c r="B47" i="42"/>
  <c r="B46" i="42" s="1"/>
  <c r="C41" i="42"/>
  <c r="C40" i="42" s="1"/>
  <c r="B41" i="42"/>
  <c r="B40" i="42" s="1"/>
  <c r="C31" i="42"/>
  <c r="B31" i="42"/>
  <c r="C24" i="42"/>
  <c r="B24" i="42"/>
  <c r="C23" i="42"/>
  <c r="B23" i="42"/>
  <c r="C7" i="42"/>
  <c r="B7" i="42"/>
  <c r="C6" i="42"/>
  <c r="C5" i="42" s="1"/>
  <c r="B6" i="42"/>
  <c r="B5" i="42" s="1"/>
  <c r="C20" i="41"/>
  <c r="C19" i="41"/>
  <c r="C16" i="41" s="1"/>
  <c r="C18" i="41"/>
  <c r="C17" i="41"/>
  <c r="B16" i="41"/>
  <c r="D5" i="41"/>
  <c r="E13" i="41" s="1"/>
  <c r="B5" i="41"/>
  <c r="C14" i="41" s="1"/>
  <c r="B6" i="46" l="1"/>
  <c r="B5" i="44"/>
  <c r="E8" i="41"/>
  <c r="E10" i="41"/>
  <c r="E12" i="41"/>
  <c r="E14" i="41"/>
  <c r="C6" i="45"/>
  <c r="C7" i="41"/>
  <c r="C9" i="41"/>
  <c r="C11" i="41"/>
  <c r="C13" i="41"/>
  <c r="E7" i="41"/>
  <c r="E6" i="41" s="1"/>
  <c r="E9" i="41"/>
  <c r="E11" i="41"/>
  <c r="C8" i="41"/>
  <c r="C10" i="41"/>
  <c r="C12" i="41"/>
  <c r="C6" i="41" l="1"/>
  <c r="C5" i="38"/>
  <c r="B5" i="38"/>
  <c r="D37" i="37"/>
  <c r="D36" i="37"/>
  <c r="C35" i="37"/>
  <c r="D35" i="37" s="1"/>
  <c r="B35" i="37"/>
  <c r="D34" i="37"/>
  <c r="D33" i="37"/>
  <c r="D32" i="37"/>
  <c r="C31" i="37"/>
  <c r="D31" i="37" s="1"/>
  <c r="B31" i="37"/>
  <c r="D30" i="37"/>
  <c r="D29" i="37"/>
  <c r="D28" i="37"/>
  <c r="D27" i="37"/>
  <c r="D26" i="37"/>
  <c r="C25" i="37"/>
  <c r="D25" i="37" s="1"/>
  <c r="B25" i="37"/>
  <c r="D24" i="37"/>
  <c r="D23" i="37"/>
  <c r="D22" i="37"/>
  <c r="C21" i="37"/>
  <c r="B21" i="37"/>
  <c r="D21" i="37" s="1"/>
  <c r="D20" i="37"/>
  <c r="D19" i="37"/>
  <c r="C18" i="37"/>
  <c r="D18" i="37" s="1"/>
  <c r="B18" i="37"/>
  <c r="D17" i="37"/>
  <c r="D16" i="37"/>
  <c r="D15" i="37"/>
  <c r="D14" i="37"/>
  <c r="C14" i="37"/>
  <c r="B14" i="37"/>
  <c r="D13" i="37"/>
  <c r="D12" i="37"/>
  <c r="D11" i="37"/>
  <c r="C10" i="37"/>
  <c r="D10" i="37" s="1"/>
  <c r="B10" i="37"/>
  <c r="D9" i="37"/>
  <c r="C8" i="37"/>
  <c r="D8" i="37" s="1"/>
  <c r="B8" i="37"/>
  <c r="B5" i="37" s="1"/>
  <c r="D5" i="37" s="1"/>
  <c r="D7" i="37"/>
  <c r="E6" i="37"/>
  <c r="C6" i="37"/>
  <c r="D6" i="37" s="1"/>
  <c r="B6" i="37"/>
  <c r="E15" i="36"/>
  <c r="C15" i="36"/>
  <c r="E14" i="36"/>
  <c r="C14" i="36"/>
  <c r="E13" i="36"/>
  <c r="C13" i="36"/>
  <c r="E12" i="36"/>
  <c r="C12" i="36"/>
  <c r="E11" i="36"/>
  <c r="C11" i="36"/>
  <c r="E10" i="36"/>
  <c r="C10" i="36"/>
  <c r="E9" i="36"/>
  <c r="C9" i="36"/>
  <c r="E8" i="36"/>
  <c r="C8" i="36"/>
  <c r="E7" i="36"/>
  <c r="C7" i="36"/>
  <c r="D6" i="36"/>
  <c r="E6" i="36" s="1"/>
  <c r="C6" i="36"/>
  <c r="B6" i="36"/>
  <c r="E5" i="36"/>
  <c r="C5" i="36"/>
  <c r="F36" i="33" l="1"/>
  <c r="E36" i="33"/>
  <c r="F28" i="33"/>
  <c r="E28" i="33"/>
  <c r="F23" i="33"/>
  <c r="E23" i="33"/>
  <c r="D23" i="33"/>
  <c r="C23" i="33"/>
  <c r="C14" i="33" s="1"/>
  <c r="B23" i="33"/>
  <c r="F19" i="33"/>
  <c r="E19" i="33"/>
  <c r="D19" i="33"/>
  <c r="D14" i="33" s="1"/>
  <c r="C19" i="33"/>
  <c r="B19" i="33"/>
  <c r="F15" i="33"/>
  <c r="E15" i="33"/>
  <c r="E14" i="33" s="1"/>
  <c r="D15" i="33"/>
  <c r="C15" i="33"/>
  <c r="B15" i="33"/>
  <c r="F14" i="33"/>
  <c r="B14" i="33"/>
  <c r="F11" i="33"/>
  <c r="E11" i="33"/>
  <c r="D11" i="33"/>
  <c r="C11" i="33"/>
  <c r="C10" i="33" s="1"/>
  <c r="B11" i="33"/>
  <c r="F10" i="33"/>
  <c r="E10" i="33"/>
  <c r="D10" i="33"/>
  <c r="B10" i="33"/>
  <c r="F7" i="33"/>
  <c r="E7" i="33"/>
  <c r="E6" i="33" s="1"/>
  <c r="D7" i="33"/>
  <c r="C7" i="33"/>
  <c r="B7" i="33"/>
  <c r="F6" i="33"/>
  <c r="D6" i="33"/>
  <c r="C6" i="33"/>
  <c r="B6" i="33"/>
  <c r="F49" i="32"/>
  <c r="E49" i="32"/>
  <c r="F40" i="32"/>
  <c r="E40" i="32"/>
  <c r="F29" i="32"/>
  <c r="E29" i="32"/>
  <c r="D29" i="32"/>
  <c r="C29" i="32"/>
  <c r="C17" i="32" s="1"/>
  <c r="B29" i="32"/>
  <c r="F27" i="32"/>
  <c r="E27" i="32"/>
  <c r="D27" i="32"/>
  <c r="C27" i="32"/>
  <c r="B27" i="32"/>
  <c r="F18" i="32"/>
  <c r="E18" i="32"/>
  <c r="E17" i="32" s="1"/>
  <c r="D18" i="32"/>
  <c r="D17" i="32" s="1"/>
  <c r="C18" i="32"/>
  <c r="B18" i="32"/>
  <c r="F17" i="32"/>
  <c r="B17" i="32"/>
  <c r="F15" i="32"/>
  <c r="E15" i="32"/>
  <c r="D15" i="32"/>
  <c r="C15" i="32"/>
  <c r="B15" i="32"/>
  <c r="F11" i="32"/>
  <c r="E11" i="32"/>
  <c r="D11" i="32"/>
  <c r="D10" i="32" s="1"/>
  <c r="C11" i="32"/>
  <c r="B11" i="32"/>
  <c r="F10" i="32"/>
  <c r="E10" i="32"/>
  <c r="C10" i="32"/>
  <c r="B10" i="32"/>
  <c r="F7" i="32"/>
  <c r="F6" i="32" s="1"/>
  <c r="E7" i="32"/>
  <c r="D7" i="32"/>
  <c r="C7" i="32"/>
  <c r="B7" i="32"/>
  <c r="B6" i="32" s="1"/>
  <c r="E6" i="32"/>
  <c r="D6" i="32"/>
  <c r="C6" i="32"/>
  <c r="F24" i="31"/>
  <c r="E24" i="31"/>
  <c r="D24" i="31"/>
  <c r="D7" i="31" s="1"/>
  <c r="C24" i="31"/>
  <c r="B24" i="31"/>
  <c r="F8" i="31"/>
  <c r="E8" i="31"/>
  <c r="E7" i="31" s="1"/>
  <c r="D8" i="31"/>
  <c r="C8" i="31"/>
  <c r="B8" i="31"/>
  <c r="F7" i="31"/>
  <c r="C7" i="31"/>
  <c r="B7" i="31"/>
  <c r="F6" i="30"/>
  <c r="E6" i="30"/>
  <c r="D6" i="30"/>
  <c r="C6" i="30"/>
  <c r="B6" i="30"/>
  <c r="F6" i="29"/>
  <c r="E6" i="29"/>
  <c r="D6" i="29"/>
  <c r="C6" i="29"/>
  <c r="B6" i="29"/>
  <c r="B45" i="4" l="1"/>
  <c r="B43" i="4"/>
  <c r="B41" i="4"/>
  <c r="B40" i="4"/>
  <c r="B38" i="4"/>
  <c r="B37" i="4"/>
  <c r="B36" i="4"/>
  <c r="B35" i="4"/>
  <c r="B34" i="4"/>
  <c r="B32" i="4"/>
  <c r="B31" i="4"/>
  <c r="B30" i="4"/>
  <c r="B29" i="4"/>
  <c r="B28" i="4"/>
  <c r="B27" i="4"/>
  <c r="B25" i="4"/>
  <c r="B24" i="4"/>
  <c r="B22" i="4"/>
  <c r="B21" i="4"/>
  <c r="B20" i="4"/>
  <c r="B19" i="4"/>
  <c r="B17" i="4"/>
  <c r="B16" i="4"/>
  <c r="B14" i="4"/>
  <c r="B13" i="4"/>
  <c r="B11" i="4"/>
  <c r="B9" i="4"/>
  <c r="B8" i="4"/>
  <c r="B7" i="4"/>
  <c r="E46" i="3"/>
  <c r="E42" i="3"/>
  <c r="E41" i="3"/>
  <c r="E39" i="3"/>
  <c r="E37" i="3"/>
  <c r="E36" i="3"/>
  <c r="E35" i="3"/>
  <c r="E33" i="3"/>
  <c r="E32" i="3"/>
  <c r="E31" i="3"/>
  <c r="E30" i="3"/>
  <c r="E29" i="3"/>
  <c r="E28" i="3"/>
  <c r="E26" i="3"/>
  <c r="E25" i="3"/>
  <c r="E23" i="3"/>
  <c r="E22" i="3"/>
  <c r="E21" i="3"/>
  <c r="E20" i="3"/>
  <c r="E18" i="3"/>
  <c r="E17" i="3"/>
  <c r="E15" i="3"/>
  <c r="E14" i="3"/>
  <c r="E12" i="3"/>
  <c r="E10" i="3"/>
  <c r="E9" i="3"/>
  <c r="E8" i="3"/>
  <c r="D46" i="3"/>
  <c r="D44" i="3"/>
  <c r="D42" i="3"/>
  <c r="D41" i="3"/>
  <c r="D39" i="3"/>
  <c r="D38" i="3"/>
  <c r="B38" i="3" s="1"/>
  <c r="D37" i="3"/>
  <c r="D36" i="3"/>
  <c r="D35" i="3"/>
  <c r="D33" i="3"/>
  <c r="D32" i="3"/>
  <c r="D31" i="3"/>
  <c r="D30" i="3"/>
  <c r="D29" i="3"/>
  <c r="D28" i="3"/>
  <c r="D26" i="3"/>
  <c r="D25" i="3"/>
  <c r="D23" i="3"/>
  <c r="D22" i="3"/>
  <c r="D21" i="3"/>
  <c r="D20" i="3"/>
  <c r="D18" i="3"/>
  <c r="B18" i="3" s="1"/>
  <c r="D17" i="3"/>
  <c r="D15" i="3"/>
  <c r="D14" i="3"/>
  <c r="D12" i="3"/>
  <c r="D10" i="3"/>
  <c r="D9" i="3"/>
  <c r="D8" i="3"/>
  <c r="C46" i="3"/>
  <c r="B46" i="3" s="1"/>
  <c r="C44" i="3"/>
  <c r="C42" i="3"/>
  <c r="B42" i="3" s="1"/>
  <c r="C41" i="3"/>
  <c r="C39" i="3"/>
  <c r="C38" i="3"/>
  <c r="C37" i="3"/>
  <c r="C36" i="3"/>
  <c r="C35" i="3"/>
  <c r="B35" i="3" s="1"/>
  <c r="C33" i="3"/>
  <c r="C32" i="3"/>
  <c r="B32" i="3" s="1"/>
  <c r="C31" i="3"/>
  <c r="C30" i="3"/>
  <c r="C29" i="3"/>
  <c r="C28" i="3"/>
  <c r="B28" i="3" s="1"/>
  <c r="C26" i="3"/>
  <c r="C25" i="3"/>
  <c r="B25" i="3" s="1"/>
  <c r="C23" i="3"/>
  <c r="C22" i="3"/>
  <c r="B22" i="3" s="1"/>
  <c r="C21" i="3"/>
  <c r="C20" i="3"/>
  <c r="C18" i="3"/>
  <c r="C17" i="3"/>
  <c r="C15" i="3"/>
  <c r="C14" i="3"/>
  <c r="B14" i="3" s="1"/>
  <c r="C12" i="3"/>
  <c r="C10" i="3"/>
  <c r="C9" i="3"/>
  <c r="C8" i="3"/>
  <c r="B20" i="3"/>
  <c r="B10" i="3"/>
  <c r="E5" i="1"/>
  <c r="D5" i="1"/>
  <c r="C5" i="1"/>
  <c r="B5" i="1"/>
  <c r="D33" i="4"/>
  <c r="E33" i="4"/>
  <c r="F33" i="4"/>
  <c r="G33" i="4"/>
  <c r="H33" i="4"/>
  <c r="I33" i="4"/>
  <c r="J33" i="4"/>
  <c r="K33" i="4"/>
  <c r="L33" i="4"/>
  <c r="M33" i="4"/>
  <c r="N33" i="4"/>
  <c r="O33" i="4"/>
  <c r="P33" i="4"/>
  <c r="Q33" i="4"/>
  <c r="C33" i="4"/>
  <c r="B8" i="2"/>
  <c r="B9" i="2"/>
  <c r="B10" i="2"/>
  <c r="B12" i="2"/>
  <c r="B14" i="2"/>
  <c r="B15" i="2"/>
  <c r="B17" i="2"/>
  <c r="B18" i="2"/>
  <c r="B20" i="2"/>
  <c r="B21" i="2"/>
  <c r="B22" i="2"/>
  <c r="B23" i="2"/>
  <c r="B25" i="2"/>
  <c r="B26" i="2"/>
  <c r="B28" i="2"/>
  <c r="B29" i="2"/>
  <c r="B30" i="2"/>
  <c r="B31" i="2"/>
  <c r="B32" i="2"/>
  <c r="B33" i="2"/>
  <c r="B35" i="2"/>
  <c r="B36" i="2"/>
  <c r="B37" i="2"/>
  <c r="B38" i="2"/>
  <c r="B39" i="2"/>
  <c r="B41" i="2"/>
  <c r="B42" i="2"/>
  <c r="B44" i="2"/>
  <c r="B46" i="2"/>
  <c r="Q44" i="4"/>
  <c r="P44" i="4"/>
  <c r="O44" i="4"/>
  <c r="N44" i="4"/>
  <c r="M44" i="4"/>
  <c r="L44" i="4"/>
  <c r="K44" i="4"/>
  <c r="J44" i="4"/>
  <c r="I44" i="4"/>
  <c r="H44" i="4"/>
  <c r="G44" i="4"/>
  <c r="F44" i="4"/>
  <c r="E44" i="4"/>
  <c r="D44" i="4"/>
  <c r="C44" i="4"/>
  <c r="Q42" i="4"/>
  <c r="P42" i="4"/>
  <c r="O42" i="4"/>
  <c r="N42" i="4"/>
  <c r="M42" i="4"/>
  <c r="L42" i="4"/>
  <c r="K42" i="4"/>
  <c r="J42" i="4"/>
  <c r="I42" i="4"/>
  <c r="H42" i="4"/>
  <c r="G42" i="4"/>
  <c r="F42" i="4"/>
  <c r="E42" i="4"/>
  <c r="D42" i="4"/>
  <c r="C42" i="4"/>
  <c r="Q39" i="4"/>
  <c r="P39" i="4"/>
  <c r="O39" i="4"/>
  <c r="N39" i="4"/>
  <c r="M39" i="4"/>
  <c r="L39" i="4"/>
  <c r="K39" i="4"/>
  <c r="J39" i="4"/>
  <c r="I39" i="4"/>
  <c r="H39" i="4"/>
  <c r="G39" i="4"/>
  <c r="F39" i="4"/>
  <c r="E39" i="4"/>
  <c r="D39" i="4"/>
  <c r="C39" i="4"/>
  <c r="Q26" i="4"/>
  <c r="P26" i="4"/>
  <c r="O26" i="4"/>
  <c r="N26" i="4"/>
  <c r="M26" i="4"/>
  <c r="L26" i="4"/>
  <c r="K26" i="4"/>
  <c r="J26" i="4"/>
  <c r="I26" i="4"/>
  <c r="H26" i="4"/>
  <c r="G26" i="4"/>
  <c r="F26" i="4"/>
  <c r="E26" i="4"/>
  <c r="D26" i="4"/>
  <c r="C26" i="4"/>
  <c r="Q23" i="4"/>
  <c r="P23" i="4"/>
  <c r="O23" i="4"/>
  <c r="N23" i="4"/>
  <c r="M23" i="4"/>
  <c r="L23" i="4"/>
  <c r="K23" i="4"/>
  <c r="J23" i="4"/>
  <c r="I23" i="4"/>
  <c r="H23" i="4"/>
  <c r="G23" i="4"/>
  <c r="F23" i="4"/>
  <c r="E23" i="4"/>
  <c r="D23" i="4"/>
  <c r="C23" i="4"/>
  <c r="Q18" i="4"/>
  <c r="P18" i="4"/>
  <c r="O18" i="4"/>
  <c r="N18" i="4"/>
  <c r="M18" i="4"/>
  <c r="L18" i="4"/>
  <c r="K18" i="4"/>
  <c r="J18" i="4"/>
  <c r="I18" i="4"/>
  <c r="H18" i="4"/>
  <c r="G18" i="4"/>
  <c r="F18" i="4"/>
  <c r="E18" i="4"/>
  <c r="D18" i="4"/>
  <c r="C18" i="4"/>
  <c r="Q15" i="4"/>
  <c r="P15" i="4"/>
  <c r="O15" i="4"/>
  <c r="N15" i="4"/>
  <c r="M15" i="4"/>
  <c r="L15" i="4"/>
  <c r="K15" i="4"/>
  <c r="J15" i="4"/>
  <c r="I15" i="4"/>
  <c r="H15" i="4"/>
  <c r="G15" i="4"/>
  <c r="F15" i="4"/>
  <c r="E15" i="4"/>
  <c r="D15" i="4"/>
  <c r="C15" i="4"/>
  <c r="Q12" i="4"/>
  <c r="P12" i="4"/>
  <c r="O12" i="4"/>
  <c r="N12" i="4"/>
  <c r="M12" i="4"/>
  <c r="L12" i="4"/>
  <c r="K12" i="4"/>
  <c r="J12" i="4"/>
  <c r="I12" i="4"/>
  <c r="H12" i="4"/>
  <c r="G12" i="4"/>
  <c r="F12" i="4"/>
  <c r="E12" i="4"/>
  <c r="D12" i="4"/>
  <c r="C12" i="4"/>
  <c r="Q10" i="4"/>
  <c r="P10" i="4"/>
  <c r="O10" i="4"/>
  <c r="N10" i="4"/>
  <c r="M10" i="4"/>
  <c r="L10" i="4"/>
  <c r="K10" i="4"/>
  <c r="J10" i="4"/>
  <c r="I10" i="4"/>
  <c r="H10" i="4"/>
  <c r="G10" i="4"/>
  <c r="F10" i="4"/>
  <c r="E10" i="4"/>
  <c r="D10" i="4"/>
  <c r="C10" i="4"/>
  <c r="Q6" i="4"/>
  <c r="P6" i="4"/>
  <c r="O6" i="4"/>
  <c r="N6" i="4"/>
  <c r="M6" i="4"/>
  <c r="L6" i="4"/>
  <c r="K6" i="4"/>
  <c r="J6" i="4"/>
  <c r="I6" i="4"/>
  <c r="H6" i="4"/>
  <c r="G6" i="4"/>
  <c r="F6" i="4"/>
  <c r="E6" i="4"/>
  <c r="D6" i="4"/>
  <c r="C6" i="4"/>
  <c r="K46" i="3"/>
  <c r="H46" i="3"/>
  <c r="M45" i="3"/>
  <c r="L45" i="3"/>
  <c r="K45" i="3" s="1"/>
  <c r="J45" i="3"/>
  <c r="I45" i="3"/>
  <c r="H45" i="3" s="1"/>
  <c r="G45" i="3"/>
  <c r="F45" i="3"/>
  <c r="K44" i="3"/>
  <c r="H44" i="3"/>
  <c r="E44" i="3"/>
  <c r="M43" i="3"/>
  <c r="K43" i="3" s="1"/>
  <c r="L43" i="3"/>
  <c r="J43" i="3"/>
  <c r="I43" i="3"/>
  <c r="G43" i="3"/>
  <c r="F43" i="3"/>
  <c r="K42" i="3"/>
  <c r="H42" i="3"/>
  <c r="K41" i="3"/>
  <c r="H41" i="3"/>
  <c r="M40" i="3"/>
  <c r="L40" i="3"/>
  <c r="J40" i="3"/>
  <c r="I40" i="3"/>
  <c r="G40" i="3"/>
  <c r="D40" i="3" s="1"/>
  <c r="F40" i="3"/>
  <c r="K39" i="3"/>
  <c r="H39" i="3"/>
  <c r="K38" i="3"/>
  <c r="H38" i="3"/>
  <c r="E38" i="3"/>
  <c r="K37" i="3"/>
  <c r="H37" i="3"/>
  <c r="K36" i="3"/>
  <c r="H36" i="3"/>
  <c r="K35" i="3"/>
  <c r="H35" i="3"/>
  <c r="M34" i="3"/>
  <c r="L34" i="3"/>
  <c r="J34" i="3"/>
  <c r="I34" i="3"/>
  <c r="G34" i="3"/>
  <c r="D34" i="3" s="1"/>
  <c r="F34" i="3"/>
  <c r="K33" i="3"/>
  <c r="H33" i="3"/>
  <c r="K32" i="3"/>
  <c r="H32" i="3"/>
  <c r="K31" i="3"/>
  <c r="H31" i="3"/>
  <c r="K30" i="3"/>
  <c r="H30" i="3"/>
  <c r="K29" i="3"/>
  <c r="H29" i="3"/>
  <c r="K28" i="3"/>
  <c r="H28" i="3"/>
  <c r="M27" i="3"/>
  <c r="L27" i="3"/>
  <c r="J27" i="3"/>
  <c r="I27" i="3"/>
  <c r="G27" i="3"/>
  <c r="F27" i="3"/>
  <c r="K26" i="3"/>
  <c r="H26" i="3"/>
  <c r="K25" i="3"/>
  <c r="H25" i="3"/>
  <c r="M24" i="3"/>
  <c r="L24" i="3"/>
  <c r="J24" i="3"/>
  <c r="I24" i="3"/>
  <c r="G24" i="3"/>
  <c r="F24" i="3"/>
  <c r="K23" i="3"/>
  <c r="H23" i="3"/>
  <c r="K22" i="3"/>
  <c r="H22" i="3"/>
  <c r="K21" i="3"/>
  <c r="H21" i="3"/>
  <c r="K20" i="3"/>
  <c r="H20" i="3"/>
  <c r="M19" i="3"/>
  <c r="L19" i="3"/>
  <c r="J19" i="3"/>
  <c r="H19" i="3" s="1"/>
  <c r="I19" i="3"/>
  <c r="G19" i="3"/>
  <c r="F19" i="3"/>
  <c r="K18" i="3"/>
  <c r="H18" i="3"/>
  <c r="K17" i="3"/>
  <c r="H17" i="3"/>
  <c r="M16" i="3"/>
  <c r="L16" i="3"/>
  <c r="J16" i="3"/>
  <c r="I16" i="3"/>
  <c r="G16" i="3"/>
  <c r="F16" i="3"/>
  <c r="K15" i="3"/>
  <c r="H15" i="3"/>
  <c r="K14" i="3"/>
  <c r="H14" i="3"/>
  <c r="M13" i="3"/>
  <c r="L13" i="3"/>
  <c r="J13" i="3"/>
  <c r="I13" i="3"/>
  <c r="H13" i="3" s="1"/>
  <c r="G13" i="3"/>
  <c r="F13" i="3"/>
  <c r="K12" i="3"/>
  <c r="H12" i="3"/>
  <c r="M11" i="3"/>
  <c r="L11" i="3"/>
  <c r="J11" i="3"/>
  <c r="I11" i="3"/>
  <c r="G11" i="3"/>
  <c r="D11" i="3" s="1"/>
  <c r="F11" i="3"/>
  <c r="K10" i="3"/>
  <c r="H10" i="3"/>
  <c r="K9" i="3"/>
  <c r="H9" i="3"/>
  <c r="K8" i="3"/>
  <c r="H8" i="3"/>
  <c r="M7" i="3"/>
  <c r="L7" i="3"/>
  <c r="J7" i="3"/>
  <c r="I7" i="3"/>
  <c r="G7" i="3"/>
  <c r="F7" i="3"/>
  <c r="E45" i="2"/>
  <c r="D45" i="2"/>
  <c r="C45" i="2"/>
  <c r="E43" i="2"/>
  <c r="D43" i="2"/>
  <c r="C43" i="2"/>
  <c r="E40" i="2"/>
  <c r="D40" i="2"/>
  <c r="C40" i="2"/>
  <c r="E34" i="2"/>
  <c r="D34" i="2"/>
  <c r="C34" i="2"/>
  <c r="E27" i="2"/>
  <c r="D27" i="2"/>
  <c r="C27" i="2"/>
  <c r="E24" i="2"/>
  <c r="D24" i="2"/>
  <c r="C24" i="2"/>
  <c r="E19" i="2"/>
  <c r="D19" i="2"/>
  <c r="C19" i="2"/>
  <c r="E16" i="2"/>
  <c r="D16" i="2"/>
  <c r="C16" i="2"/>
  <c r="E13" i="2"/>
  <c r="D13" i="2"/>
  <c r="C13" i="2"/>
  <c r="E11" i="2"/>
  <c r="D11" i="2"/>
  <c r="C11" i="2"/>
  <c r="E7" i="2"/>
  <c r="D7" i="2"/>
  <c r="C7" i="2"/>
  <c r="D27" i="3" l="1"/>
  <c r="E5" i="4"/>
  <c r="M5" i="4"/>
  <c r="B26" i="4"/>
  <c r="B7" i="2"/>
  <c r="B16" i="2"/>
  <c r="K11" i="3"/>
  <c r="C27" i="3"/>
  <c r="B27" i="3" s="1"/>
  <c r="B12" i="3"/>
  <c r="B33" i="3"/>
  <c r="B44" i="3"/>
  <c r="B24" i="2"/>
  <c r="B9" i="3"/>
  <c r="B15" i="3"/>
  <c r="B21" i="3"/>
  <c r="B26" i="3"/>
  <c r="B36" i="3"/>
  <c r="B41" i="3"/>
  <c r="B8" i="3"/>
  <c r="B30" i="3"/>
  <c r="B33" i="4"/>
  <c r="G5" i="4"/>
  <c r="B18" i="4"/>
  <c r="B17" i="3"/>
  <c r="B15" i="4"/>
  <c r="B37" i="3"/>
  <c r="C16" i="3"/>
  <c r="Q5" i="4"/>
  <c r="B12" i="4"/>
  <c r="B29" i="3"/>
  <c r="O5" i="4"/>
  <c r="C24" i="3"/>
  <c r="H16" i="3"/>
  <c r="K40" i="3"/>
  <c r="B6" i="4"/>
  <c r="K5" i="4"/>
  <c r="B10" i="4"/>
  <c r="B42" i="4"/>
  <c r="B44" i="4"/>
  <c r="B31" i="3"/>
  <c r="B23" i="4"/>
  <c r="D16" i="3"/>
  <c r="D43" i="3"/>
  <c r="B39" i="3"/>
  <c r="B11" i="2"/>
  <c r="D19" i="3"/>
  <c r="E27" i="3"/>
  <c r="D45" i="3"/>
  <c r="B39" i="4"/>
  <c r="B23" i="3"/>
  <c r="H7" i="3"/>
  <c r="C7" i="3"/>
  <c r="B7" i="3" s="1"/>
  <c r="E11" i="3"/>
  <c r="C11" i="3"/>
  <c r="B11" i="3" s="1"/>
  <c r="E13" i="3"/>
  <c r="C13" i="3"/>
  <c r="I6" i="3"/>
  <c r="G6" i="3"/>
  <c r="D7" i="3"/>
  <c r="E7" i="3"/>
  <c r="D13" i="3"/>
  <c r="E19" i="3"/>
  <c r="C19" i="3"/>
  <c r="B19" i="3" s="1"/>
  <c r="E24" i="3"/>
  <c r="D24" i="3"/>
  <c r="C40" i="3"/>
  <c r="B40" i="3" s="1"/>
  <c r="E40" i="3"/>
  <c r="E43" i="3"/>
  <c r="C43" i="3"/>
  <c r="E45" i="3"/>
  <c r="C45" i="3"/>
  <c r="C6" i="2"/>
  <c r="E6" i="2"/>
  <c r="B19" i="2"/>
  <c r="B27" i="2"/>
  <c r="B40" i="2"/>
  <c r="B45" i="2"/>
  <c r="M6" i="3"/>
  <c r="K24" i="3"/>
  <c r="K27" i="3"/>
  <c r="E34" i="3"/>
  <c r="K34" i="3"/>
  <c r="D5" i="4"/>
  <c r="F5" i="4"/>
  <c r="H5" i="4"/>
  <c r="J5" i="4"/>
  <c r="L5" i="4"/>
  <c r="N5" i="4"/>
  <c r="P5" i="4"/>
  <c r="C34" i="3"/>
  <c r="B34" i="3" s="1"/>
  <c r="H11" i="3"/>
  <c r="B34" i="2"/>
  <c r="B43" i="2"/>
  <c r="D6" i="2"/>
  <c r="K7" i="3"/>
  <c r="K13" i="3"/>
  <c r="E16" i="3"/>
  <c r="K16" i="3"/>
  <c r="K19" i="3"/>
  <c r="H24" i="3"/>
  <c r="H27" i="3"/>
  <c r="H34" i="3"/>
  <c r="I5" i="4"/>
  <c r="C5" i="4"/>
  <c r="B13" i="2"/>
  <c r="H40" i="3"/>
  <c r="H43" i="3"/>
  <c r="J6" i="3"/>
  <c r="F6" i="3"/>
  <c r="L6" i="3"/>
  <c r="B45" i="3" l="1"/>
  <c r="B5" i="4"/>
  <c r="C6" i="3"/>
  <c r="B24" i="3"/>
  <c r="B16" i="3"/>
  <c r="B43" i="3"/>
  <c r="E6" i="3"/>
  <c r="K6" i="3"/>
  <c r="H6" i="3"/>
  <c r="D6" i="3"/>
  <c r="B13" i="3"/>
  <c r="B6" i="2"/>
  <c r="B6" i="3" l="1"/>
</calcChain>
</file>

<file path=xl/sharedStrings.xml><?xml version="1.0" encoding="utf-8"?>
<sst xmlns="http://schemas.openxmlformats.org/spreadsheetml/2006/main" count="10671" uniqueCount="3613">
  <si>
    <t>REGIÓN</t>
  </si>
  <si>
    <t>Matrícula de jóvenes con especialidad artística</t>
  </si>
  <si>
    <t>N° de establecimientos que imparten especialidades creativas</t>
  </si>
  <si>
    <t>TOTAL</t>
  </si>
  <si>
    <t>Arica y Parinacota</t>
  </si>
  <si>
    <t>Tarapacá</t>
  </si>
  <si>
    <t>Antofagasta</t>
  </si>
  <si>
    <t>Atacama</t>
  </si>
  <si>
    <t>Coquimbo</t>
  </si>
  <si>
    <t>Valparaíso</t>
  </si>
  <si>
    <t>Metropolitana</t>
  </si>
  <si>
    <t>O´Higgins</t>
  </si>
  <si>
    <t>Maule</t>
  </si>
  <si>
    <t>Biobío</t>
  </si>
  <si>
    <t>Araucanía</t>
  </si>
  <si>
    <t>Los Ríos</t>
  </si>
  <si>
    <t>Los Lagos</t>
  </si>
  <si>
    <t>Aysén</t>
  </si>
  <si>
    <t>Magallanes</t>
  </si>
  <si>
    <t>- No registró movimiento.</t>
  </si>
  <si>
    <t xml:space="preserve">Carrera creativa </t>
  </si>
  <si>
    <t>Patrimonio</t>
  </si>
  <si>
    <t>Interculturalidad</t>
  </si>
  <si>
    <t>Artesanías</t>
  </si>
  <si>
    <t>Artesanía</t>
  </si>
  <si>
    <t>Fotografía</t>
  </si>
  <si>
    <t>Artes escénicas</t>
  </si>
  <si>
    <t>Danza</t>
  </si>
  <si>
    <t>Teatro</t>
  </si>
  <si>
    <t>Artes musicales</t>
  </si>
  <si>
    <t>Música</t>
  </si>
  <si>
    <t>Editorial</t>
  </si>
  <si>
    <t>Literatura</t>
  </si>
  <si>
    <t>Medios audiovisuales e interactivos</t>
  </si>
  <si>
    <t>Audiovisual</t>
  </si>
  <si>
    <t>Locución</t>
  </si>
  <si>
    <t>Arquitectura</t>
  </si>
  <si>
    <t>Diseño</t>
  </si>
  <si>
    <t>Publicidad</t>
  </si>
  <si>
    <t>Servicios creativos digitales</t>
  </si>
  <si>
    <t>Educación</t>
  </si>
  <si>
    <t>Informática</t>
  </si>
  <si>
    <t>Total</t>
  </si>
  <si>
    <t>Carrera creativa</t>
  </si>
  <si>
    <t>Total matriculados</t>
  </si>
  <si>
    <t>Mujeres matriculadas</t>
  </si>
  <si>
    <t>Hombres matriculados</t>
  </si>
  <si>
    <t>La Araucanía</t>
  </si>
  <si>
    <t xml:space="preserve"> </t>
  </si>
  <si>
    <t>Tipo de carrera</t>
  </si>
  <si>
    <t>Dibujo técnico</t>
  </si>
  <si>
    <t>FUENTE: Elaboración del Consejo Nacional de la Cultura y las Artes (CNCA), a partir de bases de datos del Ministerio de Educación (Mineduc).</t>
  </si>
  <si>
    <r>
      <rPr>
        <b/>
        <sz val="8"/>
        <color theme="1"/>
        <rFont val="Verdana"/>
        <family val="2"/>
      </rPr>
      <t>1</t>
    </r>
    <r>
      <rPr>
        <sz val="8"/>
        <color theme="1"/>
        <rFont val="Verdana"/>
        <family val="2"/>
      </rPr>
      <t xml:space="preserve"> Los centros de educación superior incluyen institutos profesionales, centros de formación técnica y universidades chilenas.</t>
    </r>
  </si>
  <si>
    <t>Conservación y restauración</t>
  </si>
  <si>
    <t>Bibliotecología</t>
  </si>
  <si>
    <t>Artes visuales y fotografía</t>
  </si>
  <si>
    <t>Artes visuales</t>
  </si>
  <si>
    <t>Técnico música</t>
  </si>
  <si>
    <t>Producción musical</t>
  </si>
  <si>
    <t>Postítulos en musicología y similares</t>
  </si>
  <si>
    <t>Animación y videojuegos</t>
  </si>
  <si>
    <t>Comunicación audiovial y multimedia</t>
  </si>
  <si>
    <t>Técnico audiovisual</t>
  </si>
  <si>
    <t>Estudios en cine aplicado</t>
  </si>
  <si>
    <t>Arquitectura, diseño y servicios creativos</t>
  </si>
  <si>
    <t>Infraestructura y equipamiento</t>
  </si>
  <si>
    <t>Gestión cultural</t>
  </si>
  <si>
    <t>Estudios transversales en cultura</t>
  </si>
  <si>
    <t>Infraestructura informática</t>
  </si>
  <si>
    <t>Artes visuales y fotografia</t>
  </si>
  <si>
    <t>Artes literarias, libros y prensa</t>
  </si>
  <si>
    <t>Pedagogía en arte</t>
  </si>
  <si>
    <t>CUADRO 2.1-01: MATRÍCULA DE JÓVENES CON ESPECIALIDAD CREATIVA EN ENSEÑANZA MEDIA TÉCNICA PROFESIONAL Y ARTÍSTICA POR NÚMERO DE ESTABLECIMIENTOS QUE LA IMPARTEN, SEGÚN REGIÓN. 2013</t>
  </si>
  <si>
    <t>2.1 EDUCACIÓN</t>
  </si>
  <si>
    <t xml:space="preserve"> Soporte teórico</t>
  </si>
  <si>
    <t>Soporte a la cadena de producción y comercio</t>
  </si>
  <si>
    <t>DOMINIO Y SUBDOMINIO CULTURAL</t>
  </si>
  <si>
    <r>
      <t>CUADRO 2.1-03: DETALLE DE MATRÍCULA EN INSTITUCIONES DE EDUCACIÓN SUPERIOR, POR TIPO DE CARRERA Y SEXO, SEGÚN DOMINIO Y SUBDOMINIO CULTURAL. 2013</t>
    </r>
    <r>
      <rPr>
        <b/>
        <vertAlign val="superscript"/>
        <sz val="8"/>
        <rFont val="Verdana"/>
        <family val="2"/>
      </rPr>
      <t>/1</t>
    </r>
  </si>
  <si>
    <t>Matriculados ambos sexos</t>
  </si>
  <si>
    <t>FUENTE: Elaboración del Consejo Nacional de la Cultura y las Artes (CNCA) a partir de datos del Servicio de Información de Educación Superior (SIES) del Mineduc.</t>
  </si>
  <si>
    <t>Matrícula de jóvenes en establecimientos técnico profesional, industriales y artísticos</t>
  </si>
  <si>
    <t>N° de establecimientos que imparten enseñanza media técnico profesional, industrial y artística</t>
  </si>
  <si>
    <t>soporte teórico</t>
  </si>
  <si>
    <r>
      <t>CUADRO 2.1-04: DETALLE DE CARRERAS IMPARTIDAS POR CENTROS DE EDUCACIÓN SUPERIOR POR REGIÓN, SEGÚN DOMINIO Y SUBDOMINO CULTURAL. 2013</t>
    </r>
    <r>
      <rPr>
        <b/>
        <vertAlign val="superscript"/>
        <sz val="8"/>
        <rFont val="Verdana"/>
        <family val="2"/>
      </rPr>
      <t>/1</t>
    </r>
  </si>
  <si>
    <t>CUADRO 2.1-02: DETALLE DE CARRERAS IMPARTIDAS POR CENTROS DE EDUCACIÓN SUPERIOR POR TIPO DE CARRERA, SEGÚN DOMINIO Y SUBDOMINIO CULTURAL. 2013/1</t>
  </si>
  <si>
    <t>CUADRO 2.1-03: DETALLE DE MATRÍCULA EN INSTITUCIONES DE EDUCACIÓN SUPERIOR, POR TIPO DE CARRERA Y SEXO, SEGÚN DOMINIO Y SUBDOMINIO CULTURAL. 2013/1</t>
  </si>
  <si>
    <t>CUADRO 2.1-04: DETALLE DE CARRERAS IMPARTIDAS POR CENTROS DE EDUCACIÓN SUPERIOR POR REGIÓN, SEGÚN DOMINIO Y SUBDOMINO CULTURAL. 2013/1</t>
  </si>
  <si>
    <r>
      <t>CUADRO 2.1-02: DETALLE DE CARRERAS IMPARTIDAS POR CENTROS DE EDUCACIÓN SUPERIOR POR TIPO DE CARRERA, SEGÚN DOMINIO Y SUBDOMINIO CULTURAL. 2013</t>
    </r>
    <r>
      <rPr>
        <b/>
        <vertAlign val="superscript"/>
        <sz val="8"/>
        <rFont val="Verdana"/>
        <family val="2"/>
      </rPr>
      <t>/1</t>
    </r>
  </si>
  <si>
    <r>
      <rPr>
        <b/>
        <sz val="8"/>
        <rFont val="Verdana"/>
        <family val="2"/>
      </rPr>
      <t>1</t>
    </r>
    <r>
      <rPr>
        <sz val="8"/>
        <rFont val="Verdana"/>
        <family val="2"/>
      </rPr>
      <t xml:space="preserve"> Los centros de educación superior incluyen institutos profesionales, centros de formación técnica y universidades chilenas.</t>
    </r>
  </si>
  <si>
    <r>
      <rPr>
        <b/>
        <sz val="8"/>
        <rFont val="Verdana"/>
        <family val="2"/>
      </rPr>
      <t xml:space="preserve">1 </t>
    </r>
    <r>
      <rPr>
        <sz val="8"/>
        <rFont val="Verdana"/>
        <family val="2"/>
      </rPr>
      <t>Los centros de educación superior incluyen institutos profesionales, centros de formación técnica y universidades chilenas.</t>
    </r>
  </si>
  <si>
    <t>2.2 DERECHOS DE AUTOR</t>
  </si>
  <si>
    <t>CUADRO 2.2-01: NÚMERO DE INSCRIPCIONES, CERTIFICADOS Y CONSULTAS REALIZADAS EN EL DEPARTAMENTO DE DERECHOS INTELECTUALES DE LA DIRECCIÓN DE BIBLIOTECAS, ARCHIVOS Y MUSEOS (DIBAM), SEGÚN ÍTEM. 2009-2013</t>
  </si>
  <si>
    <t xml:space="preserve">CUADRO 2.2-02: NÚMERO DE INSCRIPCIONES EN MATERIA DE DERECHOS DE AUTOR REGISTRADOS EN EL DEPARTAMENTO DE DERECHOS INTELECTUALES DE LA DIRECCIÓN DE BIBLIOTECAS, ARCHIVOS Y MUSEOS (DIBAM), SEGÚN TIPO DE REGISTRO. 2009-2013 </t>
  </si>
  <si>
    <t>CUADRO 2.2-03: NÚMERO DE INSCRIPCIONES EN MATERIA DE DERECHOS DE AUTOR A NIVEL NACIONAL REGISTRADOS EN EL DEPARTAMENTO DE DERECHOS INTELECTUALES DE LA DIRECCIÓN DE BIBLIOTECAS, ARCHIVOS Y MUSEOS (DIBAM), SEGÚN SEXO Y TIPO DE SOLICITANTE. 2009-2013/1</t>
  </si>
  <si>
    <t>CUADRO 2.2-04: INSCRIPCIÓN DE DERECHOS DE AUTOR, DERECHOS CONEXOS Y SEUDÓNIMOS, SEGÚN ORIGEN DE LA SOLICITUD, REGIÓN Y NACIONALIDAD (NACIONAL Y EXTRANJERA). 2009-2013/1</t>
  </si>
  <si>
    <t>CUADRO 2.2-05: RECAUDACIÓN DE DERECHOS DE AUTOR, SEGÚN INSTITUCIÓN. 2009–2013</t>
  </si>
  <si>
    <t>CUADRO 2.2-06: DISTRIBUCIÓN DE DERECHOS DE AUTOR, SEGÚN INSTITUCIÓN. 2009-2013</t>
  </si>
  <si>
    <t>INSCRIPCIONES/CERTIFICADOS/CONSULTAS</t>
  </si>
  <si>
    <t>Año</t>
  </si>
  <si>
    <t>Número de inscripciones en materia de derechos de autor, de derechos conexos y de seudónimos</t>
  </si>
  <si>
    <t>Número de certificados emitidos</t>
  </si>
  <si>
    <t>Número de consultas respondidas por el departamento de derechos intelectuales</t>
  </si>
  <si>
    <t>FUENTE: Dirección de Bibliotecas, Archivos y Museos (Dibam). Departamento de Derechos intelectuales.</t>
  </si>
  <si>
    <t>TIPO DE REGISTRO</t>
  </si>
  <si>
    <t>Base de datos</t>
  </si>
  <si>
    <t>Contratos/derechos de autor</t>
  </si>
  <si>
    <t>Contratos/derechos conexos</t>
  </si>
  <si>
    <t>Dibujo textil</t>
  </si>
  <si>
    <t>Diseño páginas web</t>
  </si>
  <si>
    <t>Fonogramas</t>
  </si>
  <si>
    <t>Obra artística</t>
  </si>
  <si>
    <t>Obra audiovisual</t>
  </si>
  <si>
    <t>Obra cinematográfica</t>
  </si>
  <si>
    <t>Obra literaria</t>
  </si>
  <si>
    <t>Obra multimedia</t>
  </si>
  <si>
    <t>Obra musical</t>
  </si>
  <si>
    <t>Programa computación</t>
  </si>
  <si>
    <t>Proyecto de arquitectura</t>
  </si>
  <si>
    <t>Proyecto de ingeniería</t>
  </si>
  <si>
    <t>Seudónimos</t>
  </si>
  <si>
    <r>
      <t>CUADRO 2.2-03: NÚMERO DE INSCRIPCIONES EN MATERIA DE DERECHOS DE AUTOR A NIVEL NACIONAL REGISTRADOS EN EL DEPARTAMENTO DE DERECHOS INTELECTUALES DE LA DIRECCIÓN DE BIBLIOTECAS, ARCHIVOS Y MUSEOS (DIBAM), SEGÚN SEXO Y TIPO DE SOLICITANTE. 2009-2013</t>
    </r>
    <r>
      <rPr>
        <b/>
        <vertAlign val="superscript"/>
        <sz val="8"/>
        <rFont val="Verdana"/>
        <family val="2"/>
      </rPr>
      <t>/1</t>
    </r>
  </si>
  <si>
    <t>SEXO/TIPO DE REGISTRO DE INSCRIPCIÓN</t>
  </si>
  <si>
    <t>Hombres</t>
  </si>
  <si>
    <t>Mujeres</t>
  </si>
  <si>
    <t>Hombres y mujeres</t>
  </si>
  <si>
    <t>Personas jurídicas</t>
  </si>
  <si>
    <t>Personas jurídicas y hombres</t>
  </si>
  <si>
    <t>Personas jurídicas y mujeres</t>
  </si>
  <si>
    <t>Personas jurídicas y hombres y mujeres</t>
  </si>
  <si>
    <r>
      <rPr>
        <b/>
        <sz val="8"/>
        <rFont val="Verdana"/>
        <family val="2"/>
      </rPr>
      <t>1</t>
    </r>
    <r>
      <rPr>
        <sz val="8"/>
        <rFont val="Verdana"/>
        <family val="2"/>
      </rPr>
      <t xml:space="preserve"> Las cifras dan cuenta de la forma en que concurren los solicitantes en una misma solicitud y no del número de personas que participan de ella. Por tanto, refiere a las combinaciones probables en que concurren distintos titulares, según género o estructura institucional en una misma inscripción, lo que dependerá de la libre asociación que ellos puedan definir al efecto como titulares de los derechos. No se contemplan por tanto, los casos en los que concurren miembros del mismo sexo en situación de asociatividad (hombres con hombres o mujeres con mujeres). </t>
    </r>
  </si>
  <si>
    <r>
      <t>CUADRO 2.2-04: INSCRIPCIÓN DE DERECHOS DE AUTOR, DERECHOS CONEXOS Y SEUDÓNIMOS, SEGÚN ORIGEN DE LA SOLICITUD, REGIÓN Y NACIONALIDAD (NACIONAL Y EXTRANJERA). 2009-2013</t>
    </r>
    <r>
      <rPr>
        <b/>
        <vertAlign val="superscript"/>
        <sz val="8"/>
        <rFont val="Verdana"/>
        <family val="2"/>
      </rPr>
      <t>/1</t>
    </r>
  </si>
  <si>
    <t>REGIÓN Y NACIONALIDAD</t>
  </si>
  <si>
    <t>Total nacional</t>
  </si>
  <si>
    <r>
      <t>Arica y Parinacota</t>
    </r>
    <r>
      <rPr>
        <vertAlign val="superscript"/>
        <sz val="8"/>
        <rFont val="Verdana"/>
        <family val="2"/>
      </rPr>
      <t>/2</t>
    </r>
  </si>
  <si>
    <t>O'Higgins</t>
  </si>
  <si>
    <t xml:space="preserve">Los Ríos </t>
  </si>
  <si>
    <t xml:space="preserve">Los Lagos </t>
  </si>
  <si>
    <t>Total extranjero</t>
  </si>
  <si>
    <t>Extranjero</t>
  </si>
  <si>
    <r>
      <rPr>
        <b/>
        <sz val="8"/>
        <rFont val="Verdana"/>
        <family val="2"/>
      </rPr>
      <t>1</t>
    </r>
    <r>
      <rPr>
        <sz val="8"/>
        <rFont val="Verdana"/>
        <family val="2"/>
      </rPr>
      <t xml:space="preserve"> Se refiere a los datos del domicilio de la persona, natural o jurídica, que aparecerá como titular de los derechos que se inscriben y que pueden solicitarse desde el extranjero o por medio de un mandatario residente en el país.</t>
    </r>
  </si>
  <si>
    <r>
      <rPr>
        <b/>
        <sz val="8"/>
        <rFont val="Verdana"/>
        <family val="2"/>
      </rPr>
      <t xml:space="preserve">2 </t>
    </r>
    <r>
      <rPr>
        <sz val="8"/>
        <rFont val="Verdana"/>
        <family val="2"/>
      </rPr>
      <t>El informe no dispone de información para la Región de Arica y Parinacota.</t>
    </r>
  </si>
  <si>
    <t>INSTITUCIÓN</t>
  </si>
  <si>
    <t>Monto Recaudación derechos (pesos)</t>
  </si>
  <si>
    <t>Sociedad de Creadores de Imagen Fija (Creaimagen)</t>
  </si>
  <si>
    <t>Derechos de autor</t>
  </si>
  <si>
    <t>Recaudación nacional</t>
  </si>
  <si>
    <t>Recaudación extranjera</t>
  </si>
  <si>
    <t>Sociedad de Autores Nacionales de Teatro, Cine y Audiovisuales (ATN)</t>
  </si>
  <si>
    <t>Obras nacionales</t>
  </si>
  <si>
    <t>Obras extranjeras</t>
  </si>
  <si>
    <t>Derechos recibidos del extranjero</t>
  </si>
  <si>
    <t>Sociedad de Derechos Literarios (Sadel)</t>
  </si>
  <si>
    <t>Recaudación por licencias reprográficas</t>
  </si>
  <si>
    <t>Sociedad Chilena del Derecho de Autor (SCD)</t>
  </si>
  <si>
    <t>Derechos ejecución autor</t>
  </si>
  <si>
    <t>Radio</t>
  </si>
  <si>
    <t>Televisión</t>
  </si>
  <si>
    <t>Cines</t>
  </si>
  <si>
    <t>Usuarios permanentes</t>
  </si>
  <si>
    <t>Esporádicos</t>
  </si>
  <si>
    <t xml:space="preserve">Fiestas </t>
  </si>
  <si>
    <t>Tv Cable</t>
  </si>
  <si>
    <t>Internet</t>
  </si>
  <si>
    <t>Derechos fonomecánicos</t>
  </si>
  <si>
    <t>Derechos conexos</t>
  </si>
  <si>
    <t xml:space="preserve">Usuarios permanentes </t>
  </si>
  <si>
    <t>TV. Cable</t>
  </si>
  <si>
    <t>Productores fonográficos (Profovi)</t>
  </si>
  <si>
    <t>Cine</t>
  </si>
  <si>
    <t>Generales</t>
  </si>
  <si>
    <t>Fiestas</t>
  </si>
  <si>
    <t>Derechos de reproducción</t>
  </si>
  <si>
    <t>Emi Odeon</t>
  </si>
  <si>
    <t>Sony Music</t>
  </si>
  <si>
    <t>Univeral Music</t>
  </si>
  <si>
    <t>Warner Music</t>
  </si>
  <si>
    <t>CNR</t>
  </si>
  <si>
    <t>Leader</t>
  </si>
  <si>
    <t>Música y Marketing</t>
  </si>
  <si>
    <t>FUENTE: Elaborado por el Consejo Nacional de las Cultura y las Artes (CNCA) a partir de datos proporcionados por Profovi, Sadel, SCD,ATN y Creaimagen.</t>
  </si>
  <si>
    <t>Monto distribución derechos (pesos)</t>
  </si>
  <si>
    <t>Distribución nacional</t>
  </si>
  <si>
    <t>Distribución extranjera</t>
  </si>
  <si>
    <t>Autores nacionales</t>
  </si>
  <si>
    <t>Autores extranjeros</t>
  </si>
  <si>
    <t>Editores locales</t>
  </si>
  <si>
    <t>Sociedades extranjeras</t>
  </si>
  <si>
    <t xml:space="preserve"> Autores nacionales </t>
  </si>
  <si>
    <t xml:space="preserve"> Editores locales </t>
  </si>
  <si>
    <t xml:space="preserve"> Sociedades extranjeras </t>
  </si>
  <si>
    <t xml:space="preserve">Artistas nacionales </t>
  </si>
  <si>
    <t xml:space="preserve">Productores fonográficos </t>
  </si>
  <si>
    <t xml:space="preserve">Sociedades extranjeras </t>
  </si>
  <si>
    <t>…</t>
  </si>
  <si>
    <t xml:space="preserve">Emi Odeon </t>
  </si>
  <si>
    <t>Universal Music</t>
  </si>
  <si>
    <t xml:space="preserve">Derechos de reproducción </t>
  </si>
  <si>
    <t>- No registró movimiento</t>
  </si>
  <si>
    <t>… Información no disponible</t>
  </si>
  <si>
    <t>2.3 EMPLEO</t>
  </si>
  <si>
    <t>CUADRO 2.3-01: TOTAL NACIONAL DE LA ECONOMÍA Y TOTAL DE EMPRESAS Y EMPLEO POR INFORMACIÓN DE MUTUALES DE SEGURIDAD, SEGÚN DOMINIO CULTURAL. 2013</t>
  </si>
  <si>
    <t>CUADRO 2.3-02: NÚMERO DE EMPRESAS, TRABAJADORES, TRABAJADORES PROMEDIO Y REMUNERACIONES PROMEDIO PARA EMPRESAS CREATIVAS ASOCIADO A MUTUALES DE SEGURIDAD, SEGÚN DOMINIO Y SUBDOMINIO CULTURAL. 2013/1</t>
  </si>
  <si>
    <t>CUADRO 2.3-03: NÚMERO DE EMPRESAS, NÚMERO DE TRABAJADORES Y PROMEDIO DE REMUNERACIONES EN EMPRESAS CREATIVAS, SEGÚN REGIÓN. 2013</t>
  </si>
  <si>
    <t>DOMINIO CULTURAL</t>
  </si>
  <si>
    <t>Empresas con seguridad social</t>
  </si>
  <si>
    <t>Participación de los empleadores cotizantes  en el total (%)</t>
  </si>
  <si>
    <t>Trabajadores con seguridad social</t>
  </si>
  <si>
    <t>Participación de los trabajadores cotizantes en el total (%)</t>
  </si>
  <si>
    <r>
      <t>Total economía</t>
    </r>
    <r>
      <rPr>
        <b/>
        <vertAlign val="superscript"/>
        <sz val="8"/>
        <color theme="1"/>
        <rFont val="Verdana"/>
        <family val="2"/>
      </rPr>
      <t>/1</t>
    </r>
  </si>
  <si>
    <r>
      <t>Total general en industrias creativas</t>
    </r>
    <r>
      <rPr>
        <b/>
        <vertAlign val="superscript"/>
        <sz val="8"/>
        <color theme="1"/>
        <rFont val="Verdana"/>
        <family val="2"/>
      </rPr>
      <t>/2</t>
    </r>
  </si>
  <si>
    <r>
      <t>Patrimonio</t>
    </r>
    <r>
      <rPr>
        <vertAlign val="superscript"/>
        <sz val="8"/>
        <color theme="1"/>
        <rFont val="Verdana"/>
        <family val="2"/>
      </rPr>
      <t>/3</t>
    </r>
  </si>
  <si>
    <r>
      <t>Artesanías</t>
    </r>
    <r>
      <rPr>
        <vertAlign val="superscript"/>
        <sz val="8"/>
        <color theme="1"/>
        <rFont val="Verdana"/>
        <family val="2"/>
      </rPr>
      <t>/4</t>
    </r>
  </si>
  <si>
    <r>
      <t>Artes visuales</t>
    </r>
    <r>
      <rPr>
        <vertAlign val="superscript"/>
        <sz val="8"/>
        <color theme="1"/>
        <rFont val="Verdana"/>
        <family val="2"/>
      </rPr>
      <t>/5</t>
    </r>
  </si>
  <si>
    <r>
      <t>Artes escénicas</t>
    </r>
    <r>
      <rPr>
        <vertAlign val="superscript"/>
        <sz val="8"/>
        <color theme="1"/>
        <rFont val="Verdana"/>
        <family val="2"/>
      </rPr>
      <t>/6</t>
    </r>
  </si>
  <si>
    <r>
      <t>Artes musicales</t>
    </r>
    <r>
      <rPr>
        <vertAlign val="superscript"/>
        <sz val="8"/>
        <color theme="1"/>
        <rFont val="Verdana"/>
        <family val="2"/>
      </rPr>
      <t>/7</t>
    </r>
  </si>
  <si>
    <r>
      <t>Artes literarias, libros y prensa</t>
    </r>
    <r>
      <rPr>
        <vertAlign val="superscript"/>
        <sz val="8"/>
        <color theme="1"/>
        <rFont val="Verdana"/>
        <family val="2"/>
      </rPr>
      <t>/8</t>
    </r>
  </si>
  <si>
    <r>
      <t>Medios audiovisuales e interactivos</t>
    </r>
    <r>
      <rPr>
        <vertAlign val="superscript"/>
        <sz val="8"/>
        <color theme="1"/>
        <rFont val="Verdana"/>
        <family val="2"/>
      </rPr>
      <t>/9</t>
    </r>
  </si>
  <si>
    <r>
      <t>Arquitectura, diseño y servicios creativos</t>
    </r>
    <r>
      <rPr>
        <vertAlign val="superscript"/>
        <sz val="8"/>
        <color theme="1"/>
        <rFont val="Verdana"/>
        <family val="2"/>
      </rPr>
      <t>/10</t>
    </r>
  </si>
  <si>
    <r>
      <t>Infraestructura y equipamiento</t>
    </r>
    <r>
      <rPr>
        <vertAlign val="superscript"/>
        <sz val="8"/>
        <color theme="1"/>
        <rFont val="Verdana"/>
        <family val="2"/>
      </rPr>
      <t>/11</t>
    </r>
  </si>
  <si>
    <r>
      <rPr>
        <b/>
        <sz val="8"/>
        <color theme="1"/>
        <rFont val="Verdana"/>
        <family val="2"/>
      </rPr>
      <t xml:space="preserve">1 </t>
    </r>
    <r>
      <rPr>
        <sz val="8"/>
        <color theme="1"/>
        <rFont val="Verdana"/>
        <family val="2"/>
      </rPr>
      <t>Los datos de empleo de total economía han sido tomados de la Superintendencia de Seguridad Social. Tabla número de empleadoras cotizantes a los organismos admisnitradores de la Ley N° 16.744 Año 2013. Tabla número de empleadoras cotizantes a los organismos admisnitradores de la Ley N° 16.744, año 2013.</t>
    </r>
  </si>
  <si>
    <r>
      <rPr>
        <b/>
        <sz val="8"/>
        <color rgb="FF000000"/>
        <rFont val="Verdana"/>
        <family val="2"/>
      </rPr>
      <t xml:space="preserve">2 </t>
    </r>
    <r>
      <rPr>
        <sz val="8"/>
        <color rgb="FF000000"/>
        <rFont val="Verdana"/>
        <family val="2"/>
      </rPr>
      <t>El número total de empresas está dado por las empresas y empleados inscritos en alguna de las mutuales de seguridad y que cumplen con pertenecer a alguno de los 57 códigos de actividad seleccionados por el CNCA como creativos o culturales. El método usado para obtener el promedio de trabajadores ha sido calcular el promedio de trabajadores anuales por empresa cultura (suma trabajadores en el año /12).</t>
    </r>
  </si>
  <si>
    <r>
      <rPr>
        <b/>
        <sz val="8"/>
        <color rgb="FF000000"/>
        <rFont val="Verdana"/>
        <family val="2"/>
      </rPr>
      <t xml:space="preserve">3 </t>
    </r>
    <r>
      <rPr>
        <sz val="8"/>
        <color rgb="FF000000"/>
        <rFont val="Verdana"/>
        <family val="2"/>
      </rPr>
      <t>Incluye actividades de bibliotecas y archivos, actividades de museos, actividades de jardines botánicos y zoológicos.</t>
    </r>
  </si>
  <si>
    <r>
      <rPr>
        <b/>
        <sz val="8"/>
        <color rgb="FF000000"/>
        <rFont val="Verdana"/>
        <family val="2"/>
      </rPr>
      <t>4</t>
    </r>
    <r>
      <rPr>
        <sz val="8"/>
        <color rgb="FF000000"/>
        <rFont val="Verdana"/>
        <family val="2"/>
      </rPr>
      <t xml:space="preserve"> Incluye comercio al por menor de artículos típicos (artesanías).</t>
    </r>
  </si>
  <si>
    <r>
      <rPr>
        <b/>
        <sz val="8"/>
        <color rgb="FF000000"/>
        <rFont val="Verdana"/>
        <family val="2"/>
      </rPr>
      <t xml:space="preserve">5 </t>
    </r>
    <r>
      <rPr>
        <sz val="8"/>
        <color rgb="FF000000"/>
        <rFont val="Verdana"/>
        <family val="2"/>
      </rPr>
      <t>Incluye artes visuales con comercio al por menor de antigüedades, actividades de subasta (martilleros), galerías de arte. Incluye comercio al por menor de artículos fotográficos, servicios de revelado, actividades de fotografías publicitarias y otras actividades de fotografía. Incluye  fabricación de instrumentos de óptica no clasificados previsamente (N.C.P) y equipos fotográficos.</t>
    </r>
  </si>
  <si>
    <r>
      <rPr>
        <b/>
        <sz val="8"/>
        <color rgb="FF000000"/>
        <rFont val="Verdana"/>
        <family val="2"/>
      </rPr>
      <t xml:space="preserve">6 </t>
    </r>
    <r>
      <rPr>
        <sz val="8"/>
        <color rgb="FF000000"/>
        <rFont val="Verdana"/>
        <family val="2"/>
      </rPr>
      <t>Incluye espectáculos circenses, de títeres u otros similares. Incluye  instructores de danza. Incluye servicios de producción teatral y otros No Clasificados Previamente (N.C.P).</t>
    </r>
  </si>
  <si>
    <r>
      <rPr>
        <b/>
        <sz val="8"/>
        <color rgb="FF000000"/>
        <rFont val="Verdana"/>
        <family val="2"/>
      </rPr>
      <t xml:space="preserve">7 </t>
    </r>
    <r>
      <rPr>
        <sz val="8"/>
        <color rgb="FF000000"/>
        <rFont val="Verdana"/>
        <family val="2"/>
      </rPr>
      <t>Incluye edición de grabaciones, reproducción de grabaciones, venta al por menor de instrumentos musicales (casa de música), servicios de producción de recitales y otros eventos musicales masivos, agencias de venta de billetes de teatro, salas de concierto y de teatro, venta al por menor de discos, cassettes, dvd y videos, actividades empresariales de artistas, actividades artísticas, funciones de artistas, actores, músicos, conferencistas, entre otras relacionadas. Incluye fabricación de instrumentos de música.</t>
    </r>
  </si>
  <si>
    <r>
      <rPr>
        <b/>
        <sz val="8"/>
        <color rgb="FF000000"/>
        <rFont val="Verdana"/>
        <family val="2"/>
      </rPr>
      <t>8</t>
    </r>
    <r>
      <rPr>
        <sz val="8"/>
        <color rgb="FF000000"/>
        <rFont val="Verdana"/>
        <family val="2"/>
      </rPr>
      <t xml:space="preserve"> Incluye edición principalmente de libros ,otras actividades de edición, impresión principalmente de libros, venta al por mayor de libros, comercio al por menor de libros. Incluye edición, venta al por mayor de revistas y periódicos, comercio al por menor de revistas y diarios. Incluye otras actividades de edición.</t>
    </r>
  </si>
  <si>
    <r>
      <rPr>
        <b/>
        <sz val="8"/>
        <color rgb="FF000000"/>
        <rFont val="Verdana"/>
        <family val="2"/>
      </rPr>
      <t xml:space="preserve">9 </t>
    </r>
    <r>
      <rPr>
        <sz val="8"/>
        <color rgb="FF000000"/>
        <rFont val="Verdana"/>
        <family val="2"/>
      </rPr>
      <t>Incluye principalmente producción de películas cinematográficas, distribución de cine y exhibición de filmes y videocintas. También agencias de contratación de actores, contratación de actores para cine, tv, y teatro y agencias de noticias. Incluye arriendo de videos, juegos de video y equipos reproductores de video, música y similares. Incluye actividades de televisión, servicios de televisión no abierta. Incluye actividades de radio, fabricación de transmisores de radio y televisión, aparatos para telefonía y telegrafía con hilos, fabricación de receptores (radio y tv), aparatos de grabación y reproducción (audio y video).</t>
    </r>
  </si>
  <si>
    <r>
      <rPr>
        <b/>
        <sz val="8"/>
        <color rgb="FF000000"/>
        <rFont val="Verdana"/>
        <family val="2"/>
      </rPr>
      <t xml:space="preserve">10 </t>
    </r>
    <r>
      <rPr>
        <sz val="8"/>
        <color rgb="FF000000"/>
        <rFont val="Verdana"/>
        <family val="2"/>
      </rPr>
      <t>Incluye servicios de arquitectura y técnico relacionado. Incluye  diseñadores de vestuario, de interiores y otros diseñadores. Incluye empresas de publicidad y servicios personales de publicidad.</t>
    </r>
  </si>
  <si>
    <r>
      <rPr>
        <b/>
        <sz val="8"/>
        <color rgb="FF000000"/>
        <rFont val="Verdana"/>
        <family val="2"/>
      </rPr>
      <t>11</t>
    </r>
    <r>
      <rPr>
        <sz val="8"/>
        <color rgb="FF000000"/>
        <rFont val="Verdana"/>
        <family val="2"/>
      </rPr>
      <t xml:space="preserve"> Incluye investigaciones y desarrollo experimental - ciencias sociales y humanidades y educación extraescolar (escuela de conducción, música, modelaje, etc.). Incluye comercio al por menor de computadoras, softwares y suministros, proveedores de internet, centros de acceso a internet, asesores y consultores en informática (software).</t>
    </r>
  </si>
  <si>
    <t>FUENTE: Datos de empresas y empleo cultural elaborados por el Consejo Nacional de la Cultura y las Artes (CNCA), a partir de datos ofrecidos por la Asociación Chilena de Seguridad (ACHS), el Instituto de Seguridad del Trabajo (IST), la Mutual de Seguridad de la Cámara Chilena de la Construcción (CCHC) y el Instituto de Seguridad Laboral (IST).</t>
  </si>
  <si>
    <r>
      <t>CUADRO 2.3-02: NÚMERO DE EMPRESAS, TRABAJADORES, TRABAJADORES PROMEDIO Y REMUNERACIONES PROMEDIO PARA EMPRESAS CREATIVAS ASOCIADO A MUTUALES DE SEGURIDAD, SEGÚN DOMINIO Y SUBDOMINIO CULTURAL. 2013</t>
    </r>
    <r>
      <rPr>
        <b/>
        <vertAlign val="superscript"/>
        <sz val="8"/>
        <rFont val="Verdana"/>
        <family val="2"/>
      </rPr>
      <t>/1</t>
    </r>
  </si>
  <si>
    <t>Empresa</t>
  </si>
  <si>
    <r>
      <t xml:space="preserve"> Trabajadores para el total de empresas por sector</t>
    </r>
    <r>
      <rPr>
        <b/>
        <vertAlign val="superscript"/>
        <sz val="8"/>
        <rFont val="Verdana"/>
        <family val="2"/>
      </rPr>
      <t>/26</t>
    </r>
  </si>
  <si>
    <r>
      <t>Trabajadores promedio por empresa y sector</t>
    </r>
    <r>
      <rPr>
        <b/>
        <vertAlign val="superscript"/>
        <sz val="8"/>
        <rFont val="Verdana"/>
        <family val="2"/>
      </rPr>
      <t>/27</t>
    </r>
  </si>
  <si>
    <r>
      <t>Promedio de remuneraciones</t>
    </r>
    <r>
      <rPr>
        <b/>
        <vertAlign val="superscript"/>
        <sz val="8"/>
        <rFont val="Verdana"/>
        <family val="2"/>
      </rPr>
      <t>/2</t>
    </r>
  </si>
  <si>
    <r>
      <t>Patrimonio</t>
    </r>
    <r>
      <rPr>
        <vertAlign val="superscript"/>
        <sz val="8"/>
        <rFont val="Verdana"/>
        <family val="2"/>
      </rPr>
      <t>/3</t>
    </r>
  </si>
  <si>
    <r>
      <t>Artesanías</t>
    </r>
    <r>
      <rPr>
        <vertAlign val="superscript"/>
        <sz val="8"/>
        <rFont val="Verdana"/>
        <family val="2"/>
      </rPr>
      <t>/4</t>
    </r>
  </si>
  <si>
    <r>
      <t>Artes visuales</t>
    </r>
    <r>
      <rPr>
        <vertAlign val="superscript"/>
        <sz val="8"/>
        <rFont val="Verdana"/>
        <family val="2"/>
      </rPr>
      <t>/5</t>
    </r>
  </si>
  <si>
    <r>
      <t>Fotografía</t>
    </r>
    <r>
      <rPr>
        <vertAlign val="superscript"/>
        <sz val="8"/>
        <rFont val="Verdana"/>
        <family val="2"/>
      </rPr>
      <t>/6</t>
    </r>
  </si>
  <si>
    <r>
      <t>Fabricación insumos</t>
    </r>
    <r>
      <rPr>
        <vertAlign val="superscript"/>
        <sz val="8"/>
        <rFont val="Verdana"/>
        <family val="2"/>
      </rPr>
      <t>/7</t>
    </r>
  </si>
  <si>
    <r>
      <t>Circo</t>
    </r>
    <r>
      <rPr>
        <vertAlign val="superscript"/>
        <sz val="8"/>
        <rFont val="Verdana"/>
        <family val="2"/>
      </rPr>
      <t>/8</t>
    </r>
  </si>
  <si>
    <r>
      <t>Danza</t>
    </r>
    <r>
      <rPr>
        <vertAlign val="superscript"/>
        <sz val="8"/>
        <rFont val="Verdana"/>
        <family val="2"/>
      </rPr>
      <t>/9</t>
    </r>
  </si>
  <si>
    <r>
      <t>Teatro</t>
    </r>
    <r>
      <rPr>
        <vertAlign val="superscript"/>
        <sz val="8"/>
        <rFont val="Verdana"/>
        <family val="2"/>
      </rPr>
      <t>/10</t>
    </r>
  </si>
  <si>
    <r>
      <t>Música</t>
    </r>
    <r>
      <rPr>
        <vertAlign val="superscript"/>
        <sz val="8"/>
        <rFont val="Verdana"/>
        <family val="2"/>
      </rPr>
      <t>/11</t>
    </r>
  </si>
  <si>
    <r>
      <t>Fabricación insumos</t>
    </r>
    <r>
      <rPr>
        <vertAlign val="superscript"/>
        <sz val="8"/>
        <rFont val="Verdana"/>
        <family val="2"/>
      </rPr>
      <t>/12</t>
    </r>
  </si>
  <si>
    <r>
      <t>Editorial libros</t>
    </r>
    <r>
      <rPr>
        <vertAlign val="superscript"/>
        <sz val="8"/>
        <rFont val="Verdana"/>
        <family val="2"/>
      </rPr>
      <t>/13</t>
    </r>
  </si>
  <si>
    <r>
      <t>Editorial periódicos</t>
    </r>
    <r>
      <rPr>
        <vertAlign val="superscript"/>
        <sz val="8"/>
        <rFont val="Verdana"/>
        <family val="2"/>
      </rPr>
      <t>/14</t>
    </r>
  </si>
  <si>
    <r>
      <t>Editorial Otros</t>
    </r>
    <r>
      <rPr>
        <vertAlign val="superscript"/>
        <sz val="8"/>
        <rFont val="Verdana"/>
        <family val="2"/>
      </rPr>
      <t>/15</t>
    </r>
  </si>
  <si>
    <r>
      <t>Audiovisual</t>
    </r>
    <r>
      <rPr>
        <vertAlign val="superscript"/>
        <sz val="8"/>
        <rFont val="Verdana"/>
        <family val="2"/>
      </rPr>
      <t>/16</t>
    </r>
  </si>
  <si>
    <r>
      <t>Filmes y videos</t>
    </r>
    <r>
      <rPr>
        <vertAlign val="superscript"/>
        <sz val="8"/>
        <rFont val="Verdana"/>
        <family val="2"/>
      </rPr>
      <t>/17</t>
    </r>
  </si>
  <si>
    <r>
      <t>Televisión</t>
    </r>
    <r>
      <rPr>
        <vertAlign val="superscript"/>
        <sz val="8"/>
        <rFont val="Verdana"/>
        <family val="2"/>
      </rPr>
      <t>/18</t>
    </r>
  </si>
  <si>
    <r>
      <t>Radio</t>
    </r>
    <r>
      <rPr>
        <vertAlign val="superscript"/>
        <sz val="8"/>
        <rFont val="Verdana"/>
        <family val="2"/>
      </rPr>
      <t>/19</t>
    </r>
  </si>
  <si>
    <r>
      <t>Fabricación insumos</t>
    </r>
    <r>
      <rPr>
        <vertAlign val="superscript"/>
        <sz val="8"/>
        <rFont val="Verdana"/>
        <family val="2"/>
      </rPr>
      <t>/20</t>
    </r>
  </si>
  <si>
    <r>
      <t>Arquitectura</t>
    </r>
    <r>
      <rPr>
        <vertAlign val="superscript"/>
        <sz val="8"/>
        <rFont val="Verdana"/>
        <family val="2"/>
      </rPr>
      <t>/21</t>
    </r>
  </si>
  <si>
    <r>
      <t>Diseño</t>
    </r>
    <r>
      <rPr>
        <vertAlign val="superscript"/>
        <sz val="8"/>
        <rFont val="Verdana"/>
        <family val="2"/>
      </rPr>
      <t>/22</t>
    </r>
  </si>
  <si>
    <r>
      <t>Publicidad</t>
    </r>
    <r>
      <rPr>
        <vertAlign val="superscript"/>
        <sz val="8"/>
        <rFont val="Verdana"/>
        <family val="2"/>
      </rPr>
      <t>/23</t>
    </r>
  </si>
  <si>
    <r>
      <t>Educación</t>
    </r>
    <r>
      <rPr>
        <vertAlign val="superscript"/>
        <sz val="8"/>
        <rFont val="Verdana"/>
        <family val="2"/>
      </rPr>
      <t>/24</t>
    </r>
  </si>
  <si>
    <r>
      <t>Medios informáticos</t>
    </r>
    <r>
      <rPr>
        <vertAlign val="superscript"/>
        <sz val="8"/>
        <rFont val="Verdana"/>
        <family val="2"/>
      </rPr>
      <t>/25</t>
    </r>
  </si>
  <si>
    <r>
      <rPr>
        <b/>
        <sz val="8"/>
        <rFont val="Verdana"/>
        <family val="2"/>
      </rPr>
      <t xml:space="preserve">1 </t>
    </r>
    <r>
      <rPr>
        <sz val="8"/>
        <rFont val="Verdana"/>
        <family val="2"/>
      </rPr>
      <t xml:space="preserve">El número total de empresas fue obtenido a partir de las empresas y empleados inscritas e incritos en alguna de las mutuales de seguridad y que cumplen con pertenecer a alguno de los 57 códigos de actividad seleccionados por el CNCA como creativos o culturales. El método empleado para la obtención del número total de trabajadores por dominio, ha sido calculado a partir del promedio de trabajadores anuales por empresa (suma de trabajadores en el año dividido por 12) para luego sumar el promedio de trabajadores por empresa en cada dominio cultural. </t>
    </r>
  </si>
  <si>
    <r>
      <rPr>
        <b/>
        <sz val="8"/>
        <rFont val="Verdana"/>
        <family val="2"/>
      </rPr>
      <t>2</t>
    </r>
    <r>
      <rPr>
        <sz val="8"/>
        <rFont val="Verdana"/>
        <family val="2"/>
      </rPr>
      <t xml:space="preserve"> El método utilizado para obtener las remuneraciones promedio por dominio, se sustenta en el cálculo de las remuneraciones promedio de cada empresa del dominio (suma de remuneraciones totales en el año dividido por el total trabajadores en el año de cada empresa), para luego, calcular un promedio ponderado de cada dominio, en función de la suma de cada empresa que la compone por el numero de trabajadores promedio que tuvo durante el año. </t>
    </r>
  </si>
  <si>
    <r>
      <rPr>
        <b/>
        <sz val="8"/>
        <rFont val="Verdana"/>
        <family val="2"/>
      </rPr>
      <t xml:space="preserve">3 </t>
    </r>
    <r>
      <rPr>
        <sz val="8"/>
        <rFont val="Verdana"/>
        <family val="2"/>
      </rPr>
      <t xml:space="preserve">Incluye actividades de bibliotecas y archivos, actividades de museos, actividades de jardines botánicos y zoológicos. </t>
    </r>
  </si>
  <si>
    <r>
      <rPr>
        <b/>
        <sz val="8"/>
        <rFont val="Verdana"/>
        <family val="2"/>
      </rPr>
      <t xml:space="preserve">4 </t>
    </r>
    <r>
      <rPr>
        <sz val="8"/>
        <rFont val="Verdana"/>
        <family val="2"/>
      </rPr>
      <t>Incluye comercio al por menor de artículos típicos (artesanías).</t>
    </r>
  </si>
  <si>
    <r>
      <rPr>
        <b/>
        <sz val="8"/>
        <rFont val="Verdana"/>
        <family val="2"/>
      </rPr>
      <t xml:space="preserve">5 </t>
    </r>
    <r>
      <rPr>
        <sz val="8"/>
        <rFont val="Verdana"/>
        <family val="2"/>
      </rPr>
      <t>Incluye comercio al por menor de antigüedades; actividades de subasta (martilleros); galerías de arte.</t>
    </r>
  </si>
  <si>
    <r>
      <rPr>
        <b/>
        <sz val="8"/>
        <rFont val="Verdana"/>
        <family val="2"/>
      </rPr>
      <t xml:space="preserve">6 </t>
    </r>
    <r>
      <rPr>
        <sz val="8"/>
        <rFont val="Verdana"/>
        <family val="2"/>
      </rPr>
      <t xml:space="preserve">Incluye comercio al por menor de artículos fotográficos, servicios de revelado, actividades de fotografías publicitarias y otras actividades de fotografía.  </t>
    </r>
  </si>
  <si>
    <r>
      <rPr>
        <b/>
        <sz val="8"/>
        <rFont val="Verdana"/>
        <family val="2"/>
      </rPr>
      <t xml:space="preserve">7 </t>
    </r>
    <r>
      <rPr>
        <sz val="8"/>
        <rFont val="Verdana"/>
        <family val="2"/>
      </rPr>
      <t>Incluye fabricación de instrumentos de óptica No Clasificados Previamente (N.C.P) y equipos fotográficos.</t>
    </r>
  </si>
  <si>
    <r>
      <rPr>
        <b/>
        <sz val="8"/>
        <rFont val="Verdana"/>
        <family val="2"/>
      </rPr>
      <t xml:space="preserve">8 </t>
    </r>
    <r>
      <rPr>
        <sz val="8"/>
        <rFont val="Verdana"/>
        <family val="2"/>
      </rPr>
      <t>Incluye espectáculos circenses, de títeres u otros similares.</t>
    </r>
  </si>
  <si>
    <r>
      <rPr>
        <b/>
        <sz val="8"/>
        <rFont val="Verdana"/>
        <family val="2"/>
      </rPr>
      <t xml:space="preserve">9 </t>
    </r>
    <r>
      <rPr>
        <sz val="8"/>
        <rFont val="Verdana"/>
        <family val="2"/>
      </rPr>
      <t>Incluye  instructores de danza.</t>
    </r>
  </si>
  <si>
    <r>
      <rPr>
        <b/>
        <sz val="8"/>
        <rFont val="Verdana"/>
        <family val="2"/>
      </rPr>
      <t>10</t>
    </r>
    <r>
      <rPr>
        <sz val="8"/>
        <rFont val="Verdana"/>
        <family val="2"/>
      </rPr>
      <t xml:space="preserve"> Incluye servicios de producción teatral y otros No Clasificados Previamente (N.C.P).</t>
    </r>
  </si>
  <si>
    <r>
      <rPr>
        <b/>
        <sz val="8"/>
        <rFont val="Verdana"/>
        <family val="2"/>
      </rPr>
      <t>11</t>
    </r>
    <r>
      <rPr>
        <sz val="8"/>
        <rFont val="Verdana"/>
        <family val="2"/>
      </rPr>
      <t xml:space="preserve"> Incluye edición de grabaciones. reproducción de grabaciones, venta al por menor de instrumentos musicales (casa de música), servicios de producción de recitales y otros eventos musicales masivos, agencias de venta de billetes de teatro, salas de concierto y de teatro, venta al por menor de discos, cassettes, dvd y videos, actividades empresariales de artistas; actividades artísticas; funciones de artistas, actores, músicos, conferencistas, otros; entre otras relacionadas.</t>
    </r>
  </si>
  <si>
    <r>
      <rPr>
        <b/>
        <sz val="8"/>
        <rFont val="Verdana"/>
        <family val="2"/>
      </rPr>
      <t xml:space="preserve">12 </t>
    </r>
    <r>
      <rPr>
        <sz val="8"/>
        <rFont val="Verdana"/>
        <family val="2"/>
      </rPr>
      <t>Incluye fabricación de instrumentos de música.</t>
    </r>
  </si>
  <si>
    <r>
      <rPr>
        <b/>
        <sz val="8"/>
        <rFont val="Verdana"/>
        <family val="2"/>
      </rPr>
      <t xml:space="preserve">13 </t>
    </r>
    <r>
      <rPr>
        <sz val="8"/>
        <rFont val="Verdana"/>
        <family val="2"/>
      </rPr>
      <t>Incluye  edición principalmente de libros, otras actividades de edición, impresión principalmente de libro, venta al por mayor de libros, comercio al por menor de libros.</t>
    </r>
  </si>
  <si>
    <r>
      <rPr>
        <b/>
        <sz val="8"/>
        <rFont val="Verdana"/>
        <family val="2"/>
      </rPr>
      <t xml:space="preserve">14 </t>
    </r>
    <r>
      <rPr>
        <sz val="8"/>
        <rFont val="Verdana"/>
        <family val="2"/>
      </rPr>
      <t>Incluye edición, venta al por mayor de revistas y periódicos, comercio al por menor de revistas y diarios.</t>
    </r>
  </si>
  <si>
    <r>
      <rPr>
        <b/>
        <sz val="8"/>
        <rFont val="Verdana"/>
        <family val="2"/>
      </rPr>
      <t xml:space="preserve">15 </t>
    </r>
    <r>
      <rPr>
        <sz val="8"/>
        <rFont val="Verdana"/>
        <family val="2"/>
      </rPr>
      <t>Incluye otras actividades de edición</t>
    </r>
  </si>
  <si>
    <r>
      <rPr>
        <b/>
        <sz val="8"/>
        <rFont val="Verdana"/>
        <family val="2"/>
      </rPr>
      <t>16</t>
    </r>
    <r>
      <rPr>
        <sz val="8"/>
        <rFont val="Verdana"/>
        <family val="2"/>
      </rPr>
      <t xml:space="preserve"> Incluye  principalmente producción de películas cinematográficas, distribución de cine, exhibición de filmes y videocintas. También agencias de contratación de actores, contratación de actores para cine, tv, teatro y agencias de noticias.</t>
    </r>
  </si>
  <si>
    <r>
      <rPr>
        <b/>
        <sz val="8"/>
        <rFont val="Verdana"/>
        <family val="2"/>
      </rPr>
      <t xml:space="preserve">17 </t>
    </r>
    <r>
      <rPr>
        <sz val="8"/>
        <rFont val="Verdana"/>
        <family val="2"/>
      </rPr>
      <t>Incluye arriendo de videos, juegos de video y equipos reproductores de video, música y similares.</t>
    </r>
  </si>
  <si>
    <r>
      <rPr>
        <b/>
        <sz val="8"/>
        <rFont val="Verdana"/>
        <family val="2"/>
      </rPr>
      <t xml:space="preserve">18 </t>
    </r>
    <r>
      <rPr>
        <sz val="8"/>
        <rFont val="Verdana"/>
        <family val="2"/>
      </rPr>
      <t>Inclue actividades de televisión,servicios de televisión no abierta.</t>
    </r>
  </si>
  <si>
    <r>
      <rPr>
        <b/>
        <sz val="8"/>
        <rFont val="Verdana"/>
        <family val="2"/>
      </rPr>
      <t xml:space="preserve">19 </t>
    </r>
    <r>
      <rPr>
        <sz val="8"/>
        <rFont val="Verdana"/>
        <family val="2"/>
      </rPr>
      <t>Incluye actividades de radio.</t>
    </r>
  </si>
  <si>
    <r>
      <rPr>
        <b/>
        <sz val="8"/>
        <rFont val="Verdana"/>
        <family val="2"/>
      </rPr>
      <t xml:space="preserve">20 </t>
    </r>
    <r>
      <rPr>
        <sz val="8"/>
        <rFont val="Verdana"/>
        <family val="2"/>
      </rPr>
      <t>Incluye fabricación de transmisores de radio y televisión, aparatos para telefonía y telegrafía con hilos;  fabricación de receptores (radio y tv); aparatos de grabación y reproducción (audio y video)</t>
    </r>
  </si>
  <si>
    <r>
      <rPr>
        <b/>
        <sz val="8"/>
        <rFont val="Verdana"/>
        <family val="2"/>
      </rPr>
      <t xml:space="preserve">21 </t>
    </r>
    <r>
      <rPr>
        <sz val="8"/>
        <rFont val="Verdana"/>
        <family val="2"/>
      </rPr>
      <t>Incluye servicios de arquitectura y técnico relacionado.</t>
    </r>
  </si>
  <si>
    <r>
      <rPr>
        <b/>
        <sz val="8"/>
        <rFont val="Verdana"/>
        <family val="2"/>
      </rPr>
      <t xml:space="preserve">22 </t>
    </r>
    <r>
      <rPr>
        <sz val="8"/>
        <rFont val="Verdana"/>
        <family val="2"/>
      </rPr>
      <t>Incluye  diseñadores de vestuario; de interiores y otros diseñadores.</t>
    </r>
  </si>
  <si>
    <r>
      <rPr>
        <b/>
        <sz val="8"/>
        <rFont val="Verdana"/>
        <family val="2"/>
      </rPr>
      <t xml:space="preserve">23 </t>
    </r>
    <r>
      <rPr>
        <sz val="8"/>
        <rFont val="Verdana"/>
        <family val="2"/>
      </rPr>
      <t>Incluye empreas de publicidad y servicios personales de publicidad.</t>
    </r>
  </si>
  <si>
    <r>
      <rPr>
        <b/>
        <sz val="8"/>
        <rFont val="Verdana"/>
        <family val="2"/>
      </rPr>
      <t xml:space="preserve">24 </t>
    </r>
    <r>
      <rPr>
        <sz val="8"/>
        <rFont val="Verdana"/>
        <family val="2"/>
      </rPr>
      <t>Incluye investigaciones y desarrollo experimental - ciencias sociales y humanidades y educación extraescolar (escuela de conducción, música, modelaje, etc.).</t>
    </r>
  </si>
  <si>
    <r>
      <rPr>
        <b/>
        <sz val="8"/>
        <rFont val="Verdana"/>
        <family val="2"/>
      </rPr>
      <t xml:space="preserve">25 </t>
    </r>
    <r>
      <rPr>
        <sz val="8"/>
        <rFont val="Verdana"/>
        <family val="2"/>
      </rPr>
      <t>Incluye comercio al por menor de computadoras, softwares y suministros; proveedores de internet; centros de acceso a internet; asesores y consultores en informática (software).</t>
    </r>
  </si>
  <si>
    <r>
      <rPr>
        <b/>
        <sz val="8"/>
        <rFont val="Verdana"/>
        <family val="2"/>
      </rPr>
      <t>26</t>
    </r>
    <r>
      <rPr>
        <sz val="8"/>
        <rFont val="Verdana"/>
        <family val="2"/>
      </rPr>
      <t xml:space="preserve"> La suma total de trabajadores promedio por sector lleva a 115.772 y no a 115.773 debido a proximaciones decimales de los valores parciales.</t>
    </r>
  </si>
  <si>
    <r>
      <rPr>
        <b/>
        <sz val="8"/>
        <rFont val="Verdana"/>
        <family val="2"/>
      </rPr>
      <t xml:space="preserve">27 </t>
    </r>
    <r>
      <rPr>
        <sz val="8"/>
        <rFont val="Verdana"/>
        <family val="2"/>
      </rPr>
      <t>El total de trabajadores promedio por empresas y sector se obtiene a partir de la división de trabajadores para el total de empresas por sector dividido por empresas.</t>
    </r>
  </si>
  <si>
    <t>FUENTE: Datos de Empleo Cultural elaborados por el Consejo Nacional de la Cultura y las Artes (CNCA), a partir de datos ofrecidos por la Asociación Chilena de Seguridad (ACHS), el Instituto de Seguridad del Trabajo (IST), la Mutual de Seguridad de la Cámara Chilena de la Construcción (CCHC) y el Instituto de Seguridad Laboral (IST).</t>
  </si>
  <si>
    <r>
      <t>Empresas</t>
    </r>
    <r>
      <rPr>
        <b/>
        <vertAlign val="superscript"/>
        <sz val="8"/>
        <rFont val="Verdana"/>
        <family val="2"/>
      </rPr>
      <t>/1</t>
    </r>
  </si>
  <si>
    <t xml:space="preserve"> Trabajadores para el total de empresas por sector</t>
  </si>
  <si>
    <r>
      <t>Promedio de remuneraciones  mensual (en pesos)</t>
    </r>
    <r>
      <rPr>
        <b/>
        <vertAlign val="superscript"/>
        <sz val="8"/>
        <rFont val="Verdana"/>
        <family val="2"/>
      </rPr>
      <t>/2</t>
    </r>
  </si>
  <si>
    <r>
      <rPr>
        <b/>
        <sz val="8"/>
        <rFont val="Verdana"/>
        <family val="2"/>
      </rPr>
      <t>1</t>
    </r>
    <r>
      <rPr>
        <sz val="8"/>
        <rFont val="Verdana"/>
        <family val="2"/>
      </rPr>
      <t xml:space="preserve"> El número total de empresas fue obtenido a partir del número de empresas y empleados inscritas e inscritos en alguna de las mutuales de seguridad y que cumplen con pertenecer a alguno de los 57 códigos de actividad seleccionados por el CNCA como creativos o culturales. El método empleado para obtener el número total de trabajadores por región, ha sido el siguiente: calculando el promedio de trabajadores anuales por empresa (suma de trabajadores en el año dividido por 12) y luego sumar el promedio de trabajadores por empresa en cada región. </t>
    </r>
  </si>
  <si>
    <r>
      <rPr>
        <b/>
        <sz val="8"/>
        <rFont val="Verdana"/>
        <family val="2"/>
      </rPr>
      <t xml:space="preserve">2 </t>
    </r>
    <r>
      <rPr>
        <sz val="8"/>
        <rFont val="Verdana"/>
        <family val="2"/>
      </rPr>
      <t xml:space="preserve">El método utilizado para obtener remuneraciones promedio por región ha sido calculando las remuneraciones promedio de cada empresa de la región (suma de remuneraciones totales en el año dividido por el total trabajadores en el año de cada empresa) y luego calculando un promedio ponderado de cada región en función de la suma de cada empresa que la compone por el numero de trabajadores promedio que tuvo durante el año. </t>
    </r>
  </si>
  <si>
    <t>FUENTE: Datos de empleo cultural elaborados por el Consejo Nacional de la Cultura y las Artes (CNCA), a partir de datos ofrecidos por la Asociación Chilena de Seguridad (ACHS), el Instituto de Seguridad del Trabajo (IST), la Mutual de Seguridad de la Cámara Chilena de la Construcción (CCHC) y el Instituto de Seguridad Laboral (IST).</t>
  </si>
  <si>
    <t>2.4 IMPORTACIONES Y EXPORTACIONES</t>
  </si>
  <si>
    <t>CUADRO 2.4-01: COMERCIO EXTERIOR DE BIENES Y SERVICIOS CULTURALES Y CREATIVOS, SEGÚN DOMINIO CULTURAL. 2013/1</t>
  </si>
  <si>
    <t>CUADRO 2.4-02: IMPORTACIÓN Y EXPORTACIÓN DE "INSUMOS PARA LA CREACIÓN", SEGÚN DOMINIO, SUBDOMINIO CULTURAL Y TIPO DE PRODUCTO. 2013/1</t>
  </si>
  <si>
    <t>CUADRO 2.4-03: IMPORTACIÓN Y EXPORTACIÓN DE "APARATOS PARA LA REPRODUCCIÓN", SEGÚN DOMINIO, SUBDOMINIO CULTURAL Y TIPO DE PRODUCTO. 2013/1</t>
  </si>
  <si>
    <t xml:space="preserve">CUADRO 2.4-04: IMPORTACIÓN Y EXPORTACIÓN DE "PRODUCTO TERMINADO", SEGÚN DOMINIO, SUBDOMINIO CULTURAL Y TIPO DE PRODUCTO. 2013/1 </t>
  </si>
  <si>
    <t>CUADRO 2.4-05: EXPORTACIONES DE BIENES Y PRODUCTOS CULTURALES POR  PAÍS DE DESTINO, SEGÚN DOMINIO Y SUBDOMINIO CULTURAL. 2013/1</t>
  </si>
  <si>
    <t>CUADRO 2.4-06: IMPORTACIONES DE BIENES Y PRODUCTOS CULTURALES POR PAÍS DE ORIGEN, SEGÚN DOMINIO Y SUBDOMINIO CULTURAL. 2013/1</t>
  </si>
  <si>
    <t>CUADRO 2.4-07: EXPORTACIONES DE SERVICIOS CULTURALES, SEGÚN DOMINIO Y SUBDOMINIO CULTURAL. 2008-2013/1/2/3</t>
  </si>
  <si>
    <t>CUADRO 2.4-08: DETALLE DE EXPORTACIONES DE SERVICIOS CULTURALES SEGÚN DOMINIO Y SUBDOMINIO CULTURAL. 2013/1</t>
  </si>
  <si>
    <t>CUADRO 2.4-09: EXPORTACIONES DE SERVICIOS CULTURALES POR  PAÍS DE DESTINO, SEGÚN DOMINIO Y SUBDOMINIO CULTURAL. 2013/1</t>
  </si>
  <si>
    <r>
      <t>CUADRO 2.4-01: COMERCIO EXTERIOR DE BIENES Y SERVICIOS CULTURALES Y CREATIVOS, SEGÚN DOMINIO CULTURAL. 2013</t>
    </r>
    <r>
      <rPr>
        <b/>
        <vertAlign val="superscript"/>
        <sz val="8"/>
        <color indexed="8"/>
        <rFont val="Verdana"/>
        <family val="2"/>
      </rPr>
      <t>/1</t>
    </r>
  </si>
  <si>
    <t>Exportaciones valor FOB  US$</t>
  </si>
  <si>
    <t>Participación de sector cultura en el total de exportaciones del país (%)</t>
  </si>
  <si>
    <t>Importaciones valor CIF en US$</t>
  </si>
  <si>
    <t>Participación  de sector cultura en el total de importaciones del país (%)</t>
  </si>
  <si>
    <t>TOTAL NACIONAL PRODUCTOS</t>
  </si>
  <si>
    <t>Dominio cultura productos</t>
  </si>
  <si>
    <t xml:space="preserve">Artes visuales </t>
  </si>
  <si>
    <t>TOTAL NACIONAL SERVICIOS</t>
  </si>
  <si>
    <t>Dominio cultura servicios</t>
  </si>
  <si>
    <r>
      <rPr>
        <b/>
        <sz val="8"/>
        <color indexed="8"/>
        <rFont val="Verdana"/>
        <family val="2"/>
      </rPr>
      <t xml:space="preserve">1 </t>
    </r>
    <r>
      <rPr>
        <sz val="8"/>
        <color indexed="8"/>
        <rFont val="Verdana"/>
        <family val="2"/>
      </rPr>
      <t>Los totales se calcularon a partir del valor FOB (Free on Board-Libre a bordo) y CIF (Cost, Insurance &amp; Freight-Costo, Seguro y Flete) en dólares (US$) 2013.</t>
    </r>
  </si>
  <si>
    <t>FUENTE : Servicio Nacional de Aduanas (SNA). Cifras sector cultura y tiempo libre, en base a listado de códigos de productos culturales entregados por el Consejo Nacional de la Cultura y las Artes (CNCA).</t>
  </si>
  <si>
    <r>
      <t>CUADRO 2.4-02: IMPORTACIÓN Y EXPORTACIÓN DE "INSUMOS PARA LA CREACIÓN", SEGÚN DOMINIO, SUBDOMINIO CULTURAL Y TIPO DE PRODUCTO. 2013</t>
    </r>
    <r>
      <rPr>
        <b/>
        <vertAlign val="superscript"/>
        <sz val="8"/>
        <color theme="1"/>
        <rFont val="Verdana"/>
        <family val="2"/>
      </rPr>
      <t>/1</t>
    </r>
  </si>
  <si>
    <t>DOMINIO/SUBDOMINIO CULTURAL Y TIPO DE PRODUCTO</t>
  </si>
  <si>
    <t xml:space="preserve"> Importación 2013</t>
  </si>
  <si>
    <t xml:space="preserve"> Exportación 2013</t>
  </si>
  <si>
    <t>INSUMO PARA CREACIÓN</t>
  </si>
  <si>
    <t>Lana cardada o peinada</t>
  </si>
  <si>
    <t>Lana en bruto</t>
  </si>
  <si>
    <t>Madera en bruto (no coníferas, no de haya, no encina o roble)</t>
  </si>
  <si>
    <t>Máquinas para el trabajo con cuero</t>
  </si>
  <si>
    <t>Máquinas para trabajo con fieltro</t>
  </si>
  <si>
    <t>Marfil trabajado</t>
  </si>
  <si>
    <t>Materiales vegetales</t>
  </si>
  <si>
    <t>Materias vegetales para tallar</t>
  </si>
  <si>
    <t>Piedras preciosas en bruto o trabajadas</t>
  </si>
  <si>
    <t>Pieles curtidas</t>
  </si>
  <si>
    <t>Pigmentos para el acabado de cuero</t>
  </si>
  <si>
    <t>Plata semilbrada</t>
  </si>
  <si>
    <t>Telares</t>
  </si>
  <si>
    <t>Trenzas en pieza</t>
  </si>
  <si>
    <t>Hilados de lana</t>
  </si>
  <si>
    <t>Albumes o libros de estampas para colorear</t>
  </si>
  <si>
    <t>Bolígrafos de pluma y similares</t>
  </si>
  <si>
    <t>Colores para la pintura artística y la enseñanza</t>
  </si>
  <si>
    <t xml:space="preserve">Lápices </t>
  </si>
  <si>
    <t>Máquinas y aparatos para imprimir</t>
  </si>
  <si>
    <t>Pinceles y brochas para pintura artística</t>
  </si>
  <si>
    <t>Cámaras digitales</t>
  </si>
  <si>
    <t>Videocámaras</t>
  </si>
  <si>
    <t>Cámaras fotográficas y sus insumos</t>
  </si>
  <si>
    <t>Insumo para laboratorio de revelado fotográfico o de cine</t>
  </si>
  <si>
    <t>Papel fotográfico sin impresionar</t>
  </si>
  <si>
    <t>Papel fotosensible</t>
  </si>
  <si>
    <t>Películas fotográficas sin impresionar</t>
  </si>
  <si>
    <t>Preparaciones químicas para uso fotográfico</t>
  </si>
  <si>
    <t>Aparatos para la grabación o reproducción de sonido</t>
  </si>
  <si>
    <t>Instrumentos musicales</t>
  </si>
  <si>
    <t>Insumos para instrumentos musicales</t>
  </si>
  <si>
    <t>Micrófonos y altavoces</t>
  </si>
  <si>
    <t>diarios y revistas</t>
  </si>
  <si>
    <t>Papel de prensa en bobinas u hojas</t>
  </si>
  <si>
    <t>Máquinas de encuadernación</t>
  </si>
  <si>
    <t>Otros papeles para usos gráficos</t>
  </si>
  <si>
    <t>Papel para autocopia</t>
  </si>
  <si>
    <t>Papel para escritura, dibujo o impresiones</t>
  </si>
  <si>
    <t>Tintas para imprimir</t>
  </si>
  <si>
    <t>Aparatos para la grabación o reproducción de imagen y sonido</t>
  </si>
  <si>
    <t>Cámaras de televisión</t>
  </si>
  <si>
    <t>Cámaras y proyectores de cine</t>
  </si>
  <si>
    <t>Papel soporte para decorar paredes</t>
  </si>
  <si>
    <t>Papel para exhibidores publicitarios</t>
  </si>
  <si>
    <t>Medios informáticos</t>
  </si>
  <si>
    <t>Discos, cintas y dispositivos de almacenamiento de datos</t>
  </si>
  <si>
    <t>Máquinas para el procesamiento de datos</t>
  </si>
  <si>
    <t>FUENTE: Servicio Nacional de Aduanas (SNA). Cifras sector cultura y tiempo Libre, en base a listado de códigos de productos culturales entregados por el Consejo Nacional de la Cultura y las Artes (CNCA).</t>
  </si>
  <si>
    <r>
      <t>CUADRO 2.4-03: IMPORTACIÓN Y EXPORTACIÓN DE "APARATOS PARA LA REPRODUCCIÓN", SEGÚN DOMINIO, SUBDOMINIO CULTURAL Y TIPO DE PRODUCTO. 2013</t>
    </r>
    <r>
      <rPr>
        <b/>
        <vertAlign val="superscript"/>
        <sz val="8"/>
        <color theme="1"/>
        <rFont val="Verdana"/>
        <family val="2"/>
      </rPr>
      <t>/1</t>
    </r>
  </si>
  <si>
    <t>Importación 2013</t>
  </si>
  <si>
    <t>Exportación 2013</t>
  </si>
  <si>
    <t>EQUIPO PARA REPRODUCCIÓN</t>
  </si>
  <si>
    <t>Proyectores de imagen fija</t>
  </si>
  <si>
    <t>Radio y televisión</t>
  </si>
  <si>
    <t>Aparatos emisores de radio y televisión</t>
  </si>
  <si>
    <t>Video juegos</t>
  </si>
  <si>
    <t>Videoconsolas</t>
  </si>
  <si>
    <t>FUENTE: Servicio Nacional de Aduanas (SNA). Cifras Sector Cultura y Tiempo Libre, en base a listado de códigos de productos culturales entregados por el Consejo Nacional de la Cultura y las Artes (CNCA).</t>
  </si>
  <si>
    <r>
      <t>CUADRO 2.4-04: IMPORTACIÓN Y EXPORTACIÓN DE "PRODUCTO TERMINADO", SEGÚN DOMINIO, SUBDOMINIO CULTURAL Y TIPO DE PRODUCTO. 2013</t>
    </r>
    <r>
      <rPr>
        <b/>
        <vertAlign val="superscript"/>
        <sz val="8"/>
        <color theme="1"/>
        <rFont val="Verdana"/>
        <family val="2"/>
      </rPr>
      <t xml:space="preserve">/1 </t>
    </r>
  </si>
  <si>
    <t>TOTAL PRODUCTO TERMINADO</t>
  </si>
  <si>
    <t>Alfombras de lana</t>
  </si>
  <si>
    <t>Artículos de cestería</t>
  </si>
  <si>
    <t>Artículos de joyería o orfebrería de plata o similares</t>
  </si>
  <si>
    <t>Artículos de mesa o  cocina, de madera</t>
  </si>
  <si>
    <t>Asientos de material vegetal</t>
  </si>
  <si>
    <t>Baúles, portadocumentos, matelines de cuero, etc.</t>
  </si>
  <si>
    <t>Bordados</t>
  </si>
  <si>
    <t>Campanas, campanillas, gongos y artículos similares</t>
  </si>
  <si>
    <t>Cuentas de vidrio</t>
  </si>
  <si>
    <t>Estatuillas y otros de cerámica</t>
  </si>
  <si>
    <t>Esterillas, esteras, cañizos de materia vegetal</t>
  </si>
  <si>
    <t>Estutuillas y otros plateados o similares</t>
  </si>
  <si>
    <t>Manufacturas de perlas o piedras preciosas</t>
  </si>
  <si>
    <t>Marcos de madera para cuadros, fotografías, espejos, etc.</t>
  </si>
  <si>
    <t>Objetos de madera de adorno o similar</t>
  </si>
  <si>
    <t>Otros simialres a esterillas de material trenzable</t>
  </si>
  <si>
    <t>Palos de lluvia o agua</t>
  </si>
  <si>
    <t>Papel hecho a mano</t>
  </si>
  <si>
    <t>Tapicería tejida a mano</t>
  </si>
  <si>
    <t>Tejidos de lana o pelo fino</t>
  </si>
  <si>
    <t>Tejidos de metal para prendas de vestir</t>
  </si>
  <si>
    <t>Tejidos de punto</t>
  </si>
  <si>
    <t>Cuadros y pinturas originales de artistas chilenos</t>
  </si>
  <si>
    <t>Dibujos originales de artistas chilenos</t>
  </si>
  <si>
    <t>Esculturas originales de artistas chilenos</t>
  </si>
  <si>
    <t>Esculturas, pinturas, dibujos y similares</t>
  </si>
  <si>
    <t>Estampas, grabados y fotografías</t>
  </si>
  <si>
    <t>Películas fotografícas impresinados pero sin revelar</t>
  </si>
  <si>
    <t>Circo</t>
  </si>
  <si>
    <t>Circos y zoológicos</t>
  </si>
  <si>
    <t>Discos de carácter musical</t>
  </si>
  <si>
    <t>Música manuscrita o impresa, incluso con ilustraciones o</t>
  </si>
  <si>
    <t>Antiguedades de más de 100 años</t>
  </si>
  <si>
    <t>Artículo de fiesta</t>
  </si>
  <si>
    <t>Colecciones de zoología</t>
  </si>
  <si>
    <t>Diarios y revistas</t>
  </si>
  <si>
    <t>Diccionarios y similares</t>
  </si>
  <si>
    <t>Enciclopedias</t>
  </si>
  <si>
    <t>Esferas cartográficas</t>
  </si>
  <si>
    <t>Libros académicos o científicos</t>
  </si>
  <si>
    <t>Libros de enseñanza básica</t>
  </si>
  <si>
    <t>Libros de enseñanza técnico profesional</t>
  </si>
  <si>
    <t>Libros de literatura general</t>
  </si>
  <si>
    <t>Libros de literatura infantil</t>
  </si>
  <si>
    <t>Libros en hojas sueltas</t>
  </si>
  <si>
    <t>Libros o folletos cartográficos</t>
  </si>
  <si>
    <t xml:space="preserve">Tarjetas postales impresas o ilustradas; tarjetas impresas </t>
  </si>
  <si>
    <t>Películas cinematográficas impresionadas y reveladas</t>
  </si>
  <si>
    <t>Planos o dibujos hechos a mano de arquitectura o topográficos</t>
  </si>
  <si>
    <t>Catálogos comerciales e impresos publicitarios</t>
  </si>
  <si>
    <t>Otros impresos no libros</t>
  </si>
  <si>
    <t>FUENTE: Servicio Nacional de Aduanas (SNA). Cifras sector cultura y tiempo libre, en base a listado de códigos de productos culturales entregados por el Consejo Nacional de la Cultura las Artes (CNCA).</t>
  </si>
  <si>
    <r>
      <t>CUADRO 2.4-05: EXPORTACIONES DE BIENES Y PRODUCTOS CULTURALES POR  PAÍS DE DESTINO, SEGÚN DOMINIO Y SUBDOMINIO CULTURAL. 2013</t>
    </r>
    <r>
      <rPr>
        <b/>
        <vertAlign val="superscript"/>
        <sz val="8"/>
        <rFont val="Verdana"/>
        <family val="2"/>
      </rPr>
      <t>/1</t>
    </r>
  </si>
  <si>
    <r>
      <t>País</t>
    </r>
    <r>
      <rPr>
        <b/>
        <vertAlign val="superscript"/>
        <sz val="8"/>
        <rFont val="Verdana"/>
        <family val="2"/>
      </rPr>
      <t>/2</t>
    </r>
  </si>
  <si>
    <t>Argentina</t>
  </si>
  <si>
    <t>Brasil</t>
  </si>
  <si>
    <t>Perú</t>
  </si>
  <si>
    <t>México</t>
  </si>
  <si>
    <t>EEUU</t>
  </si>
  <si>
    <t>Resto de América</t>
  </si>
  <si>
    <t>España</t>
  </si>
  <si>
    <t>Resto de Europa</t>
  </si>
  <si>
    <t>Oceanía</t>
  </si>
  <si>
    <t>China</t>
  </si>
  <si>
    <t>Resto de Asia</t>
  </si>
  <si>
    <t>África</t>
  </si>
  <si>
    <t>Medios Informáticos</t>
  </si>
  <si>
    <r>
      <rPr>
        <b/>
        <sz val="8"/>
        <rFont val="Verdana"/>
        <family val="2"/>
      </rPr>
      <t xml:space="preserve">1 </t>
    </r>
    <r>
      <rPr>
        <sz val="8"/>
        <rFont val="Verdana"/>
        <family val="2"/>
      </rPr>
      <t>Los totales se calcularon a partir del valor FOB (Free on Board-Libre a bordo) en dólares (US$) 2013.</t>
    </r>
  </si>
  <si>
    <r>
      <rPr>
        <b/>
        <sz val="8"/>
        <rFont val="Verdana"/>
        <family val="2"/>
      </rPr>
      <t xml:space="preserve">2 </t>
    </r>
    <r>
      <rPr>
        <sz val="8"/>
        <rFont val="Verdana"/>
        <family val="2"/>
      </rPr>
      <t>Esta categoría contiene además, regiones como: resto de América, resto de Europa y resto de Asia y además, continentes como: Oceanía y África.</t>
    </r>
  </si>
  <si>
    <t>FUENTE: Servicio Nacional de Aduanas (SNA), según clasificación de códigos culturales del Consejo Nacional de la Cultura y las Artes (CNCA).</t>
  </si>
  <si>
    <r>
      <t>CUADRO 2.4-06: IMPORTACIONES DE BIENES Y PRODUCTOS CULTURALES POR PAÍS DE ORIGEN, SEGÚN DOMINIO Y SUBDOMINIO CULTURAL. 2013</t>
    </r>
    <r>
      <rPr>
        <b/>
        <vertAlign val="superscript"/>
        <sz val="8"/>
        <rFont val="Verdana"/>
        <family val="2"/>
      </rPr>
      <t>/1</t>
    </r>
  </si>
  <si>
    <t>Desconocido</t>
  </si>
  <si>
    <t>Artes Visuales</t>
  </si>
  <si>
    <t>Diarios y Revistas</t>
  </si>
  <si>
    <r>
      <rPr>
        <b/>
        <sz val="8"/>
        <rFont val="Verdana"/>
        <family val="2"/>
      </rPr>
      <t xml:space="preserve">1 </t>
    </r>
    <r>
      <rPr>
        <sz val="8"/>
        <rFont val="Verdana"/>
        <family val="2"/>
      </rPr>
      <t>Los totales se calcularon a partir del valor CIF (Cost, Insurance &amp; Freight-Costo, Seguro y Flete) en dólares (US$) 2013.</t>
    </r>
  </si>
  <si>
    <t>FUENTE: Servicio Nacional de Aduanas (SNA), según clasificación de códigos culturales CNCA.</t>
  </si>
  <si>
    <r>
      <t>CUADRO 2.4-07: EXPORTACIONES DE SERVICIOS CULTURALES, SEGÚN DOMINIO Y SUBDOMINIO CULTURAL. 2008-2013</t>
    </r>
    <r>
      <rPr>
        <b/>
        <vertAlign val="superscript"/>
        <sz val="8"/>
        <rFont val="Verdana"/>
        <family val="2"/>
      </rPr>
      <t>/1/2/3</t>
    </r>
  </si>
  <si>
    <t>Edición libros</t>
  </si>
  <si>
    <t>Edición prensa</t>
  </si>
  <si>
    <t>Imprenta</t>
  </si>
  <si>
    <t>Servicios creativos</t>
  </si>
  <si>
    <t>Asesoría legal en propiedad intelectual</t>
  </si>
  <si>
    <r>
      <rPr>
        <b/>
        <sz val="8"/>
        <rFont val="Verdana"/>
        <family val="2"/>
      </rPr>
      <t xml:space="preserve">2 </t>
    </r>
    <r>
      <rPr>
        <sz val="8"/>
        <rFont val="Verdana"/>
        <family val="2"/>
      </rPr>
      <t>Se debe considerar que en el 2013 se produjo una renovación de códigos de parte del Servicio Nacional de Aduanas y una revisión de códigos culturales de parte del Consejo de la Cultura, lo que determina que la versión 2013 de Cultura y Tiempo Libre se incluyan los siguiente códigos que no habían sido considerados en los anuarios anteriores: servicios de asesoría legal en materia de propiedad intelectual; servicios de asesoría en estrategia comunicacional y publicidad (marketing); servicios de asesoría en tecnologías de la información; servicios de administración de empresas editoras e impresoras; servicios de diseño de aplicaciones de tecnologías de la información para uso específico del cliente; servicio de licenciamiento y/o arriendo de software; servicios de administración de redes computacionales por vía remota (internet); servicios de suministro de audio musical para empresas ubicadas en el extranjero; servicios de suministro de audio en linea por internet (streaming), para empresas ubicadas en el extranjero; servicios de suministro de vídeo en línea por internet (streaming) para empresas ubicadas en el extranjero; servicios de suministro de juegos en línea por internet mediante la modalidad de tarjetas de prepago para empresas ubicadas en el extranjero; servicios de mensajería de texto, audio y/o video suministrados mediante plataforma computacional conectada con sistemas de telefonía móvil; servicios de diseño de arquitectura para proyectos de edificación residencial; servicios de producción de originales de programas de radiodifusión; servicios de diseño de vestuario; servicios de corrección de estilo en el lenguaje escrito; servicios de corrección de pruebas de impresión; servicios de trabajos originales de autor de guiones para telenovelas y obras de teatro.</t>
    </r>
  </si>
  <si>
    <r>
      <rPr>
        <b/>
        <sz val="8"/>
        <rFont val="Verdana"/>
        <family val="2"/>
      </rPr>
      <t xml:space="preserve">3 </t>
    </r>
    <r>
      <rPr>
        <sz val="8"/>
        <rFont val="Verdana"/>
        <family val="2"/>
      </rPr>
      <t>Con respecto a los anuarios anteriores, se han eliminado los siguientes códigos: servicios de asesoría en gestión logística de empresas; servicios de telecomunicaciones por internet para señales en tránsito; servicios de estudios de mercados; servicios de simulación y modelamiento computacional de estructuras y sistemas, mediante el uso de aplicaciones informáticas.</t>
    </r>
  </si>
  <si>
    <r>
      <t>CUADRO 2.4-08: DETALLE DE EXPORTACIONES DE SERVICIOS CULTURALES SEGÚN DOMINIO Y SUBDOMINIO CULTURAL. 2013</t>
    </r>
    <r>
      <rPr>
        <b/>
        <vertAlign val="superscript"/>
        <sz val="8"/>
        <rFont val="Verdana"/>
        <family val="2"/>
      </rPr>
      <t>/1</t>
    </r>
  </si>
  <si>
    <t>MONTO 2013</t>
  </si>
  <si>
    <t>Servicios de grabación de sonido</t>
  </si>
  <si>
    <t>Servicios de postproducción de sonido</t>
  </si>
  <si>
    <t>Servicios de administración de empresas editoras e impresoras</t>
  </si>
  <si>
    <t>Servicios de corrección de estilo en el lenguaje escrito</t>
  </si>
  <si>
    <t>Servicios de edición de publicaciones técnicas</t>
  </si>
  <si>
    <t>Servicios de traducción de textos escritos</t>
  </si>
  <si>
    <t>Servicios de agencias de prensa para periódicos y revistas</t>
  </si>
  <si>
    <t>Servicios de corrección de pruebas de impresión</t>
  </si>
  <si>
    <t>Servicios relacionados con la imprenta</t>
  </si>
  <si>
    <t>Servicios de filmación de películas (largometrajes, documentales, series, dibujos animados, etc.), para su proyección en salas de cine y televisión.</t>
  </si>
  <si>
    <t>Servicios de filmación de películas cinematográficas para promoción o publicidad (comerciales)</t>
  </si>
  <si>
    <t>Servicios de postproducción de películas cinematográficas y cintas de video</t>
  </si>
  <si>
    <t>Servicios de producción de originales de programas de radiodifusión</t>
  </si>
  <si>
    <t>Servicios de agencias de prensa para medios audiovisuales</t>
  </si>
  <si>
    <t>Servicios de difusión de televisión satelital por cuenta de empresas de distribución de televisión satelital extranjeras</t>
  </si>
  <si>
    <t>Servicios de medición de rating de televisión abierta y por cable</t>
  </si>
  <si>
    <t>Servicios de producción de originales de programas de televisión</t>
  </si>
  <si>
    <t>Servicios de trabajos originales de autor de guiones para telenovelas y obras de teatro</t>
  </si>
  <si>
    <t>Servicios de animación</t>
  </si>
  <si>
    <t>Servicios de asesoría en arquitectura</t>
  </si>
  <si>
    <t>Servicios de asesoría en arquitectura paisajista para proyectos de recreación y espacios abiertos</t>
  </si>
  <si>
    <t>Servicios de asesoría en arquitectura para proyectos de edificación no residencial</t>
  </si>
  <si>
    <t>Servicios de asesoría en arquitectura para proyectos de edificación residencial</t>
  </si>
  <si>
    <t>Servicios de dibujo técnico de ingeniería y arquitectura</t>
  </si>
  <si>
    <t>Servicios de diseño de arquitectura para proyectos de edificación no residencial</t>
  </si>
  <si>
    <t>Servicios de diseño de arquitectura para proyectos de edificación residencial</t>
  </si>
  <si>
    <t>Servicios de diseño de interiores</t>
  </si>
  <si>
    <t>Servicios de diseño de vestuario</t>
  </si>
  <si>
    <t>Servicios de diseño gráfico</t>
  </si>
  <si>
    <t>Servicios de diseño industrial</t>
  </si>
  <si>
    <t>Servicios de asesoría en estrategia comunicacional y publicidad (marketing)</t>
  </si>
  <si>
    <t>Servicios de creación y planificación de publicidad</t>
  </si>
  <si>
    <t>Servicios de diseño publicitario</t>
  </si>
  <si>
    <t>Servicios de fotografía publicitaria</t>
  </si>
  <si>
    <t>Servicios de diseño de páginas web</t>
  </si>
  <si>
    <t>Servicios de asesoría legal en materia de propiedad intelectual</t>
  </si>
  <si>
    <t>Servicio de licenciamiento y/o arriendo de software</t>
  </si>
  <si>
    <t>Servicios de administración de redes computacionales, por via remota (internet)</t>
  </si>
  <si>
    <t>Servicios de apoyo técnico en computación e informática (mantenimiento y reparación), por vía remota (internet)</t>
  </si>
  <si>
    <t>Servicios de asesoría en tecnologías de la información</t>
  </si>
  <si>
    <t>Servicios de diseño de aplicaciones de tecnologías de la información para uso específico del cliente</t>
  </si>
  <si>
    <t>Servicios de diseño de bases de datos</t>
  </si>
  <si>
    <t>Servicios de diseño de redes y sistemas computacionales</t>
  </si>
  <si>
    <t>Servicios de diseño de software original</t>
  </si>
  <si>
    <t>Servicios de evaluación y/o certificación de productos o procesos informáticos</t>
  </si>
  <si>
    <t>Servicios de mensajería de texto, audio y/o video, suministrados mediante plataforma computacional conectada con sistemas de telefonía móvil</t>
  </si>
  <si>
    <t>Servicios de parametrización de aplicaciones de software pre-existentes</t>
  </si>
  <si>
    <t>Servicios de suministro de aplicaciones computacionales en línea, vía internet</t>
  </si>
  <si>
    <t>Servicios de suministro de audio en linea por internet (streaming) para empresas ubicadas en el extranjero</t>
  </si>
  <si>
    <t>Servicios de suministro de audio musical para empresas ubicadas en el extranjero</t>
  </si>
  <si>
    <t>Servicios de suministro de infraestructura para operar tecnologías de la información</t>
  </si>
  <si>
    <t>Servicios de suministro de juegos en línea por internet mediante la modalidad de tarjetas de prepago para empresas ubicadas en el extranjero</t>
  </si>
  <si>
    <t>Servicios de suministro de sedes ("hosting") para sitios Web</t>
  </si>
  <si>
    <t>Servicios de suministro de vídeo en linea por internet (streaming) para empresas ubicadas en el extranjero</t>
  </si>
  <si>
    <r>
      <rPr>
        <b/>
        <sz val="8"/>
        <rFont val="Verdana"/>
        <family val="2"/>
      </rPr>
      <t>1</t>
    </r>
    <r>
      <rPr>
        <sz val="8"/>
        <rFont val="Verdana"/>
        <family val="2"/>
      </rPr>
      <t xml:space="preserve"> Los totales se calcularon a partir del valor FOB (Free on Board-Libre a bordo) en dólares (US$) 2013.</t>
    </r>
  </si>
  <si>
    <r>
      <t>CUADRO 2.4-09: EXPORTACIONES DE SERVICIOS CULTURALES POR  PAÍS DE DESTINO, SEGÚN DOMINIO Y SUBDOMINIO CULTURAL. 2013</t>
    </r>
    <r>
      <rPr>
        <b/>
        <vertAlign val="superscript"/>
        <sz val="8"/>
        <rFont val="Verdana"/>
        <family val="2"/>
      </rPr>
      <t>/1</t>
    </r>
  </si>
  <si>
    <t>US.A.</t>
  </si>
  <si>
    <t>2.5 FONDOS CNCA</t>
  </si>
  <si>
    <t>CUADRO 2.5-01: NÚMERO Y MONTOS DE PROYECTOS POSTULADOS, ELEGIBLES Y SELECCIONADOS, SEGÚN FONDOS CONCURSABLES DEL CONSEJO NACIONAL DE LA CULTURA Y LAS ARTES (CNCA). 2013</t>
  </si>
  <si>
    <t>CUADRO 2.5-02: NÚMERO DE PROYECTOS Y MONTOS ADJUDICADOS DEL FONDO NACIONAL DE DESARROLLO CULTURAL Y LAS ARTES (FONDART) PARA CONCURSO NACIONAL, SEGÚN REGIÓN. 2013/a/b</t>
  </si>
  <si>
    <t>CUADRO 2.5-03: NÚMERO DE PROYECTOS Y MONTOS ADJUDICADOS DEL FONDO NACIONAL DE DESARROLLO CULTURAL Y LAS ARTES (FONDART) PARA CONCURSO REGIONAL, SEGÚN REGIÓN DEL FONDO ENTREGADO. 2013/a/b</t>
  </si>
  <si>
    <t>CUADRO 2.5-04: NÚMERO DE PROYECTOS Y MONTOS ADJUDICADOS POR FONDO DEL LIBRO, SEGÚN REGIÓN DE DOMICILIO DEL PARTICIPANTE. 2013 /a/b</t>
  </si>
  <si>
    <t>CUADRO 2.5-05: NÚMERO DE PROYECTOS Y MONTOS ADJUDICADOS POR FONDO DE LA MÚSICA, SEGÚN REGIÓN DE DOMICILIO DEL PARTICIPANTE. 2013</t>
  </si>
  <si>
    <t>CUADRO 2.5-06: NÚMERO DE PROYECTOS Y MONTOS ADJUDICADOS POR FONDO AUDIOVISUAL, SEGÚN REGIÓN DE DOMICILIO DEL PARTICIPANTE. 2013</t>
  </si>
  <si>
    <t>CUADRO 2.5-07: NÚMERO DE PROYECTOS POSTULADOS Y SELECCIONADOS Y RECURSOS ASIGNADOS POR TIPO DE PERSONALIDAD JURÍDICA, SEGÚN FONDO Y AÑO. 2009-2013</t>
  </si>
  <si>
    <t>CUADRO 2.5-08: NÚMERO DE PROYECTOS POSTULADOS Y SELECCIONADOS Y RECURSOS ASIGNADOS POR SEXO, SEGÚN FONDO Y AÑO. 2009-2013</t>
  </si>
  <si>
    <t>FONDO</t>
  </si>
  <si>
    <t>Postulados</t>
  </si>
  <si>
    <t>Elegibles</t>
  </si>
  <si>
    <t>Seleccionados</t>
  </si>
  <si>
    <r>
      <t>N° Proyectos</t>
    </r>
    <r>
      <rPr>
        <b/>
        <vertAlign val="superscript"/>
        <sz val="8"/>
        <rFont val="Verdana"/>
        <family val="2"/>
      </rPr>
      <t>/1</t>
    </r>
  </si>
  <si>
    <t>Montos $</t>
  </si>
  <si>
    <t>N° Proyectos</t>
  </si>
  <si>
    <t>Fondo nacional de la cultura y las artes (Fondart nacional)</t>
  </si>
  <si>
    <t>Fondo nacional de la cultura y las artes (Fondart regional)</t>
  </si>
  <si>
    <t>Fondo del libro y la lectura</t>
  </si>
  <si>
    <t>Fondo de la música nacional</t>
  </si>
  <si>
    <t>Fondo audiovisual</t>
  </si>
  <si>
    <r>
      <rPr>
        <b/>
        <sz val="8"/>
        <rFont val="Verdana"/>
        <family val="2"/>
      </rPr>
      <t xml:space="preserve">1 </t>
    </r>
    <r>
      <rPr>
        <sz val="8"/>
        <rFont val="Verdana"/>
        <family val="2"/>
      </rPr>
      <t>La unidad básica es el proyecto postulado y no el postulante.</t>
    </r>
  </si>
  <si>
    <t>FUENTE: Consejo Nacional de la Cultura y las Artes (CNCA).</t>
  </si>
  <si>
    <t>CIFRAS PARA GRÁFICO</t>
  </si>
  <si>
    <t>Fondo</t>
  </si>
  <si>
    <t>Fondart (nacional y regional)</t>
  </si>
  <si>
    <r>
      <t>CUADRO 2.5-02: NÚMERO DE PROYECTOS Y MONTOS ADJUDICADOS DEL FONDO NACIONAL DE DESARROLLO CULTURAL Y LAS ARTES (FONDART) PARA CONCURSO NACIONAL, SEGÚN REGIÓN. 2013</t>
    </r>
    <r>
      <rPr>
        <b/>
        <vertAlign val="superscript"/>
        <sz val="8"/>
        <rFont val="Verdana"/>
        <family val="2"/>
      </rPr>
      <t>/a/b</t>
    </r>
  </si>
  <si>
    <r>
      <t>Apoyo, intercambio y difusión cultural</t>
    </r>
    <r>
      <rPr>
        <b/>
        <vertAlign val="superscript"/>
        <sz val="8"/>
        <rFont val="Verdana"/>
        <family val="2"/>
      </rPr>
      <t>/2</t>
    </r>
  </si>
  <si>
    <t>Formación</t>
  </si>
  <si>
    <t>Investigación</t>
  </si>
  <si>
    <r>
      <t>Creación</t>
    </r>
    <r>
      <rPr>
        <b/>
        <vertAlign val="superscript"/>
        <sz val="8"/>
        <rFont val="Verdana"/>
        <family val="2"/>
      </rPr>
      <t>/3</t>
    </r>
  </si>
  <si>
    <t>Fomento de la arquitectura</t>
  </si>
  <si>
    <t>Fomento a organizaciones culturales</t>
  </si>
  <si>
    <t>Fomento del mercado para las artes</t>
  </si>
  <si>
    <t>N° de proyectos</t>
  </si>
  <si>
    <t>Monto adjudicado ($)</t>
  </si>
  <si>
    <t>Magallanes y la Antártica</t>
  </si>
  <si>
    <r>
      <t>Otro</t>
    </r>
    <r>
      <rPr>
        <vertAlign val="superscript"/>
        <sz val="8"/>
        <rFont val="Verdana"/>
        <family val="2"/>
      </rPr>
      <t>/1</t>
    </r>
  </si>
  <si>
    <r>
      <rPr>
        <b/>
        <sz val="8"/>
        <rFont val="Verdana"/>
        <family val="2"/>
      </rPr>
      <t>a</t>
    </r>
    <r>
      <rPr>
        <sz val="8"/>
        <rFont val="Verdana"/>
        <family val="2"/>
      </rPr>
      <t xml:space="preserve"> A diferencia del Fondart regional, este fondo cuenta sólo con una instancia de selección nacional. La distribución regional de los seleccionados se realiza a partir de la dirección inscrita por el postulante.</t>
    </r>
  </si>
  <si>
    <r>
      <rPr>
        <b/>
        <sz val="8"/>
        <rFont val="Verdana"/>
        <family val="2"/>
      </rPr>
      <t xml:space="preserve">b </t>
    </r>
    <r>
      <rPr>
        <sz val="8"/>
        <rFont val="Verdana"/>
        <family val="2"/>
      </rPr>
      <t>El número de proyectos y de monto adjudicado por línea, corresponden a la suma total de los concursos durante el año.</t>
    </r>
  </si>
  <si>
    <r>
      <rPr>
        <b/>
        <sz val="8"/>
        <rFont val="Verdana"/>
        <family val="2"/>
      </rPr>
      <t>1</t>
    </r>
    <r>
      <rPr>
        <sz val="8"/>
        <rFont val="Verdana"/>
        <family val="2"/>
      </rPr>
      <t xml:space="preserve"> La categoría "Otro" incluye a proyectos cuyos postulantes tienen domicilio en el extranjero y otros que según base de datos aparece sin registro de dirección.</t>
    </r>
  </si>
  <si>
    <r>
      <rPr>
        <b/>
        <sz val="8"/>
        <rFont val="Verdana"/>
        <family val="2"/>
      </rPr>
      <t>2</t>
    </r>
    <r>
      <rPr>
        <sz val="8"/>
        <rFont val="Verdana"/>
        <family val="2"/>
      </rPr>
      <t xml:space="preserve"> Ventanilla abierta</t>
    </r>
  </si>
  <si>
    <r>
      <rPr>
        <b/>
        <sz val="8"/>
        <rFont val="Verdana"/>
        <family val="2"/>
      </rPr>
      <t xml:space="preserve">3 </t>
    </r>
    <r>
      <rPr>
        <sz val="8"/>
        <rFont val="Verdana"/>
        <family val="2"/>
      </rPr>
      <t>Creación incluye las líneas de fomento de la arquitectura, fomento de la artesanía, fomento de las artes de la visualidad, fomento de las artes escénicas y fomento del diseño.</t>
    </r>
  </si>
  <si>
    <r>
      <t>CUADRO 2.5-03: NÚMERO DE PROYECTOS Y MONTOS ADJUDICADOS DEL FONDO NACIONAL DE DESARROLLO CULTURAL Y LAS ARTES (FONDART) PARA CONCURSO REGIONAL, SEGÚN REGIÓN DEL FONDO ENTREGADO. 2013</t>
    </r>
    <r>
      <rPr>
        <b/>
        <vertAlign val="superscript"/>
        <sz val="8"/>
        <rFont val="Verdana"/>
        <family val="2"/>
      </rPr>
      <t>/a/b</t>
    </r>
  </si>
  <si>
    <t>REGIÓN DEL FONDO ENTREGADO</t>
  </si>
  <si>
    <r>
      <t>Formación e investigación</t>
    </r>
    <r>
      <rPr>
        <b/>
        <vertAlign val="superscript"/>
        <sz val="8"/>
        <rFont val="Verdana"/>
        <family val="2"/>
      </rPr>
      <t>/1</t>
    </r>
  </si>
  <si>
    <r>
      <t>Creación</t>
    </r>
    <r>
      <rPr>
        <b/>
        <vertAlign val="superscript"/>
        <sz val="8"/>
        <rFont val="Verdana"/>
        <family val="2"/>
      </rPr>
      <t>/2</t>
    </r>
  </si>
  <si>
    <t>Fomento al mejoramiento de la infraestructura cultural</t>
  </si>
  <si>
    <t>Conservación y difusión del patrimonio cultural</t>
  </si>
  <si>
    <t>Desarrollo cultural regional</t>
  </si>
  <si>
    <t>Desarrollo de las culturas indígenas</t>
  </si>
  <si>
    <t>Fomento para la difusión y el mercado de las artes</t>
  </si>
  <si>
    <r>
      <t>Apoyo, intercambio y difusión cultural</t>
    </r>
    <r>
      <rPr>
        <b/>
        <vertAlign val="superscript"/>
        <sz val="8"/>
        <rFont val="Verdana"/>
        <family val="2"/>
      </rPr>
      <t>/3</t>
    </r>
  </si>
  <si>
    <t>N° de  proyectos</t>
  </si>
  <si>
    <r>
      <rPr>
        <b/>
        <sz val="8"/>
        <rFont val="Verdana"/>
        <family val="2"/>
      </rPr>
      <t>a</t>
    </r>
    <r>
      <rPr>
        <sz val="8"/>
        <rFont val="Verdana"/>
        <family val="2"/>
      </rPr>
      <t xml:space="preserve"> El presente cuadro da cuenta de los proyectos seleccionados por región y modalidad Fondart regional. La distribución regional de los seleccionados se realiza a partir de la región a la que pertenece el fondo entregado.</t>
    </r>
  </si>
  <si>
    <r>
      <rPr>
        <b/>
        <sz val="8"/>
        <rFont val="Verdana"/>
        <family val="2"/>
      </rPr>
      <t xml:space="preserve">b </t>
    </r>
    <r>
      <rPr>
        <sz val="8"/>
        <rFont val="Verdana"/>
        <family val="2"/>
      </rPr>
      <t>El número de proyectos y de monto adjudicado por línea, corresponden a la suma total de los concursos durante la convocatoria del año.</t>
    </r>
  </si>
  <si>
    <r>
      <rPr>
        <b/>
        <sz val="8"/>
        <rFont val="Verdana"/>
        <family val="2"/>
      </rPr>
      <t>1</t>
    </r>
    <r>
      <rPr>
        <sz val="8"/>
        <rFont val="Verdana"/>
        <family val="2"/>
      </rPr>
      <t xml:space="preserve"> Investigación y actividades formativas 2011, pasó a llamarse Formación e investigación en 2012.</t>
    </r>
  </si>
  <si>
    <r>
      <rPr>
        <b/>
        <sz val="8"/>
        <rFont val="Verdana"/>
        <family val="2"/>
      </rPr>
      <t xml:space="preserve">2 </t>
    </r>
    <r>
      <rPr>
        <sz val="8"/>
        <rFont val="Verdana"/>
        <family val="2"/>
      </rPr>
      <t>Creación incorpora la línea fomento de las artes y fomento de la artesanía.</t>
    </r>
  </si>
  <si>
    <r>
      <rPr>
        <b/>
        <sz val="8"/>
        <rFont val="Verdana"/>
        <family val="2"/>
      </rPr>
      <t xml:space="preserve">3 </t>
    </r>
    <r>
      <rPr>
        <sz val="8"/>
        <rFont val="Verdana"/>
        <family val="2"/>
      </rPr>
      <t>Ventanilla Abierta.</t>
    </r>
  </si>
  <si>
    <r>
      <t xml:space="preserve">CUADRO 2.5-04: NÚMERO DE PROYECTOS Y MONTOS ADJUDICADOS POR FONDO DEL LIBRO, SEGÚN REGIÓN DE DOMICILIO DEL PARTICIPANTE. 2013 </t>
    </r>
    <r>
      <rPr>
        <b/>
        <vertAlign val="superscript"/>
        <sz val="8"/>
        <rFont val="Verdana"/>
        <family val="2"/>
      </rPr>
      <t>/a/b</t>
    </r>
  </si>
  <si>
    <t>REGIÓN DE DOMICILIO DEL PARTICIPANTE</t>
  </si>
  <si>
    <t>Fomento a la creación</t>
  </si>
  <si>
    <r>
      <t>Fomento a la industria del libro</t>
    </r>
    <r>
      <rPr>
        <b/>
        <vertAlign val="superscript"/>
        <sz val="8"/>
        <rFont val="Verdana"/>
        <family val="2"/>
      </rPr>
      <t>/2</t>
    </r>
  </si>
  <si>
    <t>Fomento de la lectura</t>
  </si>
  <si>
    <r>
      <t xml:space="preserve"> Apoyo para el desarrollo y difusión de autores, obras e industria editorial</t>
    </r>
    <r>
      <rPr>
        <b/>
        <vertAlign val="superscript"/>
        <sz val="8"/>
        <rFont val="Verdana"/>
        <family val="2"/>
      </rPr>
      <t>/3</t>
    </r>
  </si>
  <si>
    <t xml:space="preserve"> Programa de apoyo a la traducción</t>
  </si>
  <si>
    <r>
      <t xml:space="preserve">Otro </t>
    </r>
    <r>
      <rPr>
        <vertAlign val="superscript"/>
        <sz val="8"/>
        <rFont val="Verdana"/>
        <family val="2"/>
      </rPr>
      <t>/1</t>
    </r>
  </si>
  <si>
    <r>
      <rPr>
        <b/>
        <sz val="8"/>
        <rFont val="Verdana"/>
        <family val="2"/>
      </rPr>
      <t xml:space="preserve">a </t>
    </r>
    <r>
      <rPr>
        <sz val="8"/>
        <rFont val="Verdana"/>
        <family val="2"/>
      </rPr>
      <t>A diferencia del Fondart regional, este fondo cuenta sólo con una instancia de selección nacional. La distribución regional de los seleccionados se realiza a partir de la dirección inscrita por el postulante.</t>
    </r>
  </si>
  <si>
    <r>
      <rPr>
        <b/>
        <sz val="8"/>
        <rFont val="Verdana"/>
        <family val="2"/>
      </rPr>
      <t xml:space="preserve">b </t>
    </r>
    <r>
      <rPr>
        <sz val="8"/>
        <rFont val="Verdana"/>
        <family val="2"/>
      </rPr>
      <t>El número de proyectos y de monto adjudicado por línea, corresponde a la suma total de los concursos durante el año.</t>
    </r>
  </si>
  <si>
    <r>
      <rPr>
        <b/>
        <sz val="8"/>
        <rFont val="Verdana"/>
        <family val="2"/>
      </rPr>
      <t xml:space="preserve">1 </t>
    </r>
    <r>
      <rPr>
        <sz val="8"/>
        <rFont val="Verdana"/>
        <family val="2"/>
      </rPr>
      <t>La categoría "Otro" incluye a proyectos cuyos postulantes tienen domicilio en el extranjero y otros que según base de datos aparece sin registro de dirección.</t>
    </r>
  </si>
  <si>
    <r>
      <rPr>
        <b/>
        <sz val="8"/>
        <rFont val="Verdana"/>
        <family val="2"/>
      </rPr>
      <t xml:space="preserve">2 </t>
    </r>
    <r>
      <rPr>
        <sz val="8"/>
        <rFont val="Verdana"/>
        <family val="2"/>
      </rPr>
      <t>Fomento a la industria y su internacionalización se llama fomento a la industria del libro y se elimina la línea fomento del libro.</t>
    </r>
  </si>
  <si>
    <r>
      <rPr>
        <b/>
        <sz val="8"/>
        <rFont val="Verdana"/>
        <family val="2"/>
      </rPr>
      <t xml:space="preserve">3 </t>
    </r>
    <r>
      <rPr>
        <sz val="8"/>
        <rFont val="Verdana"/>
        <family val="2"/>
      </rPr>
      <t>Línea corresponde a ventanilla abierta fondo del libro</t>
    </r>
  </si>
  <si>
    <t>Convocatoria de coros, orquestas y bandas instrumentales</t>
  </si>
  <si>
    <t>Creación y producción</t>
  </si>
  <si>
    <t>Actividades presenciales</t>
  </si>
  <si>
    <t>Industria</t>
  </si>
  <si>
    <t>Medios de comunicación masiva</t>
  </si>
  <si>
    <r>
      <t>Promoción al desarrollo de artistas nacionales en el extranjero programa piloto</t>
    </r>
    <r>
      <rPr>
        <b/>
        <sz val="8"/>
        <color rgb="FFFF0000"/>
        <rFont val="Verdana"/>
        <family val="2"/>
      </rPr>
      <t xml:space="preserve">
</t>
    </r>
  </si>
  <si>
    <r>
      <t>Otro</t>
    </r>
    <r>
      <rPr>
        <vertAlign val="superscript"/>
        <sz val="8"/>
        <rFont val="Verdana"/>
        <family val="2"/>
      </rPr>
      <t xml:space="preserve"> /1</t>
    </r>
  </si>
  <si>
    <t>Creación audiovisual</t>
  </si>
  <si>
    <t>Fomento a la producción de guiones</t>
  </si>
  <si>
    <r>
      <t xml:space="preserve"> Apoyo a la comercialización y distribución</t>
    </r>
    <r>
      <rPr>
        <b/>
        <vertAlign val="superscript"/>
        <sz val="8"/>
        <rFont val="Verdana"/>
        <family val="2"/>
      </rPr>
      <t>/2</t>
    </r>
  </si>
  <si>
    <r>
      <t>Apoyo a la exhibición de cine nacional</t>
    </r>
    <r>
      <rPr>
        <b/>
        <vertAlign val="superscript"/>
        <sz val="8"/>
        <rFont val="Verdana"/>
        <family val="2"/>
      </rPr>
      <t>/3</t>
    </r>
  </si>
  <si>
    <r>
      <t>Difusión e implementación de equipamiento</t>
    </r>
    <r>
      <rPr>
        <b/>
        <vertAlign val="superscript"/>
        <sz val="8"/>
        <rFont val="Verdana"/>
        <family val="2"/>
      </rPr>
      <t>/4</t>
    </r>
  </si>
  <si>
    <r>
      <t>Producción audiovisual</t>
    </r>
    <r>
      <rPr>
        <b/>
        <vertAlign val="superscript"/>
        <sz val="8"/>
        <rFont val="Verdana"/>
        <family val="2"/>
      </rPr>
      <t>/5</t>
    </r>
  </si>
  <si>
    <r>
      <t>Investigación</t>
    </r>
    <r>
      <rPr>
        <b/>
        <vertAlign val="superscript"/>
        <sz val="8"/>
        <rFont val="Verdana"/>
        <family val="2"/>
      </rPr>
      <t>/6</t>
    </r>
  </si>
  <si>
    <r>
      <t>Formación</t>
    </r>
    <r>
      <rPr>
        <b/>
        <vertAlign val="superscript"/>
        <sz val="8"/>
        <rFont val="Verdana"/>
        <family val="2"/>
      </rPr>
      <t>/7</t>
    </r>
  </si>
  <si>
    <t xml:space="preserve"> Formación capacitación regional</t>
  </si>
  <si>
    <r>
      <rPr>
        <b/>
        <sz val="8"/>
        <rFont val="Verdana"/>
        <family val="2"/>
      </rPr>
      <t>2</t>
    </r>
    <r>
      <rPr>
        <sz val="8"/>
        <rFont val="Verdana"/>
        <family val="2"/>
      </rPr>
      <t xml:space="preserve"> Línea nueva apoyo a la comercialización.</t>
    </r>
  </si>
  <si>
    <r>
      <rPr>
        <b/>
        <sz val="8"/>
        <rFont val="Verdana"/>
        <family val="2"/>
      </rPr>
      <t>3</t>
    </r>
    <r>
      <rPr>
        <sz val="8"/>
        <rFont val="Verdana"/>
        <family val="2"/>
      </rPr>
      <t xml:space="preserve"> Línea nueva apoyo a la exhibición de cine nacional.</t>
    </r>
  </si>
  <si>
    <r>
      <rPr>
        <b/>
        <sz val="8"/>
        <rFont val="Verdana"/>
        <family val="2"/>
      </rPr>
      <t xml:space="preserve">4 </t>
    </r>
    <r>
      <rPr>
        <sz val="8"/>
        <rFont val="Verdana"/>
        <family val="2"/>
      </rPr>
      <t>Difusión y promoción de obras audiovisuales nacionales e implementación de equipamiento se llama para este concurso difusión e implementación de equipamiento.</t>
    </r>
  </si>
  <si>
    <r>
      <rPr>
        <b/>
        <sz val="8"/>
        <rFont val="Verdana"/>
        <family val="2"/>
      </rPr>
      <t xml:space="preserve">5 </t>
    </r>
    <r>
      <rPr>
        <sz val="8"/>
        <rFont val="Verdana"/>
        <family val="2"/>
      </rPr>
      <t>Producción de obras audiovisuales de largometraje y mediometraje pasó a llamarse producción audiovisual para este concurso.</t>
    </r>
  </si>
  <si>
    <r>
      <rPr>
        <b/>
        <sz val="8"/>
        <rFont val="Verdana"/>
        <family val="2"/>
      </rPr>
      <t xml:space="preserve">6 </t>
    </r>
    <r>
      <rPr>
        <sz val="8"/>
        <rFont val="Verdana"/>
        <family val="2"/>
      </rPr>
      <t>Investigación y actividades formativas en este concurso se llama investigación.</t>
    </r>
  </si>
  <si>
    <r>
      <rPr>
        <b/>
        <sz val="8"/>
        <rFont val="Verdana"/>
        <family val="2"/>
      </rPr>
      <t>7</t>
    </r>
    <r>
      <rPr>
        <sz val="8"/>
        <rFont val="Verdana"/>
        <family val="2"/>
      </rPr>
      <t xml:space="preserve"> Corresponde a la antigua categoría: becas.</t>
    </r>
  </si>
  <si>
    <t>FONDO Y AÑO</t>
  </si>
  <si>
    <t>Natural</t>
  </si>
  <si>
    <t>Jurídica</t>
  </si>
  <si>
    <t>Proyectos</t>
  </si>
  <si>
    <t>Recursos</t>
  </si>
  <si>
    <t>Fondart nacional</t>
  </si>
  <si>
    <t>Fondart regional</t>
  </si>
  <si>
    <t>Fondo del libro</t>
  </si>
  <si>
    <t>Fondo de la música</t>
  </si>
  <si>
    <r>
      <t>2010</t>
    </r>
    <r>
      <rPr>
        <vertAlign val="superscript"/>
        <sz val="8"/>
        <rFont val="Verdana"/>
        <family val="2"/>
      </rPr>
      <t>/a</t>
    </r>
  </si>
  <si>
    <r>
      <rPr>
        <b/>
        <sz val="8"/>
        <rFont val="Verdana"/>
        <family val="2"/>
      </rPr>
      <t xml:space="preserve">a </t>
    </r>
    <r>
      <rPr>
        <sz val="8"/>
        <rFont val="Verdana"/>
        <family val="2"/>
      </rPr>
      <t>Proyectos persona natural sin identificación del postulante.</t>
    </r>
  </si>
  <si>
    <t>2.6 PRESUPUESTO PÚBLICO</t>
  </si>
  <si>
    <t>CUADRO 2.6-01: PRESUPUESTO PÚBLICO DESTINADO A CULTURA Y TIEMPO LIBRE, SEGÚN INSTITUCIONES CULTURALES. 2013./1</t>
  </si>
  <si>
    <t>CUADRO 2.6-02: PRESUPUESTO PÚBLICO DESTINADO A CULTURA Y TIEMPO LIBRE, SEGÚN INSTITUCIONES AFINES A LA CULTURA. 2013/1</t>
  </si>
  <si>
    <t>CUADRO 2.6-03: PRESUPUESTO PÚBLICO DESTINADO A CULTURA Y TIEMPO LIBRE, SEGÚN INSTITUCIONES CON PROGRAMAS CULTURALES. 2013/1</t>
  </si>
  <si>
    <t>CUADRO 2.6-04: PRESUPUESTO PÚBLICO EJECUTADO DESTINADO A CULTURA Y TIEMPO LIBRE, SEGÚN INSTITUCIONES CON PROGRAMAS CULTURALES. 2013</t>
  </si>
  <si>
    <t>CUADRO 2.6-05: DISTRIBUCIÓN PORCENTUAL DEL PRESUPUESTO DESTINADO A CULTURA Y TIEMPO LIBRE, SEGÚN INSTITUCIONES CULTURALES, AFINES A LA CULTURA Y PROGRAMAS CULTURALES. 2013</t>
  </si>
  <si>
    <r>
      <t>CUADRO 2.6-01: PRESUPUESTO PÚBLICO DESTINADO A CULTURA Y TIEMPO LIBRE, SEGÚN INSTITUCIONES CULTURALES. 2013.</t>
    </r>
    <r>
      <rPr>
        <b/>
        <vertAlign val="superscript"/>
        <sz val="8"/>
        <rFont val="Verdana"/>
        <family val="2"/>
      </rPr>
      <t>/1</t>
    </r>
  </si>
  <si>
    <t>PRESUPUESTO</t>
  </si>
  <si>
    <t>Monto en miles de pesos</t>
  </si>
  <si>
    <t>Gasto presupuestario total del gobierno central</t>
  </si>
  <si>
    <t>Total presupuesto destinado a cultura por instituciones culturales</t>
  </si>
  <si>
    <t>Porcentaje del presupuesto del Gobierno que se destina a cultura (CNCA+Dibam)</t>
  </si>
  <si>
    <t xml:space="preserve">Programa </t>
  </si>
  <si>
    <t>Presupuesto en Miles de Pesos</t>
  </si>
  <si>
    <t>TOTAL PRESUPUESTO DE INSTITUCIONES CULTURALES</t>
  </si>
  <si>
    <t>Consejo Nacional de la Cultura y las Artes
Ministerio de Educación (CNCA)</t>
  </si>
  <si>
    <t>CNCA: Programa 01</t>
  </si>
  <si>
    <t xml:space="preserve">Fundación Artesanías de Chile </t>
  </si>
  <si>
    <r>
      <t>Corporación Cultural Municipalidad de Santiago</t>
    </r>
    <r>
      <rPr>
        <vertAlign val="superscript"/>
        <sz val="8"/>
        <rFont val="Verdana"/>
        <family val="2"/>
      </rPr>
      <t>/2</t>
    </r>
  </si>
  <si>
    <t>Orquestas Sinfónicas Juveniles e Infantiles de Chile</t>
  </si>
  <si>
    <t>Centro Cultural Palacio La Moneda</t>
  </si>
  <si>
    <t>Corporación Centro Cultural Gabriela Mistral (GAM)</t>
  </si>
  <si>
    <t>Fundación Internacional Teatro a Mil</t>
  </si>
  <si>
    <t>Corporación Centro Balmaceda 1215</t>
  </si>
  <si>
    <t>Corporación Cultural Matucana 100</t>
  </si>
  <si>
    <t>Sociedad de Escritores de Chile (SECH)</t>
  </si>
  <si>
    <t>Asociación de Pintores y Escultores de Chile</t>
  </si>
  <si>
    <t>Otras instituciones a las que se tranfiere</t>
  </si>
  <si>
    <t>Parque Cultural de Valparaíso</t>
  </si>
  <si>
    <t>Transferencias a Secretaría y Administración General y Servicio Exterior (Minrel)</t>
  </si>
  <si>
    <t>Actividades de Fomento y Desarrollo Cultural</t>
  </si>
  <si>
    <r>
      <t>Fondo de Fomento al Arte en la Educación</t>
    </r>
    <r>
      <rPr>
        <vertAlign val="superscript"/>
        <sz val="8"/>
        <rFont val="Verdana"/>
        <family val="2"/>
      </rPr>
      <t>/3</t>
    </r>
  </si>
  <si>
    <r>
      <t>Conjuntos Artísticos Estables</t>
    </r>
    <r>
      <rPr>
        <vertAlign val="superscript"/>
        <sz val="8"/>
        <rFont val="Verdana"/>
        <family val="2"/>
      </rPr>
      <t>/4</t>
    </r>
  </si>
  <si>
    <r>
      <t>Fomento al Desarrollo Cultural Local</t>
    </r>
    <r>
      <rPr>
        <vertAlign val="superscript"/>
        <sz val="8"/>
        <rFont val="Verdana"/>
        <family val="2"/>
      </rPr>
      <t>/5</t>
    </r>
  </si>
  <si>
    <r>
      <t>Fomento del Arte en la Educación</t>
    </r>
    <r>
      <rPr>
        <vertAlign val="superscript"/>
        <sz val="8"/>
        <rFont val="Verdana"/>
        <family val="2"/>
      </rPr>
      <t>/6</t>
    </r>
  </si>
  <si>
    <t>Fomento y Desarrollo del Patrimonio Nacional</t>
  </si>
  <si>
    <t>Apoyo a la Gestión de Entidades Culturales</t>
  </si>
  <si>
    <t>Programa Cultura Virtual</t>
  </si>
  <si>
    <t>Fondo del Patrimonio</t>
  </si>
  <si>
    <t>Centros Culturales</t>
  </si>
  <si>
    <t>Teatros Regionales</t>
  </si>
  <si>
    <t>Otros Programa 01 CNCA</t>
  </si>
  <si>
    <t>CNCA: Programa 02. Fondos culturales y artísticos</t>
  </si>
  <si>
    <t>Fondo Nacional de Fomento del Libro y la Lectura</t>
  </si>
  <si>
    <t>Fondo Nacional de Desarrollo Cultural y las Artes (Fondart)</t>
  </si>
  <si>
    <t>Fondo para el Fomento de la Música Nacional</t>
  </si>
  <si>
    <t>Fondo de Fomento Audiovisual</t>
  </si>
  <si>
    <t>Otros Programa 02 CNCA</t>
  </si>
  <si>
    <t>Dirección de Bibliotecas, Archivos y Museos.
Ministerio de Educación (Dibam)</t>
  </si>
  <si>
    <t>Dibam: Programa 01</t>
  </si>
  <si>
    <t>Corporación Parque por la Paz Villa Grimaldi</t>
  </si>
  <si>
    <t>Fundación Arte y Solidaridad</t>
  </si>
  <si>
    <t>Fundación Eduardo Frei Montalva</t>
  </si>
  <si>
    <t>Londres 38 Casa Memoria</t>
  </si>
  <si>
    <t>Museo San Francisco</t>
  </si>
  <si>
    <t>Fundación Museo de la Memoria</t>
  </si>
  <si>
    <t>Consejo de Monumentos Nacionales (CMN)</t>
  </si>
  <si>
    <t xml:space="preserve">Acciones culturales complementarias </t>
  </si>
  <si>
    <t>Otros Programa 1</t>
  </si>
  <si>
    <t>Dibam: Programa 02. Red de bibliotecas públicas</t>
  </si>
  <si>
    <r>
      <rPr>
        <b/>
        <sz val="8"/>
        <rFont val="Verdana"/>
        <family val="2"/>
      </rPr>
      <t xml:space="preserve">1 </t>
    </r>
    <r>
      <rPr>
        <sz val="8"/>
        <rFont val="Verdana"/>
        <family val="2"/>
      </rPr>
      <t>Todas las cifras, excepto cuando se indique, corresponden a las ofrecidas por la ley aprobada de presupuestos del sector público 2013. Todas las cifras, excepto cuando se indique están en miles de pesos nominales 2013.</t>
    </r>
  </si>
  <si>
    <r>
      <rPr>
        <b/>
        <sz val="8"/>
        <rFont val="Verdana"/>
        <family val="2"/>
      </rPr>
      <t xml:space="preserve">2 </t>
    </r>
    <r>
      <rPr>
        <sz val="8"/>
        <rFont val="Verdana"/>
        <family val="2"/>
      </rPr>
      <t>Administra el Teatro Municipal de Santiago.</t>
    </r>
  </si>
  <si>
    <r>
      <rPr>
        <b/>
        <sz val="8"/>
        <rFont val="Verdana"/>
        <family val="2"/>
      </rPr>
      <t xml:space="preserve">3 </t>
    </r>
    <r>
      <rPr>
        <sz val="8"/>
        <rFont val="Verdana"/>
        <family val="2"/>
      </rPr>
      <t>Corresponde a la denominación fondo concursable para escuelas artísticas del 2011.</t>
    </r>
  </si>
  <si>
    <r>
      <rPr>
        <b/>
        <sz val="8"/>
        <rFont val="Verdana"/>
        <family val="2"/>
      </rPr>
      <t xml:space="preserve">4 </t>
    </r>
    <r>
      <rPr>
        <sz val="8"/>
        <rFont val="Verdana"/>
        <family val="2"/>
      </rPr>
      <t>Incluye transferencias a la Orquesta de Cámara de Chile y al Ballet Folclórico Nacional.</t>
    </r>
  </si>
  <si>
    <r>
      <rPr>
        <b/>
        <sz val="8"/>
        <rFont val="Verdana"/>
        <family val="2"/>
      </rPr>
      <t xml:space="preserve">5 </t>
    </r>
    <r>
      <rPr>
        <sz val="8"/>
        <rFont val="Verdana"/>
        <family val="2"/>
      </rPr>
      <t>Incluye transferencias en función del convenio Servicio País Cultura a la Fundación Nacional para la Superación de la Pobreza. Corresponde a la denominación Arte y cultura en mi barrio, 2011.</t>
    </r>
  </si>
  <si>
    <r>
      <rPr>
        <b/>
        <sz val="8"/>
        <rFont val="Verdana"/>
        <family val="2"/>
      </rPr>
      <t xml:space="preserve">6 </t>
    </r>
    <r>
      <rPr>
        <sz val="8"/>
        <rFont val="Verdana"/>
        <family val="2"/>
      </rPr>
      <t>Corresponde a la denominación Fomento a la Creación Artística en la Educación.</t>
    </r>
  </si>
  <si>
    <t xml:space="preserve">FUENTE: Ley de Presupuestos del Sector Público Año 2013. Ley N° 20.641, publicada en el Diario Oficial del 22 de diciembre de 2012. </t>
  </si>
  <si>
    <r>
      <t>CUADRO 2.6-02: PRESUPUESTO PÚBLICO DESTINADO A CULTURA Y TIEMPO LIBRE, SEGÚN INSTITUCIONES AFINES A LA CULTURA. 2013</t>
    </r>
    <r>
      <rPr>
        <b/>
        <vertAlign val="superscript"/>
        <sz val="8"/>
        <rFont val="Verdana"/>
        <family val="2"/>
      </rPr>
      <t>/1</t>
    </r>
  </si>
  <si>
    <t>Total presupuesto destinado a cultura por instituciones afines a la cultura</t>
  </si>
  <si>
    <t>Porcentaje del presupuesto del Gobierno que se destina a cultura por instituciones afines a la cultura</t>
  </si>
  <si>
    <t>Programas</t>
  </si>
  <si>
    <t>Presupuesto en miles de pesos</t>
  </si>
  <si>
    <t>TOTAL PRESUPUESTO INSTITUCIONES AFINES A LA CULTURA</t>
  </si>
  <si>
    <t>Biblioteca del Congreso.
Congreso Nacional</t>
  </si>
  <si>
    <t>Presupuesto en Infraestructura Cultural Congreso Nacional</t>
  </si>
  <si>
    <t>Biblioteca del Congreso</t>
  </si>
  <si>
    <t>Consejo Nacional de Televisión.
Ministerio Secretaría General de Gobierno</t>
  </si>
  <si>
    <t>Consejo Nacional de Televisión (CNTV)</t>
  </si>
  <si>
    <t>Fondo de apoyo a programas culturales</t>
  </si>
  <si>
    <t>Fondo antena y medios de recepción satelital</t>
  </si>
  <si>
    <t>Programa de televisión educativa Novasur</t>
  </si>
  <si>
    <t>Otros Programas CNTV</t>
  </si>
  <si>
    <t>Parque Metropolitano.
Ministerio de Vivienda y Urbanismo</t>
  </si>
  <si>
    <t>Presupuesto destinado a cultura Minvu</t>
  </si>
  <si>
    <t>Parque Metropolitano</t>
  </si>
  <si>
    <t>Dirección de Asuntos Culturales (Dirac)
Secretaría y Administración General y Servicio Exterior.
Ministerio de Relaciones Exteriores</t>
  </si>
  <si>
    <r>
      <t>Presupuesto destinado a cultura Dirac</t>
    </r>
    <r>
      <rPr>
        <b/>
        <vertAlign val="superscript"/>
        <sz val="8"/>
        <rFont val="Verdana"/>
        <family val="2"/>
      </rPr>
      <t>/2</t>
    </r>
  </si>
  <si>
    <r>
      <rPr>
        <b/>
        <sz val="8"/>
        <rFont val="Verdana"/>
        <family val="2"/>
      </rPr>
      <t xml:space="preserve">1 </t>
    </r>
    <r>
      <rPr>
        <sz val="8"/>
        <rFont val="Verdana"/>
        <family val="2"/>
      </rPr>
      <t>Todas las cifras, excepto cuando se indique, corresponden a las ofrecidas por la ley aprobada de presupuestos del sector público 2013. Todas las cifras, excepto cuando se indique, están en miles de pesos nominales 2013.</t>
    </r>
  </si>
  <si>
    <r>
      <rPr>
        <b/>
        <sz val="8"/>
        <rFont val="Verdana"/>
        <family val="2"/>
      </rPr>
      <t>2</t>
    </r>
    <r>
      <rPr>
        <sz val="8"/>
        <rFont val="Verdana"/>
        <family val="2"/>
      </rPr>
      <t xml:space="preserve"> Esta cifra en particular, corresponde a la ejecución presupuestaria de Dirac. El detalle de ésta se encuentra en el cuadro 2.6-04.</t>
    </r>
  </si>
  <si>
    <r>
      <t>CUADRO 2.6-03: PRESUPUESTO PÚBLICO DESTINADO A CULTURA Y TIEMPO LIBRE, SEGÚN INSTITUCIONES CON PROGRAMAS CULTURALES. 2013</t>
    </r>
    <r>
      <rPr>
        <b/>
        <vertAlign val="superscript"/>
        <sz val="8"/>
        <rFont val="Verdana"/>
        <family val="2"/>
      </rPr>
      <t>/1</t>
    </r>
  </si>
  <si>
    <t>Monto en Miles de Pesos</t>
  </si>
  <si>
    <t>Total presupuesto destinado a cultura por instituciones con programas culturales</t>
  </si>
  <si>
    <t>Porcentaje del presupuesto del Gobierno que se destina a cultura en instituciones con programas culturales</t>
  </si>
  <si>
    <t>Programas culturales</t>
  </si>
  <si>
    <t>TOTAL PRESUPUESTO INSTITUCIONES CON PROGRAMAS CULTURALES</t>
  </si>
  <si>
    <t>Corporación de Fomento de la Producción.
Ministerio de Economía, Fomento y Reconstrucción</t>
  </si>
  <si>
    <t>Presupuesto Infraestructura Cultural, Minecon</t>
  </si>
  <si>
    <t>Programa patrimonio cultural Valparaíso</t>
  </si>
  <si>
    <t>Corporación Nacional de Desarrollo Indígena.
Ministerio de Desarrollo Social</t>
  </si>
  <si>
    <t>Presupuesto destinado a cultura, Conadi (Programa 1)</t>
  </si>
  <si>
    <t>Fondo de eesarrollo indígena e instrumentos cofinanciados de Apoyo</t>
  </si>
  <si>
    <t>Fondo de cultura y educación indígena y programa de apoyo al fondo</t>
  </si>
  <si>
    <t>Protección del medio ambiente y recursos naturales</t>
  </si>
  <si>
    <t>Consulta a los pueblos indígenas</t>
  </si>
  <si>
    <t>Transferencias a la Junta Nacional de Auxilio Escolar y Becas (Junaeb)</t>
  </si>
  <si>
    <t>Corporación Nacional Forestal.
Ministerio de Agricultura</t>
  </si>
  <si>
    <t>Presupuesto destinado a cultura, Conaf</t>
  </si>
  <si>
    <t>Áreas Silvestres Protegidas (ASP)</t>
  </si>
  <si>
    <t>Fondo para investigación ley bosque nativo</t>
  </si>
  <si>
    <t>Proyecto Bosque Modelo</t>
  </si>
  <si>
    <t>Presupuesto Municipal en Cultura</t>
  </si>
  <si>
    <t>Programas municipales destinados a cultura</t>
  </si>
  <si>
    <r>
      <t>Programas municipales destinados a Cultura</t>
    </r>
    <r>
      <rPr>
        <vertAlign val="superscript"/>
        <sz val="8"/>
        <rFont val="Verdana"/>
        <family val="2"/>
      </rPr>
      <t>/2</t>
    </r>
  </si>
  <si>
    <t>Subsecretaría de Agricultura.
Ministerio de Agricultura</t>
  </si>
  <si>
    <t>Presupuesto destinado a Cultura, Subsecretaría de Agricultura</t>
  </si>
  <si>
    <t>Instituto Forestal</t>
  </si>
  <si>
    <t>Centro de Información de Recursos Naturales</t>
  </si>
  <si>
    <t>Subsecretaría de Desarrollo Regional y Administrativo.
Ministerio del Interior</t>
  </si>
  <si>
    <t>Presupuesto infraestructura cultural, Ministerio del Interior</t>
  </si>
  <si>
    <t xml:space="preserve">Provisión puesta en valor del patrimonio </t>
  </si>
  <si>
    <t>Oficina crédito puesta en valor del patrimonio</t>
  </si>
  <si>
    <t>MONTO FNDR EN CULTURA</t>
  </si>
  <si>
    <r>
      <t>Presupuesto FNDR 2% destinado a Cultura</t>
    </r>
    <r>
      <rPr>
        <vertAlign val="superscript"/>
        <sz val="8"/>
        <rFont val="Verdana"/>
        <family val="2"/>
      </rPr>
      <t>/3</t>
    </r>
  </si>
  <si>
    <t>Subsecretaría de Educación.
Ministerio de Educación</t>
  </si>
  <si>
    <t>Presupuesto destinado a cultura y educación digital, Mineduc</t>
  </si>
  <si>
    <t>Fundación Tiempos Nuevos</t>
  </si>
  <si>
    <t>Instituto de Chile</t>
  </si>
  <si>
    <t>Premios nacionales y premio Luis Cruz Martínez</t>
  </si>
  <si>
    <t>Consejo de Calificación Cinematográfica</t>
  </si>
  <si>
    <t xml:space="preserve">Intercambios docentes, cultural y de asistencia </t>
  </si>
  <si>
    <t>Textos escolares de educación básica y media</t>
  </si>
  <si>
    <t>Informática educativa en escuelas y liceos</t>
  </si>
  <si>
    <r>
      <t xml:space="preserve">Universidad de Chile </t>
    </r>
    <r>
      <rPr>
        <vertAlign val="superscript"/>
        <sz val="8"/>
        <rFont val="Verdana"/>
        <family val="2"/>
      </rPr>
      <t>/4</t>
    </r>
  </si>
  <si>
    <t>Subsecretaría de Telecomunicaciones.
Ministerio de Transporte</t>
  </si>
  <si>
    <t>Presupuesto destinado a cultura y educación digital, Ministerio de Transportes</t>
  </si>
  <si>
    <t>Programa Digitaliza Chile</t>
  </si>
  <si>
    <t>Subsecretaría del Medio Ambiente.
Ministerio del Medio Ambiente</t>
  </si>
  <si>
    <t>Subsecretaría de Medio Ambiente (Programa 1)</t>
  </si>
  <si>
    <t>Fondo de protección ambiental</t>
  </si>
  <si>
    <t>Cultura ambiental</t>
  </si>
  <si>
    <r>
      <rPr>
        <b/>
        <sz val="8"/>
        <rFont val="Verdana"/>
        <family val="2"/>
      </rPr>
      <t xml:space="preserve">2 </t>
    </r>
    <r>
      <rPr>
        <sz val="8"/>
        <rFont val="Verdana"/>
        <family val="2"/>
      </rPr>
      <t>El monto es obtenido de la suma de los gastos municipales de 345 comunas del país. Fuente: Sistema Nacional de Información Municipal (Sinim).</t>
    </r>
  </si>
  <si>
    <r>
      <rPr>
        <b/>
        <sz val="8"/>
        <rFont val="Verdana"/>
        <family val="2"/>
      </rPr>
      <t xml:space="preserve">3 </t>
    </r>
    <r>
      <rPr>
        <sz val="8"/>
        <rFont val="Verdana"/>
        <family val="2"/>
      </rPr>
      <t>FNDR relacionado a la asignación del 2% del presupuesto regional destinado al desarrollo de actividades en el ámbito de la cultura, que efectúen las municipalidades, otras entidades públicas y/o instituciones privadas sin fines de lucro.</t>
    </r>
  </si>
  <si>
    <r>
      <rPr>
        <b/>
        <sz val="8"/>
        <rFont val="Verdana"/>
        <family val="2"/>
      </rPr>
      <t xml:space="preserve">4 </t>
    </r>
    <r>
      <rPr>
        <sz val="8"/>
        <rFont val="Verdana"/>
        <family val="2"/>
      </rPr>
      <t>En la ley de presupuestos del sector público 2013 se establece que este monto representa el financiamiento mínimo destinado a la Orquesta Sinfónica de Chile, el Ballet Nacional y la Camerata Vocal de la Universidad de Chile.</t>
    </r>
  </si>
  <si>
    <t>Gasto presupuestario total del Gobierno central</t>
  </si>
  <si>
    <t>Total ejecutado destinado a cultura por instituciones con programas culturales</t>
  </si>
  <si>
    <t>TOTAL PRESUPUESTO EJECUTADO INSTITUCIONES CON PROGRAMAS CULTURALES</t>
  </si>
  <si>
    <t>Ministerio de Relaciones Exteriores. Dirección General de Relaciones Económicas Internacionales.</t>
  </si>
  <si>
    <r>
      <t>Presupuesto desarrollo cultural de ProChile</t>
    </r>
    <r>
      <rPr>
        <b/>
        <vertAlign val="superscript"/>
        <sz val="8"/>
        <rFont val="Verdana"/>
        <family val="2"/>
      </rPr>
      <t>/1</t>
    </r>
  </si>
  <si>
    <t>Programa apoyo sectorial (Artes visuales)</t>
  </si>
  <si>
    <t>Programa apoyo sectorial (Audiovisual, Música y Narrativa Gráfica)</t>
  </si>
  <si>
    <t>Programa Innovación</t>
  </si>
  <si>
    <t>Programa Ferias Internacionales</t>
  </si>
  <si>
    <t>Marcas Sectoriales</t>
  </si>
  <si>
    <t>Corporación de Fomento de la Producción. Ministerio de Economía, Fomento y Reconstrucción</t>
  </si>
  <si>
    <r>
      <t>Presupuesto desarrollo cultural de Corfo</t>
    </r>
    <r>
      <rPr>
        <b/>
        <vertAlign val="superscript"/>
        <sz val="8"/>
        <rFont val="Verdana"/>
        <family val="2"/>
      </rPr>
      <t>/1</t>
    </r>
  </si>
  <si>
    <t>Apoyo al sector audiovisual</t>
  </si>
  <si>
    <t xml:space="preserve">Programa Emprendimiento Local (PEL) y Programa Territorial Integrado (PTI) con destino creativo </t>
  </si>
  <si>
    <t>Subsecretaria de Desarrollo Regional y Administrativo. Ministerio Del Interior</t>
  </si>
  <si>
    <r>
      <t>Fondo Nacional de Desarrollo Regional (programas e infraestructura)</t>
    </r>
    <r>
      <rPr>
        <b/>
        <vertAlign val="superscript"/>
        <sz val="8"/>
        <rFont val="Verdana"/>
        <family val="2"/>
      </rPr>
      <t>/2</t>
    </r>
  </si>
  <si>
    <t>Gestión de Recursos Privados</t>
  </si>
  <si>
    <r>
      <t>Crédito tributario por Ley de Donaciones Culturales</t>
    </r>
    <r>
      <rPr>
        <b/>
        <vertAlign val="superscript"/>
        <sz val="8"/>
        <rFont val="Verdana"/>
        <family val="2"/>
      </rPr>
      <t>/3</t>
    </r>
  </si>
  <si>
    <t>Crédito Tributario por Ley de Donaciones culturales</t>
  </si>
  <si>
    <r>
      <t>Presupuesto destinado a Cultura Dirac</t>
    </r>
    <r>
      <rPr>
        <b/>
        <vertAlign val="superscript"/>
        <sz val="8"/>
        <rFont val="Verdana"/>
        <family val="2"/>
      </rPr>
      <t>/1/4</t>
    </r>
  </si>
  <si>
    <t>Proyectos financiados y gestión operacional</t>
  </si>
  <si>
    <t>Fondo concursable de proyectos presentados por artistas o agrupaciones culturales</t>
  </si>
  <si>
    <t>Apoyo a la difusión de proyectos de artistas chilenos</t>
  </si>
  <si>
    <r>
      <rPr>
        <b/>
        <sz val="8"/>
        <rFont val="Verdana"/>
        <family val="2"/>
      </rPr>
      <t xml:space="preserve">1 </t>
    </r>
    <r>
      <rPr>
        <sz val="8"/>
        <rFont val="Verdana"/>
        <family val="2"/>
      </rPr>
      <t>Montos no han sido extraidos directamente desde la Ley de Presupuesto, sino de consultas a las instituciones descritas: ProChile y Corfo.</t>
    </r>
  </si>
  <si>
    <r>
      <rPr>
        <b/>
        <sz val="8"/>
        <rFont val="Verdana"/>
        <family val="2"/>
      </rPr>
      <t xml:space="preserve">2 </t>
    </r>
    <r>
      <rPr>
        <sz val="8"/>
        <rFont val="Verdana"/>
        <family val="2"/>
      </rPr>
      <t>FNDR, de carácter transversal, relacionado al desarrollo de programas e infraestructura cultural, al que pueden postular instituciones de diversos ámbitos de gestión. Para el cálculo se consideran los montos solicitados para el año 2013, por las iniciativas del Consejo Nacional de la Cultura y las Artes (CNCA), la Dirección de Bibliotecas, Archivos y Museos (Dibam) y la Direción de Arquitectura del Ministerio de Obras Públicas (MOP). Se incluye esta última en cuanto sus iniciativas se enmarcan en el ámbito de la cultura y el patrimonio.</t>
    </r>
  </si>
  <si>
    <r>
      <rPr>
        <b/>
        <sz val="8"/>
        <rFont val="Verdana"/>
        <family val="2"/>
      </rPr>
      <t xml:space="preserve">3 </t>
    </r>
    <r>
      <rPr>
        <sz val="8"/>
        <rFont val="Verdana"/>
        <family val="2"/>
      </rPr>
      <t xml:space="preserve">Se debe considerar que este monto corresponde a recursos que el Estado deja de percibir en función de un traspaso entre privados. El monto total de las donaciones culturales, durante el año calendario 2013, de acuerdo a información del Servicio de Impuestos Internos, alcanzó la suma de 25.594.547 miles de pesos (en pesos del 31 de diciembre del año 2013). El crédito tributario corresponde al 50% del monto total, es decir, el Estado aportó (renunciando a impuestos) 12.797.274 miles de pesos y los contribuyentes  de Primera Categoría y de Global Complementario, la misma cantidad. </t>
    </r>
  </si>
  <si>
    <r>
      <rPr>
        <b/>
        <sz val="8"/>
        <rFont val="Verdana"/>
        <family val="2"/>
      </rPr>
      <t>4</t>
    </r>
    <r>
      <rPr>
        <sz val="8"/>
        <rFont val="Verdana"/>
        <family val="2"/>
      </rPr>
      <t xml:space="preserve"> Al tratarse de presupuesto público ejecutado en cultura, los montos corresponden a una consulta especial a Dirac.</t>
    </r>
  </si>
  <si>
    <t>FUENTE: Elaborado por el Consejo Nacional de la Cultura y las Artes (CNCA) a partir de bases de datos de la Corporación de Fomento Productivo (Corfo), Dirección de Asuntos Culturales del Ministerio de Relaciones Exteriores (Dirac), Fondo Nacional de Desarrollo Regional (FNDR) y Servicio de Impuestos Internos (SII).</t>
  </si>
  <si>
    <t>ÁREA</t>
  </si>
  <si>
    <t>Porcentaje</t>
  </si>
  <si>
    <t xml:space="preserve">FUENTE: Ley de Presupuestos del Sector Público Año 2012. Ley N° 20.557, publicada en el Diario Oficial del 15 de diciembre de 2011. </t>
  </si>
  <si>
    <t>Gráfico:</t>
  </si>
  <si>
    <t>2.7 VULNERACIONES</t>
  </si>
  <si>
    <t>CUADRO 2.7-01: TASA DE PIRATERÍA EN LA INDUSTRIA DEL SOFTWARE EN CHILE POR VALORIZACIÓN DE PÉRDIDAS REPORTADAS EN LICENCIAS. 2008-2013/1</t>
  </si>
  <si>
    <t>CUADRO 2.7-02: TASA DE PIRATERÍA EN LA INDUSTRIA DEL SOFTWARE EN CHILE, AMÉRICA LATINA Y A NIVEL MUNDIAL. 2009-2013/1</t>
  </si>
  <si>
    <t>CUADRO 2.7-03: NÚMERO DE DETENCIONES POR LEY DE PROPIEDAD INTELECTUAL (CÓDIGO N° 09099 "OTROS DELITOS CONTRA LA LEY DE PROPIEDAD INTELECTUAL") POR SEXO, EDAD, SEGÚN REGIÓN. 2013</t>
  </si>
  <si>
    <t>CUADRO 2.7-04: NÚMERO DE DENUNCIAS POR "FALSIFICACIÓN DE OBRAS PROTEGIDAS", SEGÚN REGIÓN. 2013</t>
  </si>
  <si>
    <t>CUADRO 2.7-05: NÚMERO DE DETENCIONES POR LEY 17.336, SEGÚN CÓDIGO N° 09002 ¨FALSIFICACIÓN DE OBRAS PROTEGIDAS¨ Y CÓDIGO N° 09003 ASOCIADO A LA GLOSA "VENTA ILÍCITA DE OBRAS PROTEGIDAS", POR SEXO, SEGÚN REGIÓN. 2013</t>
  </si>
  <si>
    <t>CUADRO 2.7-06: NÚMERO DE DELITOS INVESTIGADOS POR LA POLICÍA DE INVESTIGACIONES DE CHILE (PDI), DE LA LEY DE PROPIEDAD INTELECTUAL Y LEY DE TRÁFICO ILÍCITO DE BIENES CULTURALES, SEGÚN REGIÓN POLICIAL EN QUE SE HIZO LA DENUNCIA. 2013</t>
  </si>
  <si>
    <t>CUADRO 2.7-07: NÚMERO DE DELITOS INVESTIGADOS POR LA POLICÍA DE INVESTIGACIONES DE CHILE (PDI), DE LA LEY DE PROPIEDAD INTELECTUAL Y LEY DE TRÁFICO ILÍCITO DE BIENES CULTURALES, SEGÚN REGIÓN POLICIAL EN QUE SE HIZO LA DENUNCIA Y COMUNA DE OCURRENCIA DEL D</t>
  </si>
  <si>
    <t>CUADRO 2.7-08: NÚMERO DE DELITOS INVESTIGADOS POR LA POLICÍA DE INVESTIGACIONES DE CHILE (PDI) DE LA LEY DE PROPIEDAD INTELECTUAL Y LEY DE TRÁFICO ILÍCITO DE BIENES CULTURALES, SEGÚN REGIÓN POLICIAL Y BIEN AFECTADO. 2013</t>
  </si>
  <si>
    <t>CUADRO 2.7-09: NÚMERO DE DETENIDOS POR LA POLICÍA DE INVESTIGACIONES DE CHILE (PDI) DE LA LEY DE PROPIEDAD INTELECTUAL Y LEY DE TRÁFICO ILÍCITO DE BIENES CULTURALES POR DELITO, SEGÚN REGIÓN POLICIAL. 2013</t>
  </si>
  <si>
    <t>CUADRO 2.7-10: NÚMERO DE DETENIDOS POR LA POLICÍA DE INVESTIGACIONES DE CHILE (PDI) DE LEY DE PROPIEDAD INTELECTUAL Y LEY DE TRÁFICO ILÍCITO DE BIENES CULTURALES POR DELITO, SEGÚN REGIÓN POLICIAL Y SEXO. 2013</t>
  </si>
  <si>
    <t>CUADRO 2.7-11: NÚMERO DE DETENIDOS POR LA LA POLICÍA DE INVESTIGACIONES DE CHILE (PDI) DE LA LEY DE PROPIEDAD INTELECTUAL Y LEY DE TRÁFICO ILÍCITO DE BIENES CULTURALES POR DELITO, SEGÚN REGIÓN POLICIAL Y NACIONALIDAD. 2013</t>
  </si>
  <si>
    <t>CUADRO 2.7-12: NÚMERO DE DETENIDOS POR LA POLICÍA DE INVESTIGACIONES DE CHILE (PDI) DE LA LEY DE PROPIEDAD INTELECTUAL Y LEY DE TRÁFICO ILÍCITO DE BIENES CULTURALES POR DELITO, SEGÚN REGIÓN POLICIAL Y GRUPOS DE EDAD. 2013</t>
  </si>
  <si>
    <t>CUADRO 2.7-13: ARTÍCULOS INCAUTADOS POR LA POLICÍA DE INVESTIGACIONES DE CHILE (PDI) POR INFRACCIÓN A LEY DE PROPIEDAD INTELECTUAL, SEGÚN UNIDAD POLICIAL. 2013</t>
  </si>
  <si>
    <t>CUADRO 2.7-14: CAUSAS INGRESADAS Y TERMINADAS EN JUZGADOS DE GARANTÍA Y DE LETRAS Y GARANTÍA POR INFRACCIÓN A LA LEY DE DAÑOS O APROPIACIÓN SOBRE MONUMENTOS NACIONALES, SEGÚN CORTE DE APELACIÓN. 2013</t>
  </si>
  <si>
    <t>CUADRO 2.7-15: IMPUTADOS POR INFRACCIÓN A LA LEY 17.336, SEGÚN CORTE DE APELACIÓN. 2013</t>
  </si>
  <si>
    <t>CUADRO 2.7-16: CONDENADOS POR INFRACCIÓN A LA LEY 17.336, SEGÚN CORTE DE APELACIÓN. 2013</t>
  </si>
  <si>
    <t>CUADRO 2.7-17: DELITOS INGRESADOS AL MINISTERIO PÚBLICO EN RELACIÓN A LA LEY DE PROPIEDAD INTELECTUAL, SEGÚN REGIÓN Y FISCALÍA. 2009-2013</t>
  </si>
  <si>
    <t>CUADRO 2.7-18: DELITOS TERMINADOS EN EL MINISTERIO PÚBLICO EN RELACIÓN A LA LEY DE PROPIEDAD INTELECTUAL, SEGÚN REGIÓN Y FISCALÍA. 2009-2013</t>
  </si>
  <si>
    <t>CUADRO 2.7-19: SENTENCIAS DEFINITIVAS CONDENATORIAS EN RELACIÓN A LA LEY DE PROPIEDAD INTELECTUAL, SEGÚN REGIÓN Y FISCALÍA. 2009-2013</t>
  </si>
  <si>
    <r>
      <t>CUADRO 2.7-01: TASA DE PIRATERÍA EN LA INDUSTRIA DEL SOFTWARE EN CHILE POR VALORIZACIÓN DE PÉRDIDAS REPORTADAS EN LICENCIAS. 2008-2013</t>
    </r>
    <r>
      <rPr>
        <b/>
        <vertAlign val="superscript"/>
        <sz val="8"/>
        <rFont val="Verdana"/>
        <family val="2"/>
      </rPr>
      <t>/1</t>
    </r>
  </si>
  <si>
    <t>AÑO</t>
  </si>
  <si>
    <t>Tasa de piratería de software en Chile</t>
  </si>
  <si>
    <t>Pérdidas por piratería en licencias (valor comercial del software sin licencia)</t>
  </si>
  <si>
    <t>US$ 202.000.000</t>
  </si>
  <si>
    <t>US$ 315.000.000</t>
  </si>
  <si>
    <t>US$ 349.000.000</t>
  </si>
  <si>
    <t>US$ 382.000.000</t>
  </si>
  <si>
    <r>
      <t>2012</t>
    </r>
    <r>
      <rPr>
        <vertAlign val="superscript"/>
        <sz val="8"/>
        <rFont val="Verdana"/>
        <family val="2"/>
      </rPr>
      <t>/a</t>
    </r>
  </si>
  <si>
    <t>US$ 378.000.000</t>
  </si>
  <si>
    <r>
      <rPr>
        <b/>
        <sz val="8"/>
        <rFont val="Verdana"/>
        <family val="2"/>
      </rPr>
      <t>1</t>
    </r>
    <r>
      <rPr>
        <sz val="8"/>
        <rFont val="Verdana"/>
        <family val="2"/>
      </rPr>
      <t xml:space="preserve"> Las cifras reportadas en este cuadro han sido extraídas del estudio "Encuesta Global Sobre Software de BSA". El estudio ahonda sobre la piratería de la totalidad de los softwares que se encuentran en los computadores personales (PC) a nivel mundial. Incluye sistemas operativos, softwares como bases de datos y de seguridad, aplicaciones comerciales, como juegos, finanzas personales, etc. No incluye otro tipo de software, que se disponen en servidores o similares. Para este estudio, se utilizan las estadísticas de envíos de los propietarios de software y hardware, registrados por vendedores, usuarios y tv's, ayudando los analistas de IDC en más de 80 países a revisar las condiciones de mercado. Mayores antecedentes disponibles en: http://globalstudy.bsa.org/2013/downloads/studies/2013GlobalSurvey_Study_es.pdf.</t>
    </r>
  </si>
  <si>
    <r>
      <rPr>
        <b/>
        <sz val="8"/>
        <rFont val="Verdana"/>
        <family val="2"/>
      </rPr>
      <t>a</t>
    </r>
    <r>
      <rPr>
        <sz val="8"/>
        <rFont val="Verdana"/>
        <family val="2"/>
      </rPr>
      <t xml:space="preserve"> No se dispone de información para el año 2012, debido a que BSA no realizó medición.</t>
    </r>
  </si>
  <si>
    <t>FUENTE: Elaboración propia del Instituto Nacional de Estadísticas (INE), partículo ir de Encuesta Global Sobre Software de BSA, 2014 de Software Alliance (BSA).</t>
  </si>
  <si>
    <r>
      <t>CUADRO 2.7-02: TASA DE PIRATERÍA EN LA INDUSTRIA DEL SOFTWARE EN CHILE, AMÉRICA LATINA Y A NIVEL MUNDIAL. 2009-2013</t>
    </r>
    <r>
      <rPr>
        <b/>
        <vertAlign val="superscript"/>
        <sz val="8"/>
        <rFont val="Verdana"/>
        <family val="2"/>
      </rPr>
      <t>/1</t>
    </r>
  </si>
  <si>
    <t>Tasa de piratería de software en América Latina</t>
  </si>
  <si>
    <t>Tasa de piratería de software mundial</t>
  </si>
  <si>
    <r>
      <rPr>
        <b/>
        <sz val="8"/>
        <rFont val="Verdana"/>
        <family val="2"/>
      </rPr>
      <t xml:space="preserve">a </t>
    </r>
    <r>
      <rPr>
        <sz val="8"/>
        <rFont val="Verdana"/>
        <family val="2"/>
      </rPr>
      <t>No se dispone de información para el año 2012, debido a que BSA no realizó medición.</t>
    </r>
  </si>
  <si>
    <t>FUENTE: Elaboración propia del Instituto Nacional de Estadísticas (INE),  partículo ir de Encuesta Global Sobre Software de BSA, 2014 de Software Alliance (BSA).</t>
  </si>
  <si>
    <t>Total
aprehendidos</t>
  </si>
  <si>
    <t>Número de aprehendidos</t>
  </si>
  <si>
    <t>Total hombres</t>
  </si>
  <si>
    <t>Total mujeres</t>
  </si>
  <si>
    <t>Menor de
18 años</t>
  </si>
  <si>
    <t>18 a 29
 años</t>
  </si>
  <si>
    <t>30 años
 y más</t>
  </si>
  <si>
    <t>FUENTE: Carabineros de Chile. Automatización de Unidades Policiales (Aupol).</t>
  </si>
  <si>
    <t>Total denuncias</t>
  </si>
  <si>
    <t>Denuncias</t>
  </si>
  <si>
    <t>Sin aprehendidos</t>
  </si>
  <si>
    <t>Con aprehendidos</t>
  </si>
  <si>
    <t>Aprehendidos total</t>
  </si>
  <si>
    <t>Aprehendidos cód. 09002</t>
  </si>
  <si>
    <t>Aprehendidos cód. 09003</t>
  </si>
  <si>
    <t>REGIÓN POLICIAL EN QUE SE HIZO LA DENUNCIA</t>
  </si>
  <si>
    <t>Delito</t>
  </si>
  <si>
    <t>Falsificación de obras protegidas por Ley de Propiedad Intelectual artículo 79 C. Ley Nº 17.336</t>
  </si>
  <si>
    <t>Venta ilícita de obras protegidas por Ley de Propiedad Intelectual artículo 80 B Ley Nº 17.336</t>
  </si>
  <si>
    <t>Utilización sin autorización de obras de dominio ajeno por Ley de Propiedad Intelectual artículo 79 A Ley Nº 17.336</t>
  </si>
  <si>
    <t>Inducir, permitir, facilitar u ocultar una infracción de los derechos de autor o conexos artículo 81 ter. Ley Nº17.336</t>
  </si>
  <si>
    <t>Demás delitos contra la Ley de Propiedad Intelectual.</t>
  </si>
  <si>
    <t>FUENTE: Policía de Investigaciones de Chile (PDI). Departículo amento de Estadísticas Policiales.</t>
  </si>
  <si>
    <t>CUADRO 2.7-07: NÚMERO DE DELITOS INVESTIGADOS POR LA POLICÍA DE INVESTIGACIONES DE CHILE (PDI), DE LA LEY DE PROPIEDAD INTELECTUAL Y LEY DE TRÁFICO ILÍCITO DE BIENES CULTURALES, SEGÚN REGIÓN POLICIAL EN QUE SE HIZO LA DENUNCIA Y COMUNA DE OCURRENCIA DEL DELITO. 2013</t>
  </si>
  <si>
    <r>
      <t>REGIÓN POLICIAL DE LA DENUNCIA Y COMUNA DE OCURRENCIA DEL DELITO</t>
    </r>
    <r>
      <rPr>
        <b/>
        <vertAlign val="superscript"/>
        <sz val="8"/>
        <rFont val="Verdana"/>
        <family val="2"/>
      </rPr>
      <t>/1</t>
    </r>
  </si>
  <si>
    <t>Falsificación de obras protegidas por Ley de Propiedad Intelectual artículo 79 C.Ley Nº 17.336</t>
  </si>
  <si>
    <t>Inducir, permitir, facilitar u ocultar una infracción de los derechos de autor o conexos artículo 81 ter Ley Nº17.336</t>
  </si>
  <si>
    <t>Demás delitos contra la Ley de Propiedad Intelectual</t>
  </si>
  <si>
    <t>Daños o apropiación sobre monumentos nacionales (artículo 38-38 bis Ley N°17.288)</t>
  </si>
  <si>
    <t>Arica</t>
  </si>
  <si>
    <t>Iquique</t>
  </si>
  <si>
    <t>Pudahuel</t>
  </si>
  <si>
    <t>Se ignora</t>
  </si>
  <si>
    <t>Calama</t>
  </si>
  <si>
    <t>Copiapó</t>
  </si>
  <si>
    <t>Caldera</t>
  </si>
  <si>
    <t>Ovalle</t>
  </si>
  <si>
    <t>La Ligua</t>
  </si>
  <si>
    <t>Cabildo</t>
  </si>
  <si>
    <t>Los Andes</t>
  </si>
  <si>
    <t>San Felipe</t>
  </si>
  <si>
    <t>Quillota</t>
  </si>
  <si>
    <t>Limache</t>
  </si>
  <si>
    <t>Viña del Mar</t>
  </si>
  <si>
    <t>Quilpué</t>
  </si>
  <si>
    <t>San Antonio</t>
  </si>
  <si>
    <t>Isla de Pascua</t>
  </si>
  <si>
    <t>Concepción</t>
  </si>
  <si>
    <t>Santiago</t>
  </si>
  <si>
    <t>Olmué</t>
  </si>
  <si>
    <t>Cartículo agena</t>
  </si>
  <si>
    <t>Placilla</t>
  </si>
  <si>
    <t>Santa Cruz</t>
  </si>
  <si>
    <t>Temuco</t>
  </si>
  <si>
    <t>Galvarino</t>
  </si>
  <si>
    <t>Independencia</t>
  </si>
  <si>
    <t>Huechuraba</t>
  </si>
  <si>
    <t>Recoleta</t>
  </si>
  <si>
    <t>Providencia</t>
  </si>
  <si>
    <t>Vitacura</t>
  </si>
  <si>
    <t>Las Condes</t>
  </si>
  <si>
    <t>Ñuñoa</t>
  </si>
  <si>
    <t>Macul</t>
  </si>
  <si>
    <t>Peñalolén</t>
  </si>
  <si>
    <t>La Florida</t>
  </si>
  <si>
    <t>La Granja</t>
  </si>
  <si>
    <t>Lo Espejo</t>
  </si>
  <si>
    <t>Estación Central</t>
  </si>
  <si>
    <t>Cerrillos</t>
  </si>
  <si>
    <t>Maipú</t>
  </si>
  <si>
    <t>Quilicura</t>
  </si>
  <si>
    <t>Lampa</t>
  </si>
  <si>
    <t>Puente Alto</t>
  </si>
  <si>
    <t>San Bernardo</t>
  </si>
  <si>
    <t>Melipilla</t>
  </si>
  <si>
    <t>Rancagua</t>
  </si>
  <si>
    <t>San Fernando</t>
  </si>
  <si>
    <t>Molina</t>
  </si>
  <si>
    <t>Talca</t>
  </si>
  <si>
    <t>Chillán</t>
  </si>
  <si>
    <t>Pinto</t>
  </si>
  <si>
    <t>Santa Juana</t>
  </si>
  <si>
    <t>Coronel</t>
  </si>
  <si>
    <t>Los Alamos</t>
  </si>
  <si>
    <t>Traiguen</t>
  </si>
  <si>
    <t>Pitrufquén</t>
  </si>
  <si>
    <t>Valdivia</t>
  </si>
  <si>
    <t>La Unión</t>
  </si>
  <si>
    <t>Osorno</t>
  </si>
  <si>
    <t>Castro</t>
  </si>
  <si>
    <t>Coihaique</t>
  </si>
  <si>
    <t>Natales</t>
  </si>
  <si>
    <t>Punta Arenas</t>
  </si>
  <si>
    <r>
      <rPr>
        <b/>
        <sz val="8"/>
        <rFont val="Verdana"/>
        <family val="2"/>
      </rPr>
      <t>1</t>
    </r>
    <r>
      <rPr>
        <sz val="8"/>
        <rFont val="Verdana"/>
        <family val="2"/>
      </rPr>
      <t xml:space="preserve"> Para cada región policial, se incluyen todas las denuncias efectuadas en cada una de ellas, en tanto que las comunas corresponden a la locaciones en las cuales ocurrieron los delitos. A causa de ello, puede suceder que las comunas informadas dentro de cada región, puedan no correponder con la región en la cual se encuentra clasificada.</t>
    </r>
  </si>
  <si>
    <t>FUENTE: Policía de Investigaciones de Chile (PDI). Departamento de estadísticas policiales.</t>
  </si>
  <si>
    <t>REGIÓN Y BIEN AFECTADO</t>
  </si>
  <si>
    <t>Falsificación de obras protegidas por Ley de Propiedad Intelectual artículo 79 bis.Ley Nº 17.336</t>
  </si>
  <si>
    <t>Venta ilícita de obras protegidas por Ley de Propiedad Intelectual artículo 81 b Ley Nº 17.336</t>
  </si>
  <si>
    <t>Utilización sin autorización de obras de dominio ajeno por Ley de Propiedad Intelectual artículo 79 a Ley Nº 17.336</t>
  </si>
  <si>
    <t>Daños o apropiación sobre monumentos nacionales (artículo 38-38 bis Ley 17.288)</t>
  </si>
  <si>
    <t>Bienes fiscales</t>
  </si>
  <si>
    <t>Bienes particulares</t>
  </si>
  <si>
    <t>Artículos deportivos</t>
  </si>
  <si>
    <t>Libros</t>
  </si>
  <si>
    <t>Cd o Dvd</t>
  </si>
  <si>
    <t>Joyas</t>
  </si>
  <si>
    <t>Equipos computacionales</t>
  </si>
  <si>
    <t>Especies varias</t>
  </si>
  <si>
    <t>Equipos celulares</t>
  </si>
  <si>
    <t>Prendas de vestir</t>
  </si>
  <si>
    <t>Escrituras públicas</t>
  </si>
  <si>
    <t>Propiedades</t>
  </si>
  <si>
    <t>Bienes de uso público</t>
  </si>
  <si>
    <t>Mercaderías varias</t>
  </si>
  <si>
    <t>No Determinados</t>
  </si>
  <si>
    <t>No determinados</t>
  </si>
  <si>
    <t>Documentos públicos</t>
  </si>
  <si>
    <t>Equipo comunicaciones</t>
  </si>
  <si>
    <t>Equipo generadores eléctricos</t>
  </si>
  <si>
    <t>Obras de artículos</t>
  </si>
  <si>
    <t>Juguetes</t>
  </si>
  <si>
    <t>Equipos electrónicos</t>
  </si>
  <si>
    <t>Decodificadores</t>
  </si>
  <si>
    <t>Bienes Particulares</t>
  </si>
  <si>
    <t>Dinero efectivo</t>
  </si>
  <si>
    <t>Documentación mercantil</t>
  </si>
  <si>
    <t>Semillas falsas</t>
  </si>
  <si>
    <t>Detenidos</t>
  </si>
  <si>
    <t>Falsificación de obras protegidas por Ley de Propiedad Intelectual artículo 79 bis.Ley Nº 17.336.</t>
  </si>
  <si>
    <t>Venta ilícita de obras protegidas por Ley de Propiedad Intelectual artículo 81 b Ley Nº 17.336.</t>
  </si>
  <si>
    <t>Daños o apropiación sobre monumentos nacionales (artículo38-38 bis Ley 17.288)</t>
  </si>
  <si>
    <t>REGIÓN/SEXO</t>
  </si>
  <si>
    <t>REGIÓN/NACIONALIDAD</t>
  </si>
  <si>
    <t>Chilenos</t>
  </si>
  <si>
    <t>Extranjeros</t>
  </si>
  <si>
    <t>REGIÓN/GRUPOS DE EDAD</t>
  </si>
  <si>
    <t>Falsificación de obras protegidas por Ley de Propiedad Intelectual artículo 79 bis. Ley Nº 17.336.</t>
  </si>
  <si>
    <t>Utilización sin autorización de obras de dominio ajeno por Ley de Propiedad Intelectual artículo  79 a Ley Nº 17.336</t>
  </si>
  <si>
    <t>Menos de 16 años</t>
  </si>
  <si>
    <t>16 a 17 años</t>
  </si>
  <si>
    <t>18 a 20 años</t>
  </si>
  <si>
    <t>21 a 30 años</t>
  </si>
  <si>
    <t>31 a 40 años</t>
  </si>
  <si>
    <t>41 a 50 años</t>
  </si>
  <si>
    <t>51 y más años</t>
  </si>
  <si>
    <t>UNIDAD POLICIAL</t>
  </si>
  <si>
    <t>Artículo incautado</t>
  </si>
  <si>
    <t>Cd</t>
  </si>
  <si>
    <t>Dvd</t>
  </si>
  <si>
    <t>Cpu</t>
  </si>
  <si>
    <t>Notebook</t>
  </si>
  <si>
    <t>Discos duros y quemadores</t>
  </si>
  <si>
    <t>Carátulas</t>
  </si>
  <si>
    <t>Impresoras</t>
  </si>
  <si>
    <t>Otros</t>
  </si>
  <si>
    <t>Brigada Investigadora de Delitos Económicos Arica</t>
  </si>
  <si>
    <t>Brigada Investigadora de Delitos Económicos Iquique</t>
  </si>
  <si>
    <t>Brigada Investigadora de Delitos Económicos Antofagasta</t>
  </si>
  <si>
    <t>Brigada Investigadora de Delitos Económicos Copiapó</t>
  </si>
  <si>
    <t>Brigada Investigadora de Delitos Económicos La Serena</t>
  </si>
  <si>
    <t>Brigada Investigadora de Delitos Económicos Los Andes</t>
  </si>
  <si>
    <t>Brigada Investigadora de Delitos Económicos San Antonio</t>
  </si>
  <si>
    <t>Brigada Investigadora de Delitos Económicos Valparaíso</t>
  </si>
  <si>
    <t>Brigada Investigadora de Delitos Económicos Metropolitana</t>
  </si>
  <si>
    <t>Brigada Investigadora de Delitos Económicos Rancagua</t>
  </si>
  <si>
    <t>Brigada Investigadora de Delitos Económicos Talca</t>
  </si>
  <si>
    <t>Brigada Investigadora de Delitos Económicos Linares</t>
  </si>
  <si>
    <t>Brigada Investigadora de Delitos Económicos Chillán</t>
  </si>
  <si>
    <t>Brigada Investigadora de Delitos Económicos Concepción</t>
  </si>
  <si>
    <t>Brigada Investigadora de Delitos Económicos Temuco</t>
  </si>
  <si>
    <t>Brigada Investigadora de Delitos Económicos Valdivia</t>
  </si>
  <si>
    <t>Brigada Investigadora de Delitos Económicos Osorno</t>
  </si>
  <si>
    <t>Brigada Investigadora de Delitos Económicos Puerto Montt</t>
  </si>
  <si>
    <t>Brigada Investigadora de Delitos Económicos Coyhaique</t>
  </si>
  <si>
    <t>Brigada Investigadora de Delitos Económicos Punta Arenas</t>
  </si>
  <si>
    <t>Brigada Investigadora de Delitos en Recintos Portuarios Iquique</t>
  </si>
  <si>
    <t>Brigada Investigadora de Delitos en Recintos Portuarios Valparaíso</t>
  </si>
  <si>
    <t>Brigada Investigadora de Lavados de Activos Metropolitana</t>
  </si>
  <si>
    <t>Brigada Investigadora de Lavados de Activos Iquique</t>
  </si>
  <si>
    <t>Brigada Investigadora del Cibercrimen Metropolitana</t>
  </si>
  <si>
    <t>Brigada Investigadora del Cibercrimen Valparaíso</t>
  </si>
  <si>
    <t>Brigada Investigadora de Delitos de Propiedad Intelectual</t>
  </si>
  <si>
    <t>FUENTE: Policía de Investigaciones de Chile (PDI). Jefatura Nacional de Delitos Económicos (Jenadec).</t>
  </si>
  <si>
    <t>CORTE DE APELACIÓN</t>
  </si>
  <si>
    <t>Ley 17.288 de daños o apropiación sobre monumentos nacionales</t>
  </si>
  <si>
    <t>Ingresos</t>
  </si>
  <si>
    <t>Términos</t>
  </si>
  <si>
    <t>La Serena</t>
  </si>
  <si>
    <t>Puerto Montt</t>
  </si>
  <si>
    <t>Coyhaique</t>
  </si>
  <si>
    <t>San Miguel</t>
  </si>
  <si>
    <t>FUENTE: Corporación Administrativa del Poder Judicial (CAPJ).</t>
  </si>
  <si>
    <t>Imputados</t>
  </si>
  <si>
    <t>Daños o apropiación sobre monumentos nacionales</t>
  </si>
  <si>
    <t>Delitos contra Ley de Propiedad Intelectual</t>
  </si>
  <si>
    <t>Falsificación de obras protegidas por Ley de Propiedad Intelectual</t>
  </si>
  <si>
    <t>Otros delitos contra la Ley de Propiedad Intelectual</t>
  </si>
  <si>
    <t>Utilización sin autorizacion de obras de dominio ajeno por Ley de Propiedad Intelectual</t>
  </si>
  <si>
    <t>Venta ilicita de obras protegidas por Ley de Propiedad Intelectual</t>
  </si>
  <si>
    <t>Condenados</t>
  </si>
  <si>
    <t>Delitos contra ley de Propiedad Intelectual</t>
  </si>
  <si>
    <t>Utilizacion sin autorizacion de obras de dominio ajeno por Ley de Propiedad Intelectual</t>
  </si>
  <si>
    <t>REGIÓN Y FISCALÍA</t>
  </si>
  <si>
    <r>
      <t>2009</t>
    </r>
    <r>
      <rPr>
        <b/>
        <vertAlign val="superscript"/>
        <sz val="8"/>
        <rFont val="Verdana"/>
        <family val="2"/>
      </rPr>
      <t>/R</t>
    </r>
  </si>
  <si>
    <r>
      <t>2010</t>
    </r>
    <r>
      <rPr>
        <b/>
        <vertAlign val="superscript"/>
        <sz val="8"/>
        <rFont val="Verdana"/>
        <family val="2"/>
      </rPr>
      <t>/R</t>
    </r>
  </si>
  <si>
    <r>
      <t>2011</t>
    </r>
    <r>
      <rPr>
        <b/>
        <vertAlign val="superscript"/>
        <sz val="8"/>
        <rFont val="Verdana"/>
        <family val="2"/>
      </rPr>
      <t>/R</t>
    </r>
  </si>
  <si>
    <r>
      <t>2012</t>
    </r>
    <r>
      <rPr>
        <b/>
        <vertAlign val="superscript"/>
        <sz val="8"/>
        <rFont val="Verdana"/>
        <family val="2"/>
      </rPr>
      <t>/R</t>
    </r>
  </si>
  <si>
    <r>
      <t>Metropolitana</t>
    </r>
    <r>
      <rPr>
        <vertAlign val="superscript"/>
        <sz val="8"/>
        <rFont val="Verdana"/>
        <family val="2"/>
      </rPr>
      <t>/1</t>
    </r>
  </si>
  <si>
    <r>
      <t>Metropolitana</t>
    </r>
    <r>
      <rPr>
        <vertAlign val="superscript"/>
        <sz val="8"/>
        <rFont val="Verdana"/>
        <family val="2"/>
      </rPr>
      <t>/2</t>
    </r>
  </si>
  <si>
    <r>
      <t>Metropolitana</t>
    </r>
    <r>
      <rPr>
        <vertAlign val="superscript"/>
        <sz val="8"/>
        <rFont val="Verdana"/>
        <family val="2"/>
      </rPr>
      <t>/3</t>
    </r>
  </si>
  <si>
    <r>
      <t>Metropolitana</t>
    </r>
    <r>
      <rPr>
        <vertAlign val="superscript"/>
        <sz val="8"/>
        <rFont val="Verdana"/>
        <family val="2"/>
      </rPr>
      <t>/4</t>
    </r>
  </si>
  <si>
    <r>
      <rPr>
        <b/>
        <sz val="8"/>
        <rFont val="Verdana"/>
        <family val="2"/>
      </rPr>
      <t>R</t>
    </r>
    <r>
      <rPr>
        <sz val="8"/>
        <rFont val="Verdana"/>
        <family val="2"/>
      </rPr>
      <t xml:space="preserve"> Cifras rectificadas</t>
    </r>
  </si>
  <si>
    <r>
      <rPr>
        <b/>
        <sz val="8"/>
        <rFont val="Verdana"/>
        <family val="2"/>
      </rPr>
      <t xml:space="preserve">1 </t>
    </r>
    <r>
      <rPr>
        <sz val="8"/>
        <rFont val="Verdana"/>
        <family val="2"/>
      </rPr>
      <t>Fiscalía</t>
    </r>
    <r>
      <rPr>
        <b/>
        <sz val="8"/>
        <rFont val="Verdana"/>
        <family val="2"/>
      </rPr>
      <t xml:space="preserve"> </t>
    </r>
    <r>
      <rPr>
        <sz val="8"/>
        <rFont val="Verdana"/>
        <family val="2"/>
      </rPr>
      <t>Centro Norte</t>
    </r>
  </si>
  <si>
    <r>
      <rPr>
        <b/>
        <sz val="8"/>
        <rFont val="Verdana"/>
        <family val="2"/>
      </rPr>
      <t xml:space="preserve">2 </t>
    </r>
    <r>
      <rPr>
        <sz val="8"/>
        <rFont val="Verdana"/>
        <family val="2"/>
      </rPr>
      <t>Fiscalía</t>
    </r>
    <r>
      <rPr>
        <b/>
        <sz val="8"/>
        <rFont val="Verdana"/>
        <family val="2"/>
      </rPr>
      <t xml:space="preserve"> </t>
    </r>
    <r>
      <rPr>
        <sz val="8"/>
        <rFont val="Verdana"/>
        <family val="2"/>
      </rPr>
      <t>Oriente</t>
    </r>
  </si>
  <si>
    <r>
      <rPr>
        <b/>
        <sz val="8"/>
        <rFont val="Verdana"/>
        <family val="2"/>
      </rPr>
      <t xml:space="preserve">3 </t>
    </r>
    <r>
      <rPr>
        <sz val="8"/>
        <rFont val="Verdana"/>
        <family val="2"/>
      </rPr>
      <t>Fiscalía</t>
    </r>
    <r>
      <rPr>
        <b/>
        <sz val="8"/>
        <rFont val="Verdana"/>
        <family val="2"/>
      </rPr>
      <t xml:space="preserve"> </t>
    </r>
    <r>
      <rPr>
        <sz val="8"/>
        <rFont val="Verdana"/>
        <family val="2"/>
      </rPr>
      <t>Occidente</t>
    </r>
  </si>
  <si>
    <r>
      <rPr>
        <b/>
        <sz val="8"/>
        <rFont val="Verdana"/>
        <family val="2"/>
      </rPr>
      <t xml:space="preserve">4 </t>
    </r>
    <r>
      <rPr>
        <sz val="8"/>
        <rFont val="Verdana"/>
        <family val="2"/>
      </rPr>
      <t>Fiscalía</t>
    </r>
    <r>
      <rPr>
        <b/>
        <sz val="8"/>
        <rFont val="Verdana"/>
        <family val="2"/>
      </rPr>
      <t xml:space="preserve"> </t>
    </r>
    <r>
      <rPr>
        <sz val="8"/>
        <rFont val="Verdana"/>
        <family val="2"/>
      </rPr>
      <t>Sur</t>
    </r>
  </si>
  <si>
    <t>FUENTE: Ministerio Público. Sistema de Apoyo a Fiscales (SAF).</t>
  </si>
  <si>
    <r>
      <rPr>
        <b/>
        <sz val="8"/>
        <rFont val="Verdana"/>
        <family val="2"/>
      </rPr>
      <t xml:space="preserve">R </t>
    </r>
    <r>
      <rPr>
        <sz val="8"/>
        <rFont val="Verdana"/>
        <family val="2"/>
      </rPr>
      <t>Cifras rectificadas por la fuente</t>
    </r>
  </si>
  <si>
    <t>Sentencias definitivas condenatorias Ley 17.336 total delitos contra la propiedad intelectual Código: 9002, 9003, 9004 y 9099</t>
  </si>
  <si>
    <r>
      <rPr>
        <b/>
        <sz val="8"/>
        <rFont val="Verdana"/>
        <family val="2"/>
      </rPr>
      <t>R</t>
    </r>
    <r>
      <rPr>
        <sz val="8"/>
        <rFont val="Verdana"/>
        <family val="2"/>
      </rPr>
      <t xml:space="preserve"> Cifras rectificadas por la fuente.</t>
    </r>
  </si>
  <si>
    <t>3.1 PATRIMONIO</t>
  </si>
  <si>
    <t>CUADRO 3.1-01: NÚMERO DE PROYECTOS PRESENTADOS Y FINANCIADOS A TRAVÉS DEL FONDO DE APOYO A LA INVESTIGACIÓN PATRIMONIAL (FAIP), SEGÚN REGIÓN. 2009-2013</t>
  </si>
  <si>
    <t>CUADRO 3.1-02: NÚMERO DE PUBLICACIONES DE LA DIRECCIÓN DE BIBLIOTECAS, ARCHIVOS Y MUSEOS (DIBAM), SEGÚN UNIDAD DE ORIGEN Y TIPO DE PUBLICACIÓN. 2009-2013</t>
  </si>
  <si>
    <t>3.1.1 INSTITUCIONES PATRIMONIALES</t>
  </si>
  <si>
    <t>CUADRO 3.1.1.1-01: NÚMERO DE ARCHIVOS PÚBLICOS DE LA DIRECCIÓN DE BIBLIOTECAS, ARCHIVOS Y MUSEOS (DIBAM), SEGÚN REGIÓN. 2009-2013</t>
  </si>
  <si>
    <t>CUADRO 3.1.1.1-02: NÚMERO DE DOCUMENTOS CONTENIDOS EN LOS ARCHIVOS PÚBLICOS DE LA DIRECCIÓN DE BIBLIOTECAS, ARCHIVOS Y MUSEOS (DIBAM), SEGÚN REGIÓN. 2013</t>
  </si>
  <si>
    <t>CUADRO 3.1.1.1-03: NÚMERO DE USUARIOS PRESENCIALES DE ARCHIVOS PÚBLICOS DE LA DIRECCIÓN DE BIBLIOTECAS, ARCHIVOS Y MUSEOS (DIBAM), SEGÚN REGIÓN. 2009-2013</t>
  </si>
  <si>
    <t>CUADRO 3.1.1.1-04: NÚMERO TOTAL DE USUARIOS PRESENCIALES Y REMOTOS DE ARCHIVOS PÚBLICOS DE LA DIRECCIÓN DE BIBLIOTECAS, ARCHIVOS Y MUSEOS (DIBAM). 2009-2013</t>
  </si>
  <si>
    <t>3.1.1.2 MUSEOS</t>
  </si>
  <si>
    <t>CUADRO 3.1.1.2-01: NÚMERO DE MUSEOS DE LA DIRECCIÓN DE BIBLIOTECAS, ARCHIVOS Y MUSEOS (DIBAM), SEGÚN REGIÓN. 2009-2013</t>
  </si>
  <si>
    <t>CUADRO 3.1.1.2-02: PERSONAL DE MUSEOS DE LA DIRECCIÓN DE BIBLIOTECAS, ARCHIVOS Y MUSEOS (DIBAM), SEGÚN CATEGORÍA OCUPACIONAL. 2013</t>
  </si>
  <si>
    <t>CUADRO 3.1.1.2-03: NÚMERO DE MUSEOS DE LA DIRECCIÓN DE BIBLIOTECAS, ARCHIVOS Y MUSEOS (DIBAM), SEGÚN TIPO DE COLECCIÓN. 2009-2013</t>
  </si>
  <si>
    <t>CUADRO 3.1.1.2-04: NÚMERO DE EXPOSICIONES POR MUSEO DE LA DIRECCIÓN DE BIBLIOTECAS, ARCHIVOS Y MUSEOS (DIBAM) , SEGÚN TIPO DE EXPOSICIÓN Y NACIONALIDAD. 2013</t>
  </si>
  <si>
    <t>CUADRO 3.1.1.2-05: NÚMERO DE AUTORIZACIONES DE SALIDA DEL TERRITORIO NACIONAL ENTREGADAS POR EL MUSEO NACIONAL DE BELLAS ARTES DE OBRAS DE ARTE (LEY 17.236),  SEGÚN CONTINENTE DE DESTINO. 2013</t>
  </si>
  <si>
    <t>CUADRO 3.1.1.2-06: OTROS INDICADORES DE LOS MUSEOS DE LA DIRECCIÓN DE BIBLIOTECAS, ARCHIVOS Y MUSEOS (DIBAM). 2013</t>
  </si>
  <si>
    <t>CUADRO 3.1.1.2-07: NÚMERO DE PIEZAS RESTAURADAS, POR MUSEO DE LA DIRECCIÓN DE BIBLIOTECAS, ARCHIVOS Y MUSEOS (DIBAM)POR TIPO DE MUSEO (NACIONAL Y REGIONAL), SEGÚN TIPO DE PIEZA. 2013</t>
  </si>
  <si>
    <t>CUADRO 3.1.1.2-08: NÚMERO DE PIEZAS RESTAURADAS EN LOS MUSEOS DE LA SUBDIRECCIÓN DE MUSEOS DE LA DIRECCIÓN DE BIBLIOTECAS, ARCHIVOS Y MUSEOS (DIBAM), SEGÚN TIPO DE PIEZA. 2009-2013</t>
  </si>
  <si>
    <t>CUADRO 3.1.1.2-09: NÚMERO DE PIEZAS RESTAURADAS EN LOS MUSEOS DE LA SUBDIRECCIÓN DE MUSEOS DE LA DIRECCIÓN DE BIBLIOTECAS, ARCHIVOS Y MUSEOS (DIBAM)(DIBAM), POR TIPO DE PIEZA, SEGÚN REGIÓN. 2013</t>
  </si>
  <si>
    <t>CUADRO 3.1.1.2-10: DATOS DEL CENTRO NACIONAL DE CONSERVACIÓN Y RESTAURACIÓN DE LA DIRECCIÓN DE BIBLIOTECAS, ARCHIVOS Y MUSEOS (DIBAM). 2011-2013</t>
  </si>
  <si>
    <t>CUADRO 3.1.1.2-11: NÚMERO DE USUARIOS, POR MUSEOS DE LA DIRECCIÓN DE BIBLIOTECAS, ARCHIVOS Y MUSEOS (DIBAM), SEGÚN TIPO DE ENTRADA. 2013</t>
  </si>
  <si>
    <t>CUADRO 3.1.1.2-12: NÚMERO DE USUARIOS DE LOS MUSEOS DE LA DIRECCIÓN DE BIBLIOTECAS, ARCHIVOS Y MUSEOS (DIBAM), SEGÚN GRUPOS DE EDAD. 2013</t>
  </si>
  <si>
    <t>3.1.2 BIENES PATRIMONIALES</t>
  </si>
  <si>
    <t>3.1.2.1 PATRIMONIO ARQUEOLÓGICO HISTÓRICO</t>
  </si>
  <si>
    <t>CUADRO 3.1.2.1-01: NÚMERO DE AUTORIZACIONES DE SALIDA DE MONUMENTOS DEL TERRITORIO NACIONAL, SEGÚN TIPO DE MONUMENTO. 2009-2013</t>
  </si>
  <si>
    <t>CUADRO 3.1.2.1-02: NÚMERO DE AUTORIZACIONES DE SALIDA DE MONUMENTOS, SEGÚN DESTINO. 2010-2013</t>
  </si>
  <si>
    <t>CUADRO 3.1.2.1-03: NÚMERO DE AUTORIZACIONES POR DESTINO, SEGÚN TIPO DE MONUMENTO. 2013</t>
  </si>
  <si>
    <t>CUADRO 3.1.2.1-04: NÚMERO DE SOLICITUDES DE DECLARACIÓN DE MONUMENTOS NACIONALES RECIBIDAS, SEGÚN TIPO DE MONUMENTO Y REGIÓN. 2013</t>
  </si>
  <si>
    <t>CUADRO 3.1.2.1-05: NÚMERO DE MONUMENTOS NACIONALES DECLARADOS POR DECRETO, SEGÚN TIPO DE MONUMENTO Y REGIÓN. 2013</t>
  </si>
  <si>
    <t>CUADRO 3.1.2.1-06: NÚMERO DE MONUMENTOS NACIONALES DECLARADOS POR DECRETO, SEGÚN TIPO DE MONUMENTO Y REGIÓN (HISTORICO, DESDE 1925). 2013</t>
  </si>
  <si>
    <t>CUADRO 3.1.2.1-07: NÓMINA DE MONUMENTOS NACIONALES DECLARADOS, SEGÚN REGIÓN Y MONUMENTO. 2013</t>
  </si>
  <si>
    <t>3.1.2.2 PATRIMONIO CONSTRUIDO</t>
  </si>
  <si>
    <t>CUADRO 3.1.2.2.-01: NÚMERO DE INMUEBLES Y ACTIVIDADES REALIZADAS EN EL DÍA DEL PATRIMONIO CULTURAL EN EL PAÍS. 2013/1</t>
  </si>
  <si>
    <t>CUADRO 3.1.2.2-02: NÚMERO DE VISITAS EN EL DÍA DEL PATRIMONIO CULTURAL EN LA REGIÓN METROPOLITANA Y OTRAS REGIONES DEL PAÍS. 2013/1</t>
  </si>
  <si>
    <t>3.1.2.3 PATRIMONIO NATURAL</t>
  </si>
  <si>
    <t>CUADRO 3.1.2.3-01: NÚMERO DE BENEFICIARIOS DE PROGRAMA DE EDUCACIÓN AMBIENTAL (EDAM) DENTRO Y FUERA DE LAS ÁREAS SILVESTRES PROTEGIDAS (ASP), SEGÚN REGIÓN. 2012-2013</t>
  </si>
  <si>
    <t>CUADRO 3.1.2.3-02: DISTRIBUCIÓN NACIONAL DEL SISTEMA NACIONAL DE ÁREAS SILVESTRES PROTEGIDAS DEL ESTADO (SNASPE) Y SUPERFICIE (HÁ). 2013</t>
  </si>
  <si>
    <t>CUADRO 3.1.2.3-03: NÓMINA Y SUPERFICIE (HÁ) DE LOS PARQUES NACIONALES SEGÚN REGIÓN. 2013</t>
  </si>
  <si>
    <t>CUADRO 3.1.2.3-04: NÓMINA Y SUPERFICIE (HÁ) DE LAS RESERVAS NACIONALES SEGÚN REGIÓN. 2013</t>
  </si>
  <si>
    <t>CUADRO 3.1.2.3-05: NÓMINA Y SUPERFICIE (HÁ) DE MONUMENTOS NATURALES SEGÚN REGIÓN. 2013</t>
  </si>
  <si>
    <t>CUADRO 3.1.2.3-06: NÚMERO Y PORCENTAJE DE SUPERFICIE DE RESERVAS DE LA BIÓSFERA EN HECTÁREAS, PRESENTES EN CHILE POR PERTENENCIA O NO PERTENENCIA A LAS ÁREAS SILVESTRES PROTEGIDAS (ASP), SEGÚN TIPO DE RESERVA DE LA BIÓSFERA. 2013</t>
  </si>
  <si>
    <t>CUADRO 3.1.2.3-07 ANTECEDENTES GENERALES DE LAS RESERVAS DE LA BIÓSFERA PRESENTES EN CHILE POR  AÑO DE CREACIÓN, FECHA DE MODIFICACIÓN Y SUPERFICIE (HÁ), SEGÚN REGIÓN. 2013</t>
  </si>
  <si>
    <t>CUADRO 3.1.2.3-08: ANTECEDENTES GENERALES DE LOS SITIOS DE LA CONVENCIÓN RAMSAR PRESENTES EN CHILE, POR PERTENENCIA O NO PERTENENCIA A LAS ÁREAS SILVESTRES PROTEGIDAS (ASP), POR AÑO DE CREACIÓN Y SUPERFICIE, SEGÚN REGIÓN. 2013</t>
  </si>
  <si>
    <t>CUADRO 3.1.2.3-09: ESPECIES PRIORITARIAS EN FLORA, SUJETAS AL PLAN NACIONAL DE CONSERVACIÓN (PNC) POR AÑO DE ELABORACIÓN Y ESTADO DE CONSERVACIÓN, SEGÚN REGIÓN DE SECRETARÍA TÉCNICA. 2013</t>
  </si>
  <si>
    <t>CUADRO 3.1.2.3-10: ESPECIES PRIORITARIAS EN FAUNA, SUJETAS AL PLAN NACIONAL DE CONSERVACIÓN (PNC) POR AÑO DE ELABORACIÓN Y ESTADO DE CONSERVACIÓN, SEGÚN REGIÓN DE SECRETARÍA TÉCNICA. 2013</t>
  </si>
  <si>
    <t>CUADRO 3.1.2.3.11: RECURSOS CULTURALES SEGÚN LAS ÁREAS SILVESTRES PROTEGIDAS (ASP). 2013</t>
  </si>
  <si>
    <t>CUADRO 3.1.2.3-12: NÚMERO DE SANTUARIOS DE LA NATURALEZA DECLARADOS POR DECRETO, SEGÚN REGIÓN. 2013</t>
  </si>
  <si>
    <t>CUADRO 3.1.2.3-13: NÚMERO DE SANTUARIOS DE LA NATURALEZA DECLARADOS POR DECRETO (HISTORICO, DESDE 1925), SEGÚN REGIÓN. 2013</t>
  </si>
  <si>
    <t>CUADRO 3.1.2.3-14: NÓMINA DE SANTUARIOS DE LA NATURALEZA DECLARADOS, SEGÚN REGIÓN. 2013</t>
  </si>
  <si>
    <t>CUADRO 3.1.2.3-15: VISITANTES TOTALES SEGÚN REGIÓN Y UNIDAD DEL SISTEMA NACIONAL DE ÁREAS SILVESTRES PROTEGIDAS DEL ESTADO (SNASPE). 2009-2013</t>
  </si>
  <si>
    <t>CUADRO 3.1.2.3-16: NÚMERO DE VISITANTES A UNIDADES DEL SISTEMA NACIONAL DE ÁREAS SILVESTRES PROTEGIDAS DEL ESTADO (SNASPE) POR AÑO Y NACIONALIDAD (CHILENA Y EXTRANJERA), SEGÚN REGIÓN Y UNIDAD DEL SNASPE. 2009-2013</t>
  </si>
  <si>
    <t>CUADRO 3.1.2.3-17: NÚMERO DE VISITANTES A UNIDADES DEL SISTEMA NACIONAL DE ÁREAS SILVESTRES PROTEGIDAS DEL ESTADO (SNASPE) POR AÑO Y SEXO, SEGÚN REGIÓN Y UNIDAD DEL SNASPE. 2009-2013</t>
  </si>
  <si>
    <t>CUADRO 3.1.2.3-18: NÚMERO DE VISITANTES A UNIDADES DEL SISTEMA NACIONAL DE ÁREAS PROTEGIDAS DEL ESTADO (SNASPE) POR AÑO Y TRAMO DE EDAD, SEGÚN REGIÓN Y UNIDAD DEL SNASPE. 2009-2013</t>
  </si>
  <si>
    <t>CUADRO 3.1.2.3-19: NÚMERO DE VISITANTES CON CONDICIONES ESPECIALES A UNIDADES DEL SISTEMA NACIONAL DE ÁREAS SILVESTRES PROTEGIDAS DEL ESTADO (SNASPE) POR AÑO, SEGÚN REGIÓN Y UNIDAD DEL SNASPE. 2009-2013</t>
  </si>
  <si>
    <t>3.1.3 VULNERACIONES AL PATRIMONIO</t>
  </si>
  <si>
    <t>CUADRO 3.1.3-01: NÚMERO DE APREHENDIDOS POR "DAÑOS O APROPIACIÓN SOBRE MONUMENTOS NACIONALES", POR SEXO Y GRUPOS DE EDAD, SEGÚN REGIÓN. 2013</t>
  </si>
  <si>
    <t>CUADRO 3.1.3-02: NÚMERO DE DELITOS INVESTIGADOS, PERSONAS DETENIDAS POR LEY 17.288 DE DELITOS PATRIMONIALES Y NÚMERO DE INCAUTACIONES, SEGÚN REGIÓN POLICIAL. 2013</t>
  </si>
  <si>
    <t>CUADRO 3.1.3-03: CAUSAS INGRESADAS Y TERMINADAS EN JUZGADOS DE GARANTÍA Y DE LETRAS Y GARANTÍA POR INFRACCIÓN A LA LEY DE DAÑOS O APROPIACIÓN SOBRE MONUMENTOS NACIONALES, SEGÚN CORTE DE APELACIÓN. 2013</t>
  </si>
  <si>
    <t>CUADRO 3.1.3-04: IMPUTADOS POR INFRACCIÓN A LA LEY 17.288, SEGÚN CORTE DE APELACIÓN. 2013</t>
  </si>
  <si>
    <t>CUADRO 3.1.3-05: DELITOS INGRESADOS AL MINISTERIO PÚBLICO EN RELACIÓN CON LA LEY DE DAÑOS O APROPIACIÓN DE MONUMENTOS NACIONALES, SEGÚN REGIÓN DE FISCALÍA. 2009-2013</t>
  </si>
  <si>
    <t>CUADRO 3.1.3-06: DELITOS TERMINADOS EN EL MINISTERIO PÚBLICO EN RELACIÓN A LA LEY DE DAÑOS O APROPIACIÓN DE MONUMENTOS NACIONALES, SEGÚN REGIÓN DE FISCALÍA. 2009-2013</t>
  </si>
  <si>
    <t>CUADRO 3.1.3-07: SENTENCIAS DEFINITIVAS CONDENATORIAS EN RELACIÓN A LA LEY DE DAÑOS O APROPIACIÓN DE MONUMENTOS NACIONALES, SEGÚN REGIÓN DE FISCALÍA. 2009-2013</t>
  </si>
  <si>
    <t>CUADRO 3.1.3-08: NÚMERO DE PIEZAS INCAUTADAS EN EL MARCO DE LA CONVENCIÓN SOBRE EL COMERCIO INTERNACIONAL DE ESPECIES AMENAZADAS DE FAUNA Y FLORA SILVESTRE (CITES), SEGÚN ADUANAS Y AVANZADA. 2013</t>
  </si>
  <si>
    <t>CUADRO 3.1.3-09: NÓMINA DE PIEZAS INCAUTADAS EN EL MARCO DE LA CONVENCIÓN SOBRE EL COMERCIO INTERNACIONAL DE ESPECIES AMENAZADAS DE FAUNA Y FLORA SILVESTRE (CITES), SEGÚN ADUANA Y ESPECIES. 2013</t>
  </si>
  <si>
    <t>CUADRO 3.1.3-10: NÚMERO DE PIEZAS PATRIMONIALES INCAUTADAS (LEY 17.288), SEGÚN ADUANA Y AVANZADA. 2013</t>
  </si>
  <si>
    <t>CUADRO 3.1.3-11: NÓMINA DE PIEZAS PATRIMONIALES INCAUTADAS (LEY 17.288) SEGÚN AVANZADA. 2013</t>
  </si>
  <si>
    <t xml:space="preserve">TOTAL </t>
  </si>
  <si>
    <t>FUENTE: Dirección de Bibliotecas, Archivos y Museos (Dibam).</t>
  </si>
  <si>
    <t>UNIDAD DE ORÍGEN Y TIPO DE PUBLICACIÓN</t>
  </si>
  <si>
    <t>Dirección de Bibliotecas, Archivos y Museos -DIBAM</t>
  </si>
  <si>
    <t xml:space="preserve">Memoria- Cuenta Pública </t>
  </si>
  <si>
    <t>Guías de Instituciones Dibam</t>
  </si>
  <si>
    <t>Revista Patrimonio PAT</t>
  </si>
  <si>
    <t xml:space="preserve">Publicaciones seminarios - congresos </t>
  </si>
  <si>
    <t>Cartelera mensual</t>
  </si>
  <si>
    <t>Letras en Género I, II y III</t>
  </si>
  <si>
    <t>Doble de letras: mujeres y trazos escritos</t>
  </si>
  <si>
    <t>Guía para la incorporación del enfoque de género en museos y bibliotecas</t>
  </si>
  <si>
    <t>Historia del arte y feminismo</t>
  </si>
  <si>
    <t>Unidad: Biblioteca Nacional</t>
  </si>
  <si>
    <t>Revista Mapocho (revista de literatura especializada publicada por el Archivo del Escritor)</t>
  </si>
  <si>
    <t>Otras publicaciones (Catálogos de las exposiciones, publicaciones sobre colecciones, etc.)</t>
  </si>
  <si>
    <t>Unidad: Biblioredes del Sistema Nacional de Bibliotecas Públicas</t>
  </si>
  <si>
    <t>Memoria 10 años Programa BiblioRedes</t>
  </si>
  <si>
    <t>Unidad: Subdirección de Archivos</t>
  </si>
  <si>
    <t>Guía de Fondos del Archivo Histórico</t>
  </si>
  <si>
    <t>Guía de Fondos del Archivo Nacional de la Administración</t>
  </si>
  <si>
    <t xml:space="preserve">Recorriendo nuestra historia – Documentos del Archivo Nacional </t>
  </si>
  <si>
    <t>Directrices para la identificación de fondos documentales</t>
  </si>
  <si>
    <t>Directrices para la organización documental</t>
  </si>
  <si>
    <t>Instructivos para las transferencias documentales al Archivo Nacional de Chile</t>
  </si>
  <si>
    <t xml:space="preserve">Revista del Archivo Nacional </t>
  </si>
  <si>
    <t>Guía de Conservación preventiva</t>
  </si>
  <si>
    <t>Unidad: Museo Histórico Nacional</t>
  </si>
  <si>
    <t xml:space="preserve">Libros </t>
  </si>
  <si>
    <t>Catálogos</t>
  </si>
  <si>
    <t>Unidad: Museo Nacional de Bellas Artes</t>
  </si>
  <si>
    <t>Librillo (40 páginas- vinculado a exposición o Departamento de Mediación y Educación)</t>
  </si>
  <si>
    <t>Catálogos editados por MNBA (más de 40 páginas)</t>
  </si>
  <si>
    <t>Catálogos editados por artistas con exposición o gestores culturales de la exposición</t>
  </si>
  <si>
    <t>Publicaciones de seminarios o conversatorios realizados en el museo</t>
  </si>
  <si>
    <t>Unidad: Museo Nacional de Historia Natural</t>
  </si>
  <si>
    <t>Boletín</t>
  </si>
  <si>
    <t>Publicación ocasional</t>
  </si>
  <si>
    <t>Biografías de Mujeres Científicas del MNHN</t>
  </si>
  <si>
    <t>Memoria de la Feria Científica del MNHN</t>
  </si>
  <si>
    <t>Guía del Parque Quinta Normal</t>
  </si>
  <si>
    <t>Unidad: Subdirección Nacional de Museos</t>
  </si>
  <si>
    <t>Folletos</t>
  </si>
  <si>
    <t>Publicaciones periódicas (revistas, boletines, anuales)</t>
  </si>
  <si>
    <t>Trípticos</t>
  </si>
  <si>
    <t>Unidad: Centro de Investigaciones Diego Barros Arana</t>
  </si>
  <si>
    <t>Publicaciones de difusión del patrimonio cultural nacional</t>
  </si>
  <si>
    <t>3.1.1.1 ARCHIVO</t>
  </si>
  <si>
    <t>Número de archivos públicos</t>
  </si>
  <si>
    <r>
      <rPr>
        <b/>
        <sz val="8"/>
        <rFont val="Verdana"/>
        <family val="2"/>
      </rPr>
      <t xml:space="preserve">1 </t>
    </r>
    <r>
      <rPr>
        <sz val="8"/>
        <rFont val="Verdana"/>
        <family val="2"/>
      </rPr>
      <t>Archivo Nacional Histórico.</t>
    </r>
  </si>
  <si>
    <r>
      <rPr>
        <b/>
        <sz val="8"/>
        <rFont val="Verdana"/>
        <family val="2"/>
      </rPr>
      <t xml:space="preserve">2 </t>
    </r>
    <r>
      <rPr>
        <sz val="8"/>
        <rFont val="Verdana"/>
        <family val="2"/>
      </rPr>
      <t>Archivo Nacional de la Administración (Arnad).</t>
    </r>
  </si>
  <si>
    <t xml:space="preserve"> - No registró movimiento</t>
  </si>
  <si>
    <t>Número de documentos contenidos en los archivos de la Dibam</t>
  </si>
  <si>
    <r>
      <rPr>
        <b/>
        <sz val="8"/>
        <rFont val="Verdana"/>
        <family val="2"/>
      </rPr>
      <t xml:space="preserve">2 </t>
    </r>
    <r>
      <rPr>
        <sz val="8"/>
        <rFont val="Verdana"/>
        <family val="2"/>
      </rPr>
      <t>Archivo Nacional Administración (Arnad).</t>
    </r>
  </si>
  <si>
    <r>
      <t>Número de usuarios</t>
    </r>
    <r>
      <rPr>
        <b/>
        <vertAlign val="superscript"/>
        <sz val="8"/>
        <rFont val="Verdana"/>
        <family val="2"/>
      </rPr>
      <t>/1</t>
    </r>
  </si>
  <si>
    <r>
      <rPr>
        <b/>
        <sz val="8"/>
        <rFont val="Verdana"/>
        <family val="2"/>
      </rPr>
      <t>1</t>
    </r>
    <r>
      <rPr>
        <sz val="8"/>
        <rFont val="Verdana"/>
        <family val="2"/>
      </rPr>
      <t xml:space="preserve"> Por usuario se entiende a aquel que consulta en sala o que solicita reproducción de documentos, certificaciones, etc.</t>
    </r>
  </si>
  <si>
    <r>
      <rPr>
        <b/>
        <sz val="8"/>
        <rFont val="Verdana"/>
        <family val="2"/>
      </rPr>
      <t xml:space="preserve">2 </t>
    </r>
    <r>
      <rPr>
        <sz val="8"/>
        <rFont val="Verdana"/>
        <family val="2"/>
      </rPr>
      <t>Archivo Nacional Histórico.</t>
    </r>
  </si>
  <si>
    <r>
      <rPr>
        <b/>
        <sz val="8"/>
        <rFont val="Verdana"/>
        <family val="2"/>
      </rPr>
      <t xml:space="preserve">3 </t>
    </r>
    <r>
      <rPr>
        <sz val="8"/>
        <rFont val="Verdana"/>
        <family val="2"/>
      </rPr>
      <t>Archivo Nacional de la Administración (Arnad). Este archivo reúne y conserva principalmente la documentación generada por la administración central del Estado de Chile, ministerios, servicios y direcciones y de los auxiliares de la administración de justicia (notarios y conservadores).</t>
    </r>
  </si>
  <si>
    <t xml:space="preserve"> - No registró movimiento.</t>
  </si>
  <si>
    <t>FUENTE: Dirección de Bibliotecas, Archivos y Museos (DIBAM).</t>
  </si>
  <si>
    <t>USUARIOS</t>
  </si>
  <si>
    <t>N° de usuarios presenciales y remotos de archivos</t>
  </si>
  <si>
    <t>Cantidad</t>
  </si>
  <si>
    <t>CATEGORÍA OCUPACIONAL</t>
  </si>
  <si>
    <t>Museo</t>
  </si>
  <si>
    <t>Museo Histórico Nacional (MHN)</t>
  </si>
  <si>
    <t>Museo Nacional de Historia Natural (MNHN)</t>
  </si>
  <si>
    <t>Museo Nacional de Bellas Artes (MNBA)</t>
  </si>
  <si>
    <r>
      <t>Subdirección Nacional de Museos (SNM)</t>
    </r>
    <r>
      <rPr>
        <b/>
        <vertAlign val="superscript"/>
        <sz val="8"/>
        <rFont val="Verdana"/>
        <family val="2"/>
      </rPr>
      <t>/1</t>
    </r>
  </si>
  <si>
    <t>Directivos</t>
  </si>
  <si>
    <t>Profesionales</t>
  </si>
  <si>
    <t>Administrativos</t>
  </si>
  <si>
    <t>Técnicos</t>
  </si>
  <si>
    <t>Auxiliares</t>
  </si>
  <si>
    <t>Vigilantes privados</t>
  </si>
  <si>
    <r>
      <rPr>
        <b/>
        <sz val="8"/>
        <rFont val="Verdana"/>
        <family val="2"/>
      </rPr>
      <t>1</t>
    </r>
    <r>
      <rPr>
        <sz val="8"/>
        <rFont val="Verdana"/>
        <family val="2"/>
      </rPr>
      <t xml:space="preserve"> No incluye a los museos nacionales.</t>
    </r>
  </si>
  <si>
    <t>TIPO DE COLECCIÓN</t>
  </si>
  <si>
    <r>
      <t>Cantidad</t>
    </r>
    <r>
      <rPr>
        <b/>
        <vertAlign val="superscript"/>
        <sz val="8"/>
        <rFont val="Verdana"/>
        <family val="2"/>
      </rPr>
      <t>/1</t>
    </r>
  </si>
  <si>
    <t>Misceláneos</t>
  </si>
  <si>
    <t>Arte/historia</t>
  </si>
  <si>
    <t>Historia/literatura</t>
  </si>
  <si>
    <t>Arqueológico</t>
  </si>
  <si>
    <t>Histórico</t>
  </si>
  <si>
    <t>Arte</t>
  </si>
  <si>
    <t>Religioso</t>
  </si>
  <si>
    <t>Arte/artesanía</t>
  </si>
  <si>
    <t>Antropológico</t>
  </si>
  <si>
    <t>Ciencia</t>
  </si>
  <si>
    <r>
      <rPr>
        <b/>
        <sz val="8"/>
        <rFont val="Verdana"/>
        <family val="2"/>
      </rPr>
      <t xml:space="preserve">1 </t>
    </r>
    <r>
      <rPr>
        <sz val="8"/>
        <rFont val="Verdana"/>
        <family val="2"/>
      </rPr>
      <t>Incluye todos los museos nacionales y regionales dependientes de Dibam. La clasificación fue realizada considerando el tipo de colección que tiene un mayor volúmen en cada museo.</t>
    </r>
  </si>
  <si>
    <t>TIPO DE EXPOSICIÓN Y NACIONALIDAD</t>
  </si>
  <si>
    <r>
      <t>Museo Histórico Nacional</t>
    </r>
    <r>
      <rPr>
        <b/>
        <vertAlign val="superscript"/>
        <sz val="8"/>
        <rFont val="Verdana"/>
        <family val="2"/>
      </rPr>
      <t>/1</t>
    </r>
  </si>
  <si>
    <r>
      <t>Museo Nacional de Historia Natural</t>
    </r>
    <r>
      <rPr>
        <b/>
        <vertAlign val="superscript"/>
        <sz val="8"/>
        <rFont val="Verdana"/>
        <family val="2"/>
      </rPr>
      <t>/2</t>
    </r>
  </si>
  <si>
    <t>Museo Nacional de Bellas Artes</t>
  </si>
  <si>
    <r>
      <t>Subdirección Nacional de Museos</t>
    </r>
    <r>
      <rPr>
        <b/>
        <vertAlign val="superscript"/>
        <sz val="8"/>
        <rFont val="Verdana"/>
        <family val="2"/>
      </rPr>
      <t>/3</t>
    </r>
  </si>
  <si>
    <t xml:space="preserve">TOTAL TIPO DE EXPOSICIÓN </t>
  </si>
  <si>
    <t>Temporales</t>
  </si>
  <si>
    <t>Itinerantes</t>
  </si>
  <si>
    <t>-</t>
  </si>
  <si>
    <t>Permanentes</t>
  </si>
  <si>
    <t>TOTAL NACIONALIDAD</t>
  </si>
  <si>
    <t>Nacionales</t>
  </si>
  <si>
    <t>Internacionales</t>
  </si>
  <si>
    <r>
      <rPr>
        <b/>
        <sz val="8"/>
        <rFont val="Verdana"/>
        <family val="2"/>
      </rPr>
      <t>1</t>
    </r>
    <r>
      <rPr>
        <sz val="8"/>
        <rFont val="Verdana"/>
        <family val="2"/>
      </rPr>
      <t xml:space="preserve"> La exposición permanente comprende 19 salas de exhibición, de distintos períodos históricos.</t>
    </r>
  </si>
  <si>
    <r>
      <rPr>
        <b/>
        <sz val="8"/>
        <rFont val="Verdana"/>
        <family val="2"/>
      </rPr>
      <t>2</t>
    </r>
    <r>
      <rPr>
        <sz val="8"/>
        <rFont val="Verdana"/>
        <family val="2"/>
      </rPr>
      <t xml:space="preserve"> Luego de ocurrido el terremoto en el año 2012, la reapertura del museo se realizó con una exposición permanente.</t>
    </r>
  </si>
  <si>
    <r>
      <rPr>
        <b/>
        <sz val="8"/>
        <rFont val="Verdana"/>
        <family val="2"/>
      </rPr>
      <t>3</t>
    </r>
    <r>
      <rPr>
        <sz val="8"/>
        <rFont val="Verdana"/>
        <family val="2"/>
      </rPr>
      <t xml:space="preserve"> La Subdirección Nacional de Museos tiene un campo de acción directo referido a 24 de los 27 museos Dibam; no incluye a los museos nacionales.</t>
    </r>
  </si>
  <si>
    <t>CONTINENTE DE DESTINO</t>
  </si>
  <si>
    <r>
      <t>Museo Nacional de Bellas Artes</t>
    </r>
    <r>
      <rPr>
        <b/>
        <vertAlign val="superscript"/>
        <sz val="8"/>
        <rFont val="Verdana"/>
        <family val="2"/>
      </rPr>
      <t>/1</t>
    </r>
  </si>
  <si>
    <t>Asia</t>
  </si>
  <si>
    <t>Europa</t>
  </si>
  <si>
    <t>América</t>
  </si>
  <si>
    <r>
      <rPr>
        <b/>
        <sz val="8"/>
        <rFont val="Verdana"/>
        <family val="2"/>
      </rPr>
      <t>1</t>
    </r>
    <r>
      <rPr>
        <sz val="8"/>
        <rFont val="Verdana"/>
        <family val="2"/>
      </rPr>
      <t xml:space="preserve"> Cada autorización incluye más de una obra, por lo tanto con el fin de entregar mayor información se procedió a desagregar por la cantidad de obras destinadas a los diferentes continentes.</t>
    </r>
  </si>
  <si>
    <t>-No registró movimiento.</t>
  </si>
  <si>
    <t>INDICADORES</t>
  </si>
  <si>
    <r>
      <t>Museo Nacional de Historia Natural (MNHN)</t>
    </r>
    <r>
      <rPr>
        <b/>
        <vertAlign val="superscript"/>
        <sz val="8"/>
        <rFont val="Verdana"/>
        <family val="2"/>
      </rPr>
      <t>/1</t>
    </r>
  </si>
  <si>
    <t>Subdirección Nacional de Museos (SNM)</t>
  </si>
  <si>
    <t xml:space="preserve">N° de usuarios atendidos por área educativa </t>
  </si>
  <si>
    <t>N° de usuarios de la (s) biblioteca(s) especializada</t>
  </si>
  <si>
    <t xml:space="preserve">N° de usuarios en delegaciones con servicio de visita guiada </t>
  </si>
  <si>
    <t xml:space="preserve">N° total de actividades como charlas, conferencias y/o seminarios organizados y desarrollados por museos </t>
  </si>
  <si>
    <t xml:space="preserve">N° total de actividades de extensión realizadas por la Subdirección Nacional de Museos y sus unidades dependientes </t>
  </si>
  <si>
    <t>N° de museos con exhibición permanente renovada con 100% de objetos exhibidos ingresados a Sistema SUR con imágenes</t>
  </si>
  <si>
    <t>Nº de charlas, conferencias y/o seminarios organizados y desarrollados por el MNBA en directa relación con la artes visuales y/o patrimonio artístico visual nacional e internacional efectivamente realizados año 2012</t>
  </si>
  <si>
    <r>
      <rPr>
        <b/>
        <sz val="8"/>
        <rFont val="Verdana"/>
        <family val="2"/>
      </rPr>
      <t xml:space="preserve">1 </t>
    </r>
    <r>
      <rPr>
        <sz val="8"/>
        <rFont val="Verdana"/>
        <family val="2"/>
      </rPr>
      <t>En el caso del Museo Histórico Nacional (MNHN) el dato "N° de Usuarios en delegaciones con servicio de visita guiada", corresponde a usuarios que participan de actividades didácticas.</t>
    </r>
  </si>
  <si>
    <t xml:space="preserve"> … Información no disponible.</t>
  </si>
  <si>
    <t>TIPO DE PIEZA</t>
  </si>
  <si>
    <t>Número de piezas restauradas</t>
  </si>
  <si>
    <t>Museo Histórico Nacional  (MHN)</t>
  </si>
  <si>
    <t>Nacional</t>
  </si>
  <si>
    <t>Regional</t>
  </si>
  <si>
    <r>
      <t>Nacional</t>
    </r>
    <r>
      <rPr>
        <b/>
        <vertAlign val="superscript"/>
        <sz val="8"/>
        <rFont val="Verdana"/>
        <family val="2"/>
      </rPr>
      <t>/9</t>
    </r>
  </si>
  <si>
    <t>Columna</t>
  </si>
  <si>
    <t>Escultura</t>
  </si>
  <si>
    <t>Timón</t>
  </si>
  <si>
    <t>Casa de muñecas</t>
  </si>
  <si>
    <t>Anteojos</t>
  </si>
  <si>
    <t>Pintura</t>
  </si>
  <si>
    <t>Sillón</t>
  </si>
  <si>
    <r>
      <t>Biblioteca</t>
    </r>
    <r>
      <rPr>
        <vertAlign val="superscript"/>
        <sz val="8"/>
        <color theme="1"/>
        <rFont val="Verdana"/>
        <family val="2"/>
      </rPr>
      <t>/1</t>
    </r>
  </si>
  <si>
    <r>
      <t>Antropología</t>
    </r>
    <r>
      <rPr>
        <vertAlign val="superscript"/>
        <sz val="8"/>
        <color theme="1"/>
        <rFont val="Verdana"/>
        <family val="2"/>
      </rPr>
      <t>/2</t>
    </r>
  </si>
  <si>
    <r>
      <t>Paleontología</t>
    </r>
    <r>
      <rPr>
        <vertAlign val="superscript"/>
        <sz val="8"/>
        <color theme="1"/>
        <rFont val="Verdana"/>
        <family val="2"/>
      </rPr>
      <t>/3</t>
    </r>
  </si>
  <si>
    <r>
      <t>Vertebrados</t>
    </r>
    <r>
      <rPr>
        <vertAlign val="superscript"/>
        <sz val="8"/>
        <color theme="1"/>
        <rFont val="Verdana"/>
        <family val="2"/>
      </rPr>
      <t>/4</t>
    </r>
  </si>
  <si>
    <r>
      <t>Taxidermia</t>
    </r>
    <r>
      <rPr>
        <vertAlign val="superscript"/>
        <sz val="8"/>
        <color theme="1"/>
        <rFont val="Verdana"/>
        <family val="2"/>
      </rPr>
      <t>/5</t>
    </r>
  </si>
  <si>
    <r>
      <t>Pinturas de caballete</t>
    </r>
    <r>
      <rPr>
        <vertAlign val="superscript"/>
        <sz val="8"/>
        <color theme="1"/>
        <rFont val="Verdana"/>
        <family val="2"/>
      </rPr>
      <t>/6</t>
    </r>
  </si>
  <si>
    <r>
      <t>Encáustica sobre madera aglomerada</t>
    </r>
    <r>
      <rPr>
        <vertAlign val="superscript"/>
        <sz val="8"/>
        <color theme="1"/>
        <rFont val="Verdana"/>
        <family val="2"/>
      </rPr>
      <t>/7</t>
    </r>
  </si>
  <si>
    <r>
      <t>Óleo sobre papel y metal</t>
    </r>
    <r>
      <rPr>
        <vertAlign val="superscript"/>
        <sz val="8"/>
        <color theme="1"/>
        <rFont val="Verdana"/>
        <family val="2"/>
      </rPr>
      <t>/8</t>
    </r>
  </si>
  <si>
    <t>Especímenes biológicos</t>
  </si>
  <si>
    <t>Imaginería religiosa</t>
  </si>
  <si>
    <t>Históricos</t>
  </si>
  <si>
    <t>Arqueológicos</t>
  </si>
  <si>
    <t>Arte (pintura mural, óleos)</t>
  </si>
  <si>
    <r>
      <rPr>
        <b/>
        <sz val="8"/>
        <rFont val="Verdana"/>
        <family val="2"/>
      </rPr>
      <t xml:space="preserve">1 </t>
    </r>
    <r>
      <rPr>
        <sz val="8"/>
        <rFont val="Verdana"/>
        <family val="2"/>
      </rPr>
      <t>Libro colección R. Philippi.</t>
    </r>
  </si>
  <si>
    <r>
      <rPr>
        <b/>
        <sz val="8"/>
        <rFont val="Verdana"/>
        <family val="2"/>
      </rPr>
      <t xml:space="preserve">2 </t>
    </r>
    <r>
      <rPr>
        <sz val="8"/>
        <rFont val="Verdana"/>
        <family val="2"/>
      </rPr>
      <t>Cerámicas N° 2013.1.567, 2013.1.566, Go3t31N°176, 2013.3.368, y Concha de Macha N° 2013.1.12.</t>
    </r>
  </si>
  <si>
    <r>
      <rPr>
        <b/>
        <sz val="8"/>
        <rFont val="Verdana"/>
        <family val="2"/>
      </rPr>
      <t xml:space="preserve">3 </t>
    </r>
    <r>
      <rPr>
        <sz val="8"/>
        <rFont val="Verdana"/>
        <family val="2"/>
      </rPr>
      <t>Cráneo y defensas de Gonfoterio. Sin N° y 1 Defensa de Mastodonte, Museo Regional de Rancagua. N° 793.</t>
    </r>
  </si>
  <si>
    <r>
      <rPr>
        <b/>
        <sz val="8"/>
        <rFont val="Verdana"/>
        <family val="2"/>
      </rPr>
      <t xml:space="preserve">4 </t>
    </r>
    <r>
      <rPr>
        <sz val="8"/>
        <rFont val="Verdana"/>
        <family val="2"/>
      </rPr>
      <t>Esqueleto de ballena en hall central del museo. Sin N°.</t>
    </r>
  </si>
  <si>
    <r>
      <rPr>
        <b/>
        <sz val="8"/>
        <color theme="1"/>
        <rFont val="Verdana"/>
        <family val="2"/>
      </rPr>
      <t xml:space="preserve">5 </t>
    </r>
    <r>
      <rPr>
        <sz val="8"/>
        <color theme="1"/>
        <rFont val="Verdana"/>
        <family val="2"/>
      </rPr>
      <t>Ejemplares diferentes.</t>
    </r>
  </si>
  <si>
    <r>
      <rPr>
        <b/>
        <sz val="8"/>
        <rFont val="Verdana"/>
        <family val="2"/>
      </rPr>
      <t xml:space="preserve">6 </t>
    </r>
    <r>
      <rPr>
        <sz val="8"/>
        <rFont val="Verdana"/>
        <family val="2"/>
      </rPr>
      <t>Óleo sobre tela:Les Pollens -Tanguy, Composición- Lam,La Carnicería-Balmes, Rugged Farm - J.F. Murphy,Campanario de una aldea de Nueva Inglaterra-Stacey, Geométrico - Mario Carreño,La Negra - María Aranís Valdivia, El tocadorde Flauta - Camilo Mori, Felipe II y el Gran Inquisidor - Pedro Lira, Cristóbal Colón encadenado - Pedro León Carmona, El Pan Bendito -Nicanor González Méndez, La Coronación de la Virgen - Nicanor González Méndez, Magdalena en Penitencia - Alfredo Valenzuela Puelma.</t>
    </r>
  </si>
  <si>
    <r>
      <rPr>
        <b/>
        <sz val="8"/>
        <color theme="1"/>
        <rFont val="Verdana"/>
        <family val="2"/>
      </rPr>
      <t xml:space="preserve">7 </t>
    </r>
    <r>
      <rPr>
        <sz val="8"/>
        <color theme="1"/>
        <rFont val="Verdana"/>
        <family val="2"/>
      </rPr>
      <t>Frika-Brauner.</t>
    </r>
  </si>
  <si>
    <r>
      <rPr>
        <b/>
        <sz val="8"/>
        <rFont val="Verdana"/>
        <family val="2"/>
      </rPr>
      <t xml:space="preserve">8 </t>
    </r>
    <r>
      <rPr>
        <sz val="8"/>
        <rFont val="Verdana"/>
        <family val="2"/>
      </rPr>
      <t>L’oeuf des Philosophes-Hérold.</t>
    </r>
  </si>
  <si>
    <r>
      <rPr>
        <b/>
        <sz val="8"/>
        <rFont val="Verdana"/>
        <family val="2"/>
      </rPr>
      <t>9</t>
    </r>
    <r>
      <rPr>
        <sz val="8"/>
        <rFont val="Verdana"/>
        <family val="2"/>
      </rPr>
      <t xml:space="preserve"> Todos los museos dependientes de la Subdirección Nacional de Museos, son identificados como regionales y/o especializados, por cuanto las piezas que declara, no pueden ser clasificados a nivel nacional.</t>
    </r>
  </si>
  <si>
    <t>Tipo de pieza y característica</t>
  </si>
  <si>
    <t>DATOS DEL CENTRO NACIONAL DE CONSERVACIÓN Y RESTAURACIÓN</t>
  </si>
  <si>
    <t xml:space="preserve">N° de asesorías en conservación y restauración efectivamente realizadas por el Centro Nacional de Conservación y Restauración </t>
  </si>
  <si>
    <t xml:space="preserve">N° de objetos intervenidos </t>
  </si>
  <si>
    <t>N° de personas capacitadas en servicios de educación para la conservación</t>
  </si>
  <si>
    <t>N° de usuarios de la biblioteca especializada</t>
  </si>
  <si>
    <t>TIPO DE ENTRADA</t>
  </si>
  <si>
    <t>Entrada pagada</t>
  </si>
  <si>
    <t>Entrada gratuita</t>
  </si>
  <si>
    <t xml:space="preserve">Museo Histórico Nacional </t>
  </si>
  <si>
    <t>Museo Nacional de Historia Natural</t>
  </si>
  <si>
    <t>Subdirección Nacional de Museos</t>
  </si>
  <si>
    <r>
      <t>GRUPOS DE EDAD</t>
    </r>
    <r>
      <rPr>
        <b/>
        <vertAlign val="superscript"/>
        <sz val="8"/>
        <rFont val="Verdana"/>
        <family val="2"/>
      </rPr>
      <t>/1</t>
    </r>
  </si>
  <si>
    <r>
      <t>Museo Nacional de Historia Natural (MNHN)</t>
    </r>
    <r>
      <rPr>
        <b/>
        <vertAlign val="superscript"/>
        <sz val="8"/>
        <rFont val="Verdana"/>
        <family val="2"/>
      </rPr>
      <t>/2</t>
    </r>
  </si>
  <si>
    <r>
      <t>Menores de edad</t>
    </r>
    <r>
      <rPr>
        <vertAlign val="superscript"/>
        <sz val="8"/>
        <rFont val="Verdana"/>
        <family val="2"/>
      </rPr>
      <t>/3</t>
    </r>
  </si>
  <si>
    <r>
      <t>Adultos</t>
    </r>
    <r>
      <rPr>
        <vertAlign val="superscript"/>
        <sz val="8"/>
        <rFont val="Verdana"/>
        <family val="2"/>
      </rPr>
      <t>/4</t>
    </r>
  </si>
  <si>
    <r>
      <t>Adultos mayores</t>
    </r>
    <r>
      <rPr>
        <vertAlign val="superscript"/>
        <sz val="8"/>
        <rFont val="Verdana"/>
        <family val="2"/>
      </rPr>
      <t>/5</t>
    </r>
  </si>
  <si>
    <r>
      <rPr>
        <b/>
        <sz val="8"/>
        <rFont val="Verdana"/>
        <family val="2"/>
      </rPr>
      <t xml:space="preserve">1 </t>
    </r>
    <r>
      <rPr>
        <sz val="8"/>
        <rFont val="Verdana"/>
        <family val="2"/>
      </rPr>
      <t>Se realiza desagregación según grupos de edad, sólo a las "Entradas Pagadas" de los diferentes museos.</t>
    </r>
  </si>
  <si>
    <r>
      <rPr>
        <b/>
        <sz val="8"/>
        <rFont val="Verdana"/>
        <family val="2"/>
      </rPr>
      <t>2</t>
    </r>
    <r>
      <rPr>
        <sz val="8"/>
        <rFont val="Verdana"/>
        <family val="2"/>
      </rPr>
      <t xml:space="preserve"> El Museo Nacional de Historia Natural durante el 2013 sólo realizó desagregación de usuarios por entrada pagada en el edificio. Las visitas en domingos y festivos al igual que todas las actividades desarrolladas fuera de éste son gratuitas.</t>
    </r>
  </si>
  <si>
    <r>
      <rPr>
        <b/>
        <sz val="8"/>
        <rFont val="Verdana"/>
        <family val="2"/>
      </rPr>
      <t xml:space="preserve">3 </t>
    </r>
    <r>
      <rPr>
        <sz val="8"/>
        <rFont val="Verdana"/>
        <family val="2"/>
      </rPr>
      <t>Personas menores de 18 años.</t>
    </r>
  </si>
  <si>
    <r>
      <rPr>
        <b/>
        <sz val="8"/>
        <rFont val="Verdana"/>
        <family val="2"/>
      </rPr>
      <t>4</t>
    </r>
    <r>
      <rPr>
        <sz val="8"/>
        <color theme="1"/>
        <rFont val="Verdana"/>
        <family val="2"/>
      </rPr>
      <t xml:space="preserve"> Mujeres entre 18 y 60 de edad y hombres entre 18 y 65 años</t>
    </r>
  </si>
  <si>
    <r>
      <rPr>
        <b/>
        <sz val="8"/>
        <rFont val="Verdana"/>
        <family val="2"/>
      </rPr>
      <t xml:space="preserve">5 </t>
    </r>
    <r>
      <rPr>
        <sz val="8"/>
        <rFont val="Verdana"/>
        <family val="2"/>
      </rPr>
      <t>Mujeres mayores de 60 años y hombres mayores de 65 años.</t>
    </r>
  </si>
  <si>
    <t> ÍTEM</t>
  </si>
  <si>
    <t>N° autorizaciones por decreto</t>
  </si>
  <si>
    <t>Monumentos históricos (bienes muebles)</t>
  </si>
  <si>
    <t>Monumentos arqueológicos y paleontológicos</t>
  </si>
  <si>
    <t>N° Monumentos históricos (piezas)</t>
  </si>
  <si>
    <t>… Información no disponible.</t>
  </si>
  <si>
    <t>Fuente: Consejo de Monumentos Nacionales (CMN).</t>
  </si>
  <si>
    <t>Destino</t>
  </si>
  <si>
    <t>N° Autorizaciones por decreto</t>
  </si>
  <si>
    <r>
      <t>2011</t>
    </r>
    <r>
      <rPr>
        <b/>
        <vertAlign val="superscript"/>
        <sz val="8"/>
        <rFont val="Verdana"/>
        <family val="2"/>
      </rPr>
      <t>/1</t>
    </r>
  </si>
  <si>
    <r>
      <t>2012</t>
    </r>
    <r>
      <rPr>
        <b/>
        <vertAlign val="superscript"/>
        <sz val="8"/>
        <rFont val="Verdana"/>
        <family val="2"/>
      </rPr>
      <t>/2</t>
    </r>
  </si>
  <si>
    <r>
      <t>2013</t>
    </r>
    <r>
      <rPr>
        <b/>
        <vertAlign val="superscript"/>
        <sz val="8"/>
        <rFont val="Verdana"/>
        <family val="2"/>
      </rPr>
      <t>/3</t>
    </r>
  </si>
  <si>
    <r>
      <rPr>
        <b/>
        <sz val="8"/>
        <rFont val="Verdana"/>
        <family val="2"/>
      </rPr>
      <t>1</t>
    </r>
    <r>
      <rPr>
        <sz val="8"/>
        <rFont val="Verdana"/>
        <family val="2"/>
      </rPr>
      <t xml:space="preserve"> Destino Estados Unidos y México, Brasil y Japón.</t>
    </r>
  </si>
  <si>
    <r>
      <rPr>
        <b/>
        <sz val="8"/>
        <rFont val="Verdana"/>
        <family val="2"/>
      </rPr>
      <t>2</t>
    </r>
    <r>
      <rPr>
        <sz val="8"/>
        <rFont val="Verdana"/>
        <family val="2"/>
      </rPr>
      <t> Destino Japón y España.</t>
    </r>
  </si>
  <si>
    <r>
      <rPr>
        <b/>
        <sz val="8"/>
        <rFont val="Verdana"/>
        <family val="2"/>
      </rPr>
      <t xml:space="preserve">3 </t>
    </r>
    <r>
      <rPr>
        <sz val="8"/>
        <rFont val="Verdana"/>
        <family val="2"/>
      </rPr>
      <t>Destino Francia, Japón, Italia, Perú, Colombia, Costa Rica y Nicaragua.</t>
    </r>
  </si>
  <si>
    <t>FUENTE: Consejo de Monumentos Nacionales (CMN).</t>
  </si>
  <si>
    <t>TIPO DE MONUMENTO</t>
  </si>
  <si>
    <r>
      <t>Asia</t>
    </r>
    <r>
      <rPr>
        <b/>
        <vertAlign val="superscript"/>
        <sz val="8"/>
        <rFont val="Verdana"/>
        <family val="2"/>
      </rPr>
      <t>/1</t>
    </r>
  </si>
  <si>
    <r>
      <t>Europa</t>
    </r>
    <r>
      <rPr>
        <b/>
        <vertAlign val="superscript"/>
        <sz val="8"/>
        <rFont val="Verdana"/>
        <family val="2"/>
      </rPr>
      <t>/2</t>
    </r>
  </si>
  <si>
    <r>
      <t>América</t>
    </r>
    <r>
      <rPr>
        <b/>
        <vertAlign val="superscript"/>
        <sz val="8"/>
        <rFont val="Verdana"/>
        <family val="2"/>
      </rPr>
      <t>/3</t>
    </r>
  </si>
  <si>
    <t>Monumentos arqueológicos</t>
  </si>
  <si>
    <t>Monumentos paleontológicos</t>
  </si>
  <si>
    <r>
      <rPr>
        <b/>
        <sz val="8"/>
        <rFont val="Verdana"/>
        <family val="2"/>
      </rPr>
      <t xml:space="preserve">1 </t>
    </r>
    <r>
      <rPr>
        <sz val="8"/>
        <rFont val="Verdana"/>
        <family val="2"/>
      </rPr>
      <t>El total informado considera 1 pieza a Japón.</t>
    </r>
  </si>
  <si>
    <r>
      <rPr>
        <b/>
        <sz val="8"/>
        <rFont val="Verdana"/>
        <family val="2"/>
      </rPr>
      <t xml:space="preserve">2 </t>
    </r>
    <r>
      <rPr>
        <sz val="8"/>
        <rFont val="Verdana"/>
        <family val="2"/>
      </rPr>
      <t>El total informado considera la salida de 7 piezas a Francia y 2 piezas a Italia.</t>
    </r>
  </si>
  <si>
    <r>
      <rPr>
        <b/>
        <sz val="8"/>
        <rFont val="Verdana"/>
        <family val="2"/>
      </rPr>
      <t xml:space="preserve">3 </t>
    </r>
    <r>
      <rPr>
        <sz val="8"/>
        <rFont val="Verdana"/>
        <family val="2"/>
      </rPr>
      <t>El total informado considera 39 piezas a Perú y 36 piezas itinerantes a Colombia, Costa Rica y Nicaragua.</t>
    </r>
  </si>
  <si>
    <t>Solicitudes de declaración de monumentos nacionales</t>
  </si>
  <si>
    <t xml:space="preserve">Total </t>
  </si>
  <si>
    <r>
      <t>Monumentos históricos muebles</t>
    </r>
    <r>
      <rPr>
        <b/>
        <vertAlign val="superscript"/>
        <sz val="8"/>
        <rFont val="Verdana"/>
        <family val="2"/>
      </rPr>
      <t>/1</t>
    </r>
  </si>
  <si>
    <t>Monumentos históricos inmuebles</t>
  </si>
  <si>
    <t>Santuarios de la naturaleza</t>
  </si>
  <si>
    <t>Zonas típicas</t>
  </si>
  <si>
    <r>
      <rPr>
        <b/>
        <sz val="8"/>
        <rFont val="Verdana"/>
        <family val="2"/>
      </rPr>
      <t xml:space="preserve">1 </t>
    </r>
    <r>
      <rPr>
        <sz val="8"/>
        <rFont val="Verdana"/>
        <family val="2"/>
      </rPr>
      <t>Para efectos de contabilizar las solicitudes de declaración de monumentos históricos muebles, se consideraron por unidad cada uno de los bienes incluidos, independientemente que ingresaran en una sola solicitud. Sin embargo, para el caso de colecciones, se entendieron éstas como una unidad.</t>
    </r>
  </si>
  <si>
    <t>Monumentos nacionales declarados por decreto</t>
  </si>
  <si>
    <t>Monumentos históricos muebles</t>
  </si>
  <si>
    <t>REGIÓN Y MONUMENTO</t>
  </si>
  <si>
    <r>
      <t>Componente</t>
    </r>
    <r>
      <rPr>
        <b/>
        <vertAlign val="superscript"/>
        <sz val="8"/>
        <rFont val="Verdana"/>
        <family val="2"/>
      </rPr>
      <t>/1</t>
    </r>
  </si>
  <si>
    <r>
      <t>Categoría</t>
    </r>
    <r>
      <rPr>
        <b/>
        <vertAlign val="superscript"/>
        <sz val="8"/>
        <rFont val="Verdana"/>
        <family val="2"/>
      </rPr>
      <t>/2</t>
    </r>
  </si>
  <si>
    <r>
      <t>Mueble / Inmueble</t>
    </r>
    <r>
      <rPr>
        <b/>
        <vertAlign val="superscript"/>
        <sz val="8"/>
        <rFont val="Verdana"/>
        <family val="2"/>
      </rPr>
      <t>/3</t>
    </r>
  </si>
  <si>
    <t>Iglesia San Bartolomé de Livilcar</t>
  </si>
  <si>
    <t>MH</t>
  </si>
  <si>
    <t>I</t>
  </si>
  <si>
    <t>Iglesia de San Andrés Apóstol de Pachama</t>
  </si>
  <si>
    <t>Iglesia de San Santiago de Belén</t>
  </si>
  <si>
    <t>Iglesia de la Virgen de la Candelaria de Belén</t>
  </si>
  <si>
    <t>Iglesia de la Virgen de la Asunción de Ticnamar</t>
  </si>
  <si>
    <t>Iglesia de San Antonio de Padua de Aico</t>
  </si>
  <si>
    <t>Iglesia de San Isidro Labrador de Cobija</t>
  </si>
  <si>
    <t>Iglesia de la Virgen de la Inmaculada Concepción de Guallatire</t>
  </si>
  <si>
    <t>Las casas del ferrocarril de Antofagasta</t>
  </si>
  <si>
    <t>ZT</t>
  </si>
  <si>
    <t>Acueducto de Amolanas</t>
  </si>
  <si>
    <t>Canal</t>
  </si>
  <si>
    <t>Bodega original de la antigua planta Lautaro</t>
  </si>
  <si>
    <t>Construcción 1</t>
  </si>
  <si>
    <t>Construcción 2</t>
  </si>
  <si>
    <t>Construcción 3</t>
  </si>
  <si>
    <t>Predio de la antigua Plaza Lautaro</t>
  </si>
  <si>
    <t>Pueblo de Diaguitas</t>
  </si>
  <si>
    <t>Siete Órganos musicales Cavaillé-Coll</t>
  </si>
  <si>
    <t>Órgano de la Iglesia de los SSCC de Valparaíso</t>
  </si>
  <si>
    <t>M</t>
  </si>
  <si>
    <t>Órgano del Convento del Buen Pastor de San Felipe</t>
  </si>
  <si>
    <t>Órgano del Santuario de lo Vásquez de Casablanca</t>
  </si>
  <si>
    <t>Teatro Cariola</t>
  </si>
  <si>
    <t>Coberturas de aerofotogrametría</t>
  </si>
  <si>
    <t>228 rollos con 49.000 negativos obtenidos en los vuelos Trimetrogon (1944-1945)</t>
  </si>
  <si>
    <t>Órgano  de la Iglesia de la preciosa Sangre de Santiago</t>
  </si>
  <si>
    <t>Órgano de la Parroquia del Asilo del Carmen</t>
  </si>
  <si>
    <t>Órgano de la Iglesia de los Capuchinos de Santiago</t>
  </si>
  <si>
    <t>Órgano de la Iglesia de San Pedro de Santiago</t>
  </si>
  <si>
    <t>San Juan de Piche</t>
  </si>
  <si>
    <t>SN</t>
  </si>
  <si>
    <t>83 rollos con 10.000 negativos, obtenidos en los vuelos HYCON (1954-1955)</t>
  </si>
  <si>
    <t>147 rollos con 20.900 negativos, obtenidos e los vuelos OEA (1960-1961)</t>
  </si>
  <si>
    <t>Bosque de Calabacillo</t>
  </si>
  <si>
    <t>Escuelas Concentradas de Talca</t>
  </si>
  <si>
    <t>Escuela Superior de Hombres Carlos Salinas</t>
  </si>
  <si>
    <t>Escuela Superior de Niñas Presidente José Manuel Balmaceda y Fernández</t>
  </si>
  <si>
    <t>Deportivo y Cine Bellavista - Tomé</t>
  </si>
  <si>
    <t>Iglesia de San Leonardo de Porto Mauricio</t>
  </si>
  <si>
    <t>Casa Machmar (Ex Casa Daniel)</t>
  </si>
  <si>
    <t>Teatro Galia</t>
  </si>
  <si>
    <t>Casa del Fundo El Llolly</t>
  </si>
  <si>
    <t>Estación de Collilelfu</t>
  </si>
  <si>
    <t>Puente Collilelfu</t>
  </si>
  <si>
    <t>Conjunto Ferroviario de Collilelfu</t>
  </si>
  <si>
    <t>Templo Luterano de Frutillar</t>
  </si>
  <si>
    <t>Frutillar Bajo</t>
  </si>
  <si>
    <t>Villa Quinchao</t>
  </si>
  <si>
    <r>
      <rPr>
        <b/>
        <sz val="8"/>
        <rFont val="Verdana"/>
        <family val="2"/>
      </rPr>
      <t xml:space="preserve">1 </t>
    </r>
    <r>
      <rPr>
        <sz val="8"/>
        <rFont val="Verdana"/>
        <family val="2"/>
      </rPr>
      <t xml:space="preserve">Debido a que los componentes permiten representar distintas piezas de un mismo monumento, hay regiones en las cuales no existe información al respecto, debido a que la declaratoria se asocia a monumentos independientes entre sí.   </t>
    </r>
  </si>
  <si>
    <r>
      <rPr>
        <b/>
        <sz val="8"/>
        <rFont val="Verdana"/>
        <family val="2"/>
      </rPr>
      <t>2</t>
    </r>
    <r>
      <rPr>
        <sz val="8"/>
        <rFont val="Verdana"/>
        <family val="2"/>
      </rPr>
      <t xml:space="preserve"> Definiciones de Categoría: MH : Monumentos Históricos; ZT : Zonas Típicas; SN: Santuario de la Naturaleza.</t>
    </r>
  </si>
  <si>
    <r>
      <rPr>
        <b/>
        <sz val="8"/>
        <rFont val="Verdana"/>
        <family val="2"/>
      </rPr>
      <t xml:space="preserve">3 </t>
    </r>
    <r>
      <rPr>
        <sz val="8"/>
        <rFont val="Verdana"/>
        <family val="2"/>
      </rPr>
      <t xml:space="preserve">Abreviación de categoría: Mueble: M e Inmueble: I </t>
    </r>
  </si>
  <si>
    <r>
      <t>CUADRO 3.1.2.2.-01: NÚMERO DE INMUEBLES Y ACTIVIDADES REALIZADAS EN EL DÍA DEL PATRIMONIO CULTURAL EN EL PAÍS. 2013</t>
    </r>
    <r>
      <rPr>
        <b/>
        <vertAlign val="superscript"/>
        <sz val="8"/>
        <rFont val="Verdana"/>
        <family val="2"/>
      </rPr>
      <t>/1</t>
    </r>
  </si>
  <si>
    <t>INMUEBLES Y ACTIVIDADES</t>
  </si>
  <si>
    <t xml:space="preserve">N° de apertura de edificios </t>
  </si>
  <si>
    <t xml:space="preserve">N° de recorridos </t>
  </si>
  <si>
    <t>N° de otras actividades</t>
  </si>
  <si>
    <r>
      <rPr>
        <b/>
        <sz val="8"/>
        <rFont val="Verdana"/>
        <family val="2"/>
      </rPr>
      <t xml:space="preserve">1 </t>
    </r>
    <r>
      <rPr>
        <sz val="8"/>
        <rFont val="Verdana"/>
        <family val="2"/>
      </rPr>
      <t>El día del Patrimonio Cultural se realizó durante el mes de mayo del año 2013.</t>
    </r>
  </si>
  <si>
    <r>
      <t>CUADRO 3.1.2.2-02: NÚMERO DE VISITAS EN EL DÍA DEL PATRIMONIO CULTURAL EN LA REGIÓN METROPOLITANA Y OTRAS REGIONES DEL PAÍS. 2013</t>
    </r>
    <r>
      <rPr>
        <b/>
        <vertAlign val="superscript"/>
        <sz val="8"/>
        <rFont val="Verdana"/>
        <family val="2"/>
      </rPr>
      <t>/1</t>
    </r>
  </si>
  <si>
    <t>VISITAS</t>
  </si>
  <si>
    <t>N° de visitas Región Metropolitana</t>
  </si>
  <si>
    <t>N° de visitas regiones</t>
  </si>
  <si>
    <t>Beneficiados dentro del Área Silvestre Protegida (ASP)</t>
  </si>
  <si>
    <t>Beneficiados fuera del Área Silvestre Protegida (ASP)</t>
  </si>
  <si>
    <t>FUENTE: Corporación Nacional Forestal (Conaf).</t>
  </si>
  <si>
    <t>Región</t>
  </si>
  <si>
    <t>CATEGORÍA DE MANEJO</t>
  </si>
  <si>
    <t>N° Unidades</t>
  </si>
  <si>
    <t>Superficie (há)</t>
  </si>
  <si>
    <t>Parques Nacionales</t>
  </si>
  <si>
    <t>Reservas Nacionales</t>
  </si>
  <si>
    <t>Monumentos Naturales</t>
  </si>
  <si>
    <t>FUENTE: Corporación Nacional Forestal (CONAF). Gerencia áreas silvestres protegidas.</t>
  </si>
  <si>
    <t>REGION</t>
  </si>
  <si>
    <t>Nombre de la unidad</t>
  </si>
  <si>
    <t>Provincia</t>
  </si>
  <si>
    <t>Comuna</t>
  </si>
  <si>
    <t>Lauca</t>
  </si>
  <si>
    <t>Parinacota</t>
  </si>
  <si>
    <t>Putre</t>
  </si>
  <si>
    <t>Salar de Huasco</t>
  </si>
  <si>
    <t>Tamarugal</t>
  </si>
  <si>
    <t>Pica</t>
  </si>
  <si>
    <t>Volcán Isluga</t>
  </si>
  <si>
    <t>Colchane</t>
  </si>
  <si>
    <t>Llullaillaco</t>
  </si>
  <si>
    <t>Morro Moreno</t>
  </si>
  <si>
    <t>Antofagasta/Mejillones</t>
  </si>
  <si>
    <t>Pan de Azúcar</t>
  </si>
  <si>
    <t>Antofagasta/Chañaral</t>
  </si>
  <si>
    <t>Taltal/Chañaral</t>
  </si>
  <si>
    <t>Nevado de Tres Cruces</t>
  </si>
  <si>
    <t>Copiapó/Tierra Amarilla</t>
  </si>
  <si>
    <t>Llanos de Challe</t>
  </si>
  <si>
    <t>Huasco</t>
  </si>
  <si>
    <t>Bosque Fray Jorge</t>
  </si>
  <si>
    <t>Limarí</t>
  </si>
  <si>
    <t>Archipiélago de Juan Fernández</t>
  </si>
  <si>
    <t>Juan Fernández</t>
  </si>
  <si>
    <t>La Campana</t>
  </si>
  <si>
    <t>Hijuelas/Olmué</t>
  </si>
  <si>
    <t>Rapa Nui</t>
  </si>
  <si>
    <t>Las Palmas de Cocalán</t>
  </si>
  <si>
    <t>Cachapoal</t>
  </si>
  <si>
    <t>Las Cabras</t>
  </si>
  <si>
    <t>Radal Siete Tazas</t>
  </si>
  <si>
    <t>Curicó</t>
  </si>
  <si>
    <t>Laguna del Laja</t>
  </si>
  <si>
    <t>Biobio</t>
  </si>
  <si>
    <t>Antuco</t>
  </si>
  <si>
    <t>Nahuelbuta</t>
  </si>
  <si>
    <t>Arauco/Malleco</t>
  </si>
  <si>
    <t>Cañete/Angol/Purén/Los Sauces</t>
  </si>
  <si>
    <t>Tolhuaca</t>
  </si>
  <si>
    <t>Malleco</t>
  </si>
  <si>
    <t>Victoria/Curacautín</t>
  </si>
  <si>
    <t>Conguillio</t>
  </si>
  <si>
    <t>Malleco/Cautín</t>
  </si>
  <si>
    <t>Curacautin/Lonquimay/Vilcún/Melipeuco</t>
  </si>
  <si>
    <t>Huerquehue</t>
  </si>
  <si>
    <t>Cautín</t>
  </si>
  <si>
    <t>Pucón/Cunco</t>
  </si>
  <si>
    <t>Villarrica</t>
  </si>
  <si>
    <t xml:space="preserve">Cautín/Valdivia </t>
  </si>
  <si>
    <t>Pucón/Curarrehue/Villarrica/Panguipulli</t>
  </si>
  <si>
    <t>Alerce Costero</t>
  </si>
  <si>
    <t xml:space="preserve">Valdivia </t>
  </si>
  <si>
    <t>La Unión y Corral, provincias de Valdivia y Ranco</t>
  </si>
  <si>
    <t>Puyehue</t>
  </si>
  <si>
    <t>Valdivia/Osorno</t>
  </si>
  <si>
    <t>Río Bueno/Lago Ranco/Puyehue/Puerto Octay</t>
  </si>
  <si>
    <t>Vicente Pérez Rosales</t>
  </si>
  <si>
    <t>Osorno/Llanquihue</t>
  </si>
  <si>
    <t>Puerto Octay/Puerto Varas</t>
  </si>
  <si>
    <t>Alerce Andino</t>
  </si>
  <si>
    <t>Llanquihue</t>
  </si>
  <si>
    <t>Puerto Montt/Cochamó</t>
  </si>
  <si>
    <t>Hornopirén</t>
  </si>
  <si>
    <t>Llanquihue/Palena</t>
  </si>
  <si>
    <t>Cochamó/Hualaihue</t>
  </si>
  <si>
    <t>Corcovado</t>
  </si>
  <si>
    <t>Palena</t>
  </si>
  <si>
    <t>Chaitén</t>
  </si>
  <si>
    <t>Chiloé</t>
  </si>
  <si>
    <t>Ancud/Dalcahue/Castro/Chonchi</t>
  </si>
  <si>
    <t>Queulat</t>
  </si>
  <si>
    <t>Coyhaique/Aysén</t>
  </si>
  <si>
    <t>Lago Verde/Cisnes</t>
  </si>
  <si>
    <t>Isla Guamblin</t>
  </si>
  <si>
    <t>Cisnes</t>
  </si>
  <si>
    <t>Isla Magdalena</t>
  </si>
  <si>
    <t>Laguna San Rafael</t>
  </si>
  <si>
    <t>General Carrera/Capitán Prat</t>
  </si>
  <si>
    <t>Río Ibáñez/Chile Chico</t>
  </si>
  <si>
    <t>Cochrane/Tortel</t>
  </si>
  <si>
    <t>Bernardo O'Higgins</t>
  </si>
  <si>
    <t>Capitán Prat</t>
  </si>
  <si>
    <t>Tortel/O'Higgins</t>
  </si>
  <si>
    <t>Ultima Esperanza</t>
  </si>
  <si>
    <t>Torres del Paine</t>
  </si>
  <si>
    <t>Pali Aike</t>
  </si>
  <si>
    <t>San Gregorio</t>
  </si>
  <si>
    <t>Alberto de Agostini</t>
  </si>
  <si>
    <t>Tierra del Fuego</t>
  </si>
  <si>
    <t>Timaukel</t>
  </si>
  <si>
    <t>Antártica Chilena</t>
  </si>
  <si>
    <t>Cabo de Hornos</t>
  </si>
  <si>
    <t>Las Vicuñas</t>
  </si>
  <si>
    <t>Tarapaca</t>
  </si>
  <si>
    <t>Pampa del Tamarugal</t>
  </si>
  <si>
    <t>Pozo Almonte/Huara</t>
  </si>
  <si>
    <t>La Chimba</t>
  </si>
  <si>
    <t>Los Flamencos</t>
  </si>
  <si>
    <t>El Loa</t>
  </si>
  <si>
    <t>San Pedro de Atacama</t>
  </si>
  <si>
    <r>
      <t>Pingüino de Humboldt</t>
    </r>
    <r>
      <rPr>
        <vertAlign val="superscript"/>
        <sz val="8"/>
        <rFont val="Verdana"/>
        <family val="2"/>
      </rPr>
      <t>/1</t>
    </r>
  </si>
  <si>
    <t xml:space="preserve">Huasco </t>
  </si>
  <si>
    <t>Freirina</t>
  </si>
  <si>
    <t>Elqui</t>
  </si>
  <si>
    <t>La Higuera</t>
  </si>
  <si>
    <t>Las Chinchillas</t>
  </si>
  <si>
    <t>Choapa</t>
  </si>
  <si>
    <t>Illapel</t>
  </si>
  <si>
    <t>Río Blanco</t>
  </si>
  <si>
    <t>Lago Peñuelas</t>
  </si>
  <si>
    <t>El Yali</t>
  </si>
  <si>
    <t>Rio Clarillo</t>
  </si>
  <si>
    <t>Cordillera</t>
  </si>
  <si>
    <t>Pirque</t>
  </si>
  <si>
    <t>Roblería del Cobre de Loncha</t>
  </si>
  <si>
    <t>Alhué</t>
  </si>
  <si>
    <t>Rio de los Cipreses</t>
  </si>
  <si>
    <t>Machalí</t>
  </si>
  <si>
    <t>Laguna Torca</t>
  </si>
  <si>
    <t>Vichuquén</t>
  </si>
  <si>
    <t>Altos de Lircay</t>
  </si>
  <si>
    <t>San Clemente</t>
  </si>
  <si>
    <t>Los Ruiles</t>
  </si>
  <si>
    <t>Talca/Cauquenes</t>
  </si>
  <si>
    <t>Empedrado/Chanco</t>
  </si>
  <si>
    <t>Los Bellotos del Melado</t>
  </si>
  <si>
    <t>Linares</t>
  </si>
  <si>
    <t>Colbún</t>
  </si>
  <si>
    <t>Federico Albert</t>
  </si>
  <si>
    <t>Cauquenes</t>
  </si>
  <si>
    <t>Chanco</t>
  </si>
  <si>
    <t>Los Queules</t>
  </si>
  <si>
    <t>Pelluhue</t>
  </si>
  <si>
    <t>Isla Mocha</t>
  </si>
  <si>
    <t>Arauco</t>
  </si>
  <si>
    <t>Lebu</t>
  </si>
  <si>
    <t>Los Huemules de Niblinto</t>
  </si>
  <si>
    <t>Ñuble</t>
  </si>
  <si>
    <t>Coihueco</t>
  </si>
  <si>
    <t>Ñuble/Bio Bio</t>
  </si>
  <si>
    <t>Pinto/Antuco</t>
  </si>
  <si>
    <t>Ralco</t>
  </si>
  <si>
    <t>Bio  Bio</t>
  </si>
  <si>
    <t>Alto Bio Bio</t>
  </si>
  <si>
    <t>Altos de Pemehue</t>
  </si>
  <si>
    <t>Bio Bio</t>
  </si>
  <si>
    <t>Quilaco</t>
  </si>
  <si>
    <t>Nonguén</t>
  </si>
  <si>
    <t>Concepción/Chiguayante/Hualqui</t>
  </si>
  <si>
    <t>Collipulli</t>
  </si>
  <si>
    <t>Alto Bio  Bio</t>
  </si>
  <si>
    <t>Lonquimay</t>
  </si>
  <si>
    <t>Nalcas</t>
  </si>
  <si>
    <t>Malalcahuello</t>
  </si>
  <si>
    <t>Lonquimay/Curacautín</t>
  </si>
  <si>
    <t>China Muerta</t>
  </si>
  <si>
    <t>Melipeuco</t>
  </si>
  <si>
    <t>Pucón/Curarrehue/Melipeuco</t>
  </si>
  <si>
    <t>Mocho-Choshuenco</t>
  </si>
  <si>
    <t>Panguipulli/Futrono</t>
  </si>
  <si>
    <t>Puerto Montt/Puerto Varas/Cochamó</t>
  </si>
  <si>
    <t>Futaleufú</t>
  </si>
  <si>
    <t>Lago Palena</t>
  </si>
  <si>
    <t>Palena/Coyhaique</t>
  </si>
  <si>
    <t>Palena/Lago Verde</t>
  </si>
  <si>
    <t>Lago Carlota</t>
  </si>
  <si>
    <t>Lago Verde</t>
  </si>
  <si>
    <t>Lago Las Torres</t>
  </si>
  <si>
    <t>Lago Verde/Coyhaique</t>
  </si>
  <si>
    <t>Lago Rosselot</t>
  </si>
  <si>
    <t>Las Guaitecas</t>
  </si>
  <si>
    <t>Cisnes/Aysén</t>
  </si>
  <si>
    <t>Río Simpson</t>
  </si>
  <si>
    <t>Aysén/Coyhaique</t>
  </si>
  <si>
    <t>Trapananda</t>
  </si>
  <si>
    <t>Cerro Castillo</t>
  </si>
  <si>
    <t>Coyhaique/General Carrera</t>
  </si>
  <si>
    <t>Coyhaique/Río Ibañez</t>
  </si>
  <si>
    <t>Lago Jeinimeni</t>
  </si>
  <si>
    <t>Chile Chico/Cochrane</t>
  </si>
  <si>
    <t>LagoCochrane</t>
  </si>
  <si>
    <t>Cochrane</t>
  </si>
  <si>
    <t>Katalalixar</t>
  </si>
  <si>
    <t>Tortel</t>
  </si>
  <si>
    <t>Alacalufes</t>
  </si>
  <si>
    <t>Ultima Esperanza/Magallanes</t>
  </si>
  <si>
    <t>Puerto Natales/Rio Verde/Punta Arenas</t>
  </si>
  <si>
    <t>Laguna Parrillar</t>
  </si>
  <si>
    <r>
      <rPr>
        <b/>
        <sz val="8"/>
        <color theme="1"/>
        <rFont val="Verdana"/>
        <family val="2"/>
      </rPr>
      <t xml:space="preserve">1 </t>
    </r>
    <r>
      <rPr>
        <sz val="8"/>
        <color theme="1"/>
        <rFont val="Verdana"/>
        <family val="2"/>
      </rPr>
      <t>La Reserva Nacional Pingüino de Humboldt es compartida por las regiones de Atacama y Coquimbo; sólo por razones de totalización la superficie fue asignada a esta última.</t>
    </r>
  </si>
  <si>
    <t>.. Información no disponible</t>
  </si>
  <si>
    <t>Salar de Surire</t>
  </si>
  <si>
    <t>Quebrada de Cardones</t>
  </si>
  <si>
    <t>La Portada</t>
  </si>
  <si>
    <t>Paposo Norte</t>
  </si>
  <si>
    <t>Antofagasta/Tal Tal</t>
  </si>
  <si>
    <t>Pichasca</t>
  </si>
  <si>
    <t>Río Hurtado</t>
  </si>
  <si>
    <t>Isla Cachagua</t>
  </si>
  <si>
    <t>Petorca</t>
  </si>
  <si>
    <t>Zapallar</t>
  </si>
  <si>
    <t>El Morado</t>
  </si>
  <si>
    <t>San José de Maipo</t>
  </si>
  <si>
    <t>La  Araucanía</t>
  </si>
  <si>
    <t>Contulmo</t>
  </si>
  <si>
    <t>Los Sauces/Purén</t>
  </si>
  <si>
    <t>Cerro Ñielol</t>
  </si>
  <si>
    <t>Lahuén Ñadi</t>
  </si>
  <si>
    <t>Islotes de Puñihuil</t>
  </si>
  <si>
    <t>Ancud</t>
  </si>
  <si>
    <t>Cinco Hermanas</t>
  </si>
  <si>
    <t>Dos Lagunas</t>
  </si>
  <si>
    <t>Cueva del Milodón</t>
  </si>
  <si>
    <t>Puerto Natales</t>
  </si>
  <si>
    <t>Los Pingüinos</t>
  </si>
  <si>
    <t>Laguna de los Cisnes</t>
  </si>
  <si>
    <t>Porvenir</t>
  </si>
  <si>
    <r>
      <t>TIPO DE BIÓSFERA</t>
    </r>
    <r>
      <rPr>
        <b/>
        <vertAlign val="superscript"/>
        <sz val="8"/>
        <rFont val="Verdana"/>
        <family val="2"/>
      </rPr>
      <t>/1</t>
    </r>
  </si>
  <si>
    <t>Dentro del sistema de Área Silvestre Protegida (ASP)</t>
  </si>
  <si>
    <t>Fuera del sistema de Área Silvestre Protegida (ASP)</t>
  </si>
  <si>
    <t>Há</t>
  </si>
  <si>
    <t>%</t>
  </si>
  <si>
    <t>Terrestre</t>
  </si>
  <si>
    <t>Marina</t>
  </si>
  <si>
    <r>
      <rPr>
        <b/>
        <sz val="8"/>
        <rFont val="Verdana"/>
        <family val="2"/>
      </rPr>
      <t>1</t>
    </r>
    <r>
      <rPr>
        <sz val="8"/>
        <rFont val="Verdana"/>
        <family val="2"/>
      </rPr>
      <t xml:space="preserve"> Definición de Reserva de la Biófera:"zonas de ecosistémas terrestres o costero/marinos, o una combinación de los mismos, reconocidas en el plano internacional como tales en el marco del Programa sobre el Hombre y la Biósfera (MAB) de la UNESCO".</t>
    </r>
  </si>
  <si>
    <t>Reserva de la biósfera</t>
  </si>
  <si>
    <t>Año de creación</t>
  </si>
  <si>
    <t>Fecha modificación</t>
  </si>
  <si>
    <t>Superficie (Há)</t>
  </si>
  <si>
    <t>La Campana - Peñuelas</t>
  </si>
  <si>
    <t>Archipiélago Juán Fernandez</t>
  </si>
  <si>
    <t>Nevados de Chillán y Laguna Laja</t>
  </si>
  <si>
    <t>Araucarias</t>
  </si>
  <si>
    <t>Bosques Templados Lluviosos de Los Andes Australes</t>
  </si>
  <si>
    <t>Torres del paine</t>
  </si>
  <si>
    <t xml:space="preserve">Cabo de Hornos  </t>
  </si>
  <si>
    <t>…Información no disponible.</t>
  </si>
  <si>
    <r>
      <t>Sitios Ramsar</t>
    </r>
    <r>
      <rPr>
        <b/>
        <vertAlign val="superscript"/>
        <sz val="8"/>
        <rFont val="Verdana"/>
        <family val="2"/>
      </rPr>
      <t>/1</t>
    </r>
  </si>
  <si>
    <t>Superficie</t>
  </si>
  <si>
    <r>
      <t>Sitios Ramsar</t>
    </r>
    <r>
      <rPr>
        <b/>
        <vertAlign val="superscript"/>
        <sz val="8"/>
        <color theme="1"/>
        <rFont val="Verdana"/>
        <family val="2"/>
      </rPr>
      <t>/1</t>
    </r>
  </si>
  <si>
    <t>Salar de Tara</t>
  </si>
  <si>
    <t>Sistema Hidrológico de Soncor</t>
  </si>
  <si>
    <t>Salar de Pujsa</t>
  </si>
  <si>
    <t>Salar de Aguas calientes IV</t>
  </si>
  <si>
    <t>Laguna Negro Francisco y Laguna Santa Rosa</t>
  </si>
  <si>
    <t>SN Laguna Conchalí</t>
  </si>
  <si>
    <t>Parque Andino Juncal</t>
  </si>
  <si>
    <t>SN Carlos Andwanter</t>
  </si>
  <si>
    <t>Bahía Lomas</t>
  </si>
  <si>
    <r>
      <rPr>
        <b/>
        <sz val="8"/>
        <color indexed="8"/>
        <rFont val="Verdana"/>
        <family val="2"/>
      </rPr>
      <t>1</t>
    </r>
    <r>
      <rPr>
        <sz val="8"/>
        <color indexed="8"/>
        <rFont val="Verdana"/>
        <family val="2"/>
      </rPr>
      <t xml:space="preserve"> Los sitios Ramsar se definen como: "e</t>
    </r>
    <r>
      <rPr>
        <sz val="8"/>
        <rFont val="Verdana"/>
        <family val="2"/>
      </rPr>
      <t>xtensiones de marismas, pantanos y turberas, o superficies cubiertas de aguas, sean éstas de régimen natural o artificial, permanentes o temporales, estancadas o corrientes, dulces salobres o saladas, incluidas las extensiones de agua marina cuya profundidad en marea baja no exceda de seis metros y que se encuentren relevadas en el marco de esta convención" (Ramsar).</t>
    </r>
  </si>
  <si>
    <t>REGIÓN DE SECRETARÍA TÉCNICA</t>
  </si>
  <si>
    <t>Especie</t>
  </si>
  <si>
    <t>Año de elaboración</t>
  </si>
  <si>
    <r>
      <t>Estado de conservación</t>
    </r>
    <r>
      <rPr>
        <b/>
        <vertAlign val="superscript"/>
        <sz val="8"/>
        <rFont val="Verdana"/>
        <family val="2"/>
      </rPr>
      <t>/1</t>
    </r>
  </si>
  <si>
    <t>Queñoa</t>
  </si>
  <si>
    <t>Q En Peligro / QA Vulnerable (RCE P3)</t>
  </si>
  <si>
    <t>Tamarugo</t>
  </si>
  <si>
    <t>En Peligro (RCE P9)</t>
  </si>
  <si>
    <t>Palma chilena</t>
  </si>
  <si>
    <t>Vulnerable (RCE P3)</t>
  </si>
  <si>
    <t>Flora Arbórea de AJF</t>
  </si>
  <si>
    <t>Grupo de especies</t>
  </si>
  <si>
    <t>Valparaíso (Isla de Pascua)</t>
  </si>
  <si>
    <t>Toromiro</t>
  </si>
  <si>
    <t>Extinto (RCE P1) // Extinta en estado silvestre (RCE P7)</t>
  </si>
  <si>
    <t>O’Higgins</t>
  </si>
  <si>
    <t>Avellanita</t>
  </si>
  <si>
    <t>El Peligro y Rara (RCE P1)</t>
  </si>
  <si>
    <t>Queule</t>
  </si>
  <si>
    <t>En Peligro (RCE P1)</t>
  </si>
  <si>
    <t>Ruil</t>
  </si>
  <si>
    <t>En Peligro y Rara (RCE P1)</t>
  </si>
  <si>
    <t>Belloto del sur</t>
  </si>
  <si>
    <t>En Peligro (RCE P2)</t>
  </si>
  <si>
    <t>Pitao</t>
  </si>
  <si>
    <t>Michay rojo</t>
  </si>
  <si>
    <t>Huella chica</t>
  </si>
  <si>
    <t>Casi Amenazado (RCE P9)</t>
  </si>
  <si>
    <t>Vulnerable y Rara (RCE P2)</t>
  </si>
  <si>
    <r>
      <rPr>
        <b/>
        <sz val="8"/>
        <rFont val="Verdana"/>
        <family val="2"/>
      </rPr>
      <t xml:space="preserve">1 </t>
    </r>
    <r>
      <rPr>
        <sz val="8"/>
        <rFont val="Verdana"/>
        <family val="2"/>
      </rPr>
      <t>Abreviaciones Q: Queñoa de precordillera; QA: Queñoa de altura; RCEP1:Reglamento de clasificación de especies (RCE), proceso n°1 (P1); RCEP2: Reglamento de clasificación de especies (RCE), proceso n°2 (P2); RCEP3: Reglamento de clasificación de especies (RCE), proceso n°3 (P3); RCEP7: Reglamento de clasificación de especies (RCE),  proceso n°7 (P7); RCEP9: Reglamento de clasificación de especies (RCE), proceso n°9 (P9) .</t>
    </r>
  </si>
  <si>
    <t>Suri</t>
  </si>
  <si>
    <t>Insuficientemente conocida (RCE P1)</t>
  </si>
  <si>
    <t>Vicuña</t>
  </si>
  <si>
    <t>Vulnerable (Libro rojo de los vertebrados terrestres de Chile, Conaf 1993)</t>
  </si>
  <si>
    <t>Taruca</t>
  </si>
  <si>
    <t>En peligro (RCE P1)</t>
  </si>
  <si>
    <t>Tagua cornuda</t>
  </si>
  <si>
    <t>Flamenco andino</t>
  </si>
  <si>
    <t>Pato yunco</t>
  </si>
  <si>
    <t>Guanaco (área norte)</t>
  </si>
  <si>
    <t>Vulnerable: desde región de Arica y Parinacota a Los Lagos/preocupación menor: desde región Aysén a Magallanes (RCE P5)</t>
  </si>
  <si>
    <t>Chinchilla chilena</t>
  </si>
  <si>
    <t xml:space="preserve">En peligro (Libro rojo de los vertebrados terrestres de Chile, Conaf 1993)                                     </t>
  </si>
  <si>
    <t>Picaflor de Juan Fernández</t>
  </si>
  <si>
    <t>En peligro y Rara (RCE P1)</t>
  </si>
  <si>
    <t>Fardela blanca</t>
  </si>
  <si>
    <t>En peligro (RCE P2)</t>
  </si>
  <si>
    <t>Carpintero negro</t>
  </si>
  <si>
    <t>Cisne cuello negro</t>
  </si>
  <si>
    <t>Huillín</t>
  </si>
  <si>
    <t>En peligro:desde región de O'Higgins a Los Lagos /insuficientemente conocida: desde Aysén a Magallanes (P1) //en peligro (RCE P7)</t>
  </si>
  <si>
    <t>Huemul</t>
  </si>
  <si>
    <t>1999-2010</t>
  </si>
  <si>
    <t>Loro tricahue</t>
  </si>
  <si>
    <t>En peligro: desde región de Atacama a Coquimbo/ vulnerable resto del país (RCE P1)</t>
  </si>
  <si>
    <r>
      <t>Pingüino de Humboldt</t>
    </r>
    <r>
      <rPr>
        <vertAlign val="superscript"/>
        <sz val="8"/>
        <rFont val="Verdana"/>
        <family val="2"/>
      </rPr>
      <t>/2</t>
    </r>
  </si>
  <si>
    <t>Vulnerable (P2)</t>
  </si>
  <si>
    <r>
      <t>Zorro de Darwin</t>
    </r>
    <r>
      <rPr>
        <vertAlign val="superscript"/>
        <sz val="8"/>
        <rFont val="Verdana"/>
        <family val="2"/>
      </rPr>
      <t>/2</t>
    </r>
  </si>
  <si>
    <t>En peligro (P1)</t>
  </si>
  <si>
    <r>
      <rPr>
        <b/>
        <sz val="8"/>
        <rFont val="Verdana"/>
        <family val="2"/>
      </rPr>
      <t xml:space="preserve">1 </t>
    </r>
    <r>
      <rPr>
        <sz val="8"/>
        <rFont val="Verdana"/>
        <family val="2"/>
      </rPr>
      <t>Abreviaciones RCEP1:Reglamento de clasificación de especies (RCE), proceso n°1 (P1); RCEP2: Reglamento de clasificación de especies (RCE), proceso n°2 (P2); RCEP5: Reglamento de clasificación de especies (RCE), proceso n°5 (P5); RCEP7: Reglamento de clasificación de especies (RCE),  proceso n°7 (P7); RCEP9: Reglamento de clasificación de especies (RCE), proceso n°9 (P9) .</t>
    </r>
  </si>
  <si>
    <r>
      <rPr>
        <b/>
        <sz val="8"/>
        <rFont val="Verdana"/>
        <family val="2"/>
      </rPr>
      <t>2</t>
    </r>
    <r>
      <rPr>
        <sz val="8"/>
        <rFont val="Verdana"/>
        <family val="2"/>
      </rPr>
      <t xml:space="preserve"> Otras especies protegidas. No se dispone de mayor información.</t>
    </r>
  </si>
  <si>
    <t>ÁREA SILVESTRE PROTEGIDA</t>
  </si>
  <si>
    <r>
      <t>Tipo de catastro</t>
    </r>
    <r>
      <rPr>
        <b/>
        <vertAlign val="superscript"/>
        <sz val="8"/>
        <color theme="1"/>
        <rFont val="Verdana"/>
        <family val="2"/>
      </rPr>
      <t>/1</t>
    </r>
    <r>
      <rPr>
        <b/>
        <sz val="8"/>
        <color theme="1"/>
        <rFont val="Verdana"/>
        <family val="2"/>
      </rPr>
      <t xml:space="preserve"> (nuevo/actualizado)</t>
    </r>
  </si>
  <si>
    <t>Categorías de recursos culturales registrados</t>
  </si>
  <si>
    <t>Etnográfico</t>
  </si>
  <si>
    <t>Paleontológico</t>
  </si>
  <si>
    <t>Paisaje cultural</t>
  </si>
  <si>
    <t>Parque Nacional Lauca</t>
  </si>
  <si>
    <t>Actualizado</t>
  </si>
  <si>
    <t>Reserva Nacional Las Vicuñas</t>
  </si>
  <si>
    <t>Monumento Natural Salar de Surire</t>
  </si>
  <si>
    <t>Nuevo</t>
  </si>
  <si>
    <t>Reserva Nacional Pampa del Tamarugal</t>
  </si>
  <si>
    <t>Reserva Nacional Los Flamencos</t>
  </si>
  <si>
    <t>Parque Nacional Arch. Juan Fernández</t>
  </si>
  <si>
    <t>Monumento Natural El Morado</t>
  </si>
  <si>
    <t>Reserva Nacional Laguna Torca</t>
  </si>
  <si>
    <t>Reserva Nacional Malleco</t>
  </si>
  <si>
    <t>Parque Nacional Tolhuaca</t>
  </si>
  <si>
    <t>Reserva Nacional Mocho Choshuenco</t>
  </si>
  <si>
    <t>Parque Nacional Chiloé</t>
  </si>
  <si>
    <t>Reserva Nacional Llanquihue</t>
  </si>
  <si>
    <t>Reserva Nacional Cerro Castillo</t>
  </si>
  <si>
    <r>
      <rPr>
        <b/>
        <sz val="8"/>
        <rFont val="Verdana"/>
        <family val="2"/>
      </rPr>
      <t xml:space="preserve">1 </t>
    </r>
    <r>
      <rPr>
        <sz val="8"/>
        <rFont val="Verdana"/>
        <family val="2"/>
      </rPr>
      <t>Catastros antiguos: con información actualizada al 2013. Catastros nuevos al 2013. Incluye el patrimonio cultural aledaño a las Áreas Silvestres Protegidas.</t>
    </r>
  </si>
  <si>
    <t>Monumento</t>
  </si>
  <si>
    <r>
      <t>Mueble/inmueble</t>
    </r>
    <r>
      <rPr>
        <b/>
        <vertAlign val="superscript"/>
        <sz val="8"/>
        <rFont val="Verdana"/>
        <family val="2"/>
      </rPr>
      <t>/3</t>
    </r>
  </si>
  <si>
    <r>
      <rPr>
        <b/>
        <sz val="8"/>
        <rFont val="Verdana"/>
        <family val="2"/>
      </rPr>
      <t>2</t>
    </r>
    <r>
      <rPr>
        <sz val="8"/>
        <rFont val="Verdana"/>
        <family val="2"/>
      </rPr>
      <t xml:space="preserve"> Definiciones de categoría: MH : Monumentos Históricos; ZT : Zonas Típicas; SN: Santuario de la Naturaleza.</t>
    </r>
  </si>
  <si>
    <t>…Información no disponible</t>
  </si>
  <si>
    <r>
      <t>REGIÓN Y UNIDAD DEL SNASPE</t>
    </r>
    <r>
      <rPr>
        <b/>
        <vertAlign val="superscript"/>
        <sz val="8"/>
        <rFont val="Verdana"/>
        <family val="2"/>
      </rPr>
      <t>/1</t>
    </r>
  </si>
  <si>
    <t>P.N. Lauca</t>
  </si>
  <si>
    <t>R.N. Las Vicuñas</t>
  </si>
  <si>
    <t>M.N. Quebrada de Cardones</t>
  </si>
  <si>
    <t>M.N. Salar de Surire</t>
  </si>
  <si>
    <t>P.N. Volcán Isluga</t>
  </si>
  <si>
    <t>P.N. Salar de Huasco</t>
  </si>
  <si>
    <t>R.N. Pampa del Tamarugal</t>
  </si>
  <si>
    <t>P.N. Llullaillaco</t>
  </si>
  <si>
    <t>R.N. La Chimba</t>
  </si>
  <si>
    <t>R.N. Los Flamencos</t>
  </si>
  <si>
    <t>P.N. Morro moreno</t>
  </si>
  <si>
    <t>M.N. La Portada</t>
  </si>
  <si>
    <t>P.N. Pan de Azúcar</t>
  </si>
  <si>
    <t>P.N. Llanos de Challe</t>
  </si>
  <si>
    <t>P.N. Nevado de Tres Cruces</t>
  </si>
  <si>
    <t>P.N. Bosque Fray Jorge</t>
  </si>
  <si>
    <t>R.N. Pingüino de Humboldt</t>
  </si>
  <si>
    <t>R.N. Las Chinchillas</t>
  </si>
  <si>
    <t>M.N. Pichasca</t>
  </si>
  <si>
    <t>P.N. La Campana</t>
  </si>
  <si>
    <t>P.N. ArchipieLago de Juan Fernández</t>
  </si>
  <si>
    <t>R.N. Río Blanco</t>
  </si>
  <si>
    <t>R.N. Lago Peñuelas</t>
  </si>
  <si>
    <t>R.N. El Yali</t>
  </si>
  <si>
    <t>M.N. Isla Cachagua</t>
  </si>
  <si>
    <r>
      <t>S.N. Laguna El Peral</t>
    </r>
    <r>
      <rPr>
        <vertAlign val="superscript"/>
        <sz val="8"/>
        <rFont val="Verdana"/>
        <family val="2"/>
      </rPr>
      <t>/2</t>
    </r>
  </si>
  <si>
    <t>P.N. Rapa Nui</t>
  </si>
  <si>
    <t>R.N. Río Clarillo</t>
  </si>
  <si>
    <t>M.N. El Morado</t>
  </si>
  <si>
    <t>O'higgins</t>
  </si>
  <si>
    <t>P.N. Las Palmas de Cocalán</t>
  </si>
  <si>
    <t>R.N. Río de Los Cipreses</t>
  </si>
  <si>
    <t>R.N. Roblería del Cobre de Loncha</t>
  </si>
  <si>
    <t>R.N. Federico Albert</t>
  </si>
  <si>
    <t>R.N. Laguna Torca</t>
  </si>
  <si>
    <t>R.N. Los Ruiles</t>
  </si>
  <si>
    <t>R.N. Los Bellotos del Melado</t>
  </si>
  <si>
    <t>R.N. Los Queules</t>
  </si>
  <si>
    <t>R.N. Altos de Lircay</t>
  </si>
  <si>
    <t>R.N. Radal Siete Tazas</t>
  </si>
  <si>
    <t>P.N. Radal siete tazas</t>
  </si>
  <si>
    <t>P.N. Laguna del Laja</t>
  </si>
  <si>
    <t>R.N. Ñuble</t>
  </si>
  <si>
    <t>R.N. Isla  Mocha</t>
  </si>
  <si>
    <t>R.N. Los Huemules de Niblinto</t>
  </si>
  <si>
    <t>R.N. Ralco</t>
  </si>
  <si>
    <t>R.N. Nonguen</t>
  </si>
  <si>
    <t>R.N. Altos de Pemehue</t>
  </si>
  <si>
    <t>P.N. Conguillio</t>
  </si>
  <si>
    <t>P.N. Huerquehue</t>
  </si>
  <si>
    <t>P.N. Nahuelbuta</t>
  </si>
  <si>
    <t>P.N. Tolhuaca</t>
  </si>
  <si>
    <t>P.N. Villarrica</t>
  </si>
  <si>
    <t>R.N. Alto Bio-bío</t>
  </si>
  <si>
    <t>R.N. China Muerta</t>
  </si>
  <si>
    <t>R.N. Malalcahuello</t>
  </si>
  <si>
    <t>R.N. Malleco</t>
  </si>
  <si>
    <t>R.N. Nalcas</t>
  </si>
  <si>
    <t>R.N. Villarrica</t>
  </si>
  <si>
    <t>M.N. Contulmo</t>
  </si>
  <si>
    <t>M.N. Cerro Ñielol</t>
  </si>
  <si>
    <t>R.N. Mocho-choshuenco</t>
  </si>
  <si>
    <t>P.N. Alerce Costero</t>
  </si>
  <si>
    <t>P.N. Chiloé</t>
  </si>
  <si>
    <t>P.N. Puyehue</t>
  </si>
  <si>
    <t>P.N. Vicente Pérez Rosales</t>
  </si>
  <si>
    <t>P.N. Alerce Andino</t>
  </si>
  <si>
    <t>P.N. Hornopirén</t>
  </si>
  <si>
    <t>P.N. Corcovado</t>
  </si>
  <si>
    <t>R.N. Lago Palena</t>
  </si>
  <si>
    <t>R.N. Llanquihue</t>
  </si>
  <si>
    <t>R.N. Futaleufú</t>
  </si>
  <si>
    <t>M.N. Islotes de Puñihuil</t>
  </si>
  <si>
    <t>M.N. Lahuen Ñadi</t>
  </si>
  <si>
    <t>P.N. Isla  Guamblin</t>
  </si>
  <si>
    <t>P.N. Isla  Magdalena</t>
  </si>
  <si>
    <t>P.N. Laguna San Rafael</t>
  </si>
  <si>
    <t>P.N. Queulat</t>
  </si>
  <si>
    <t>R.N. Cerro Castillo</t>
  </si>
  <si>
    <t>R.N. Coyhaique</t>
  </si>
  <si>
    <t>R.N. Katalalixar</t>
  </si>
  <si>
    <t>R.N. Lago Carlota</t>
  </si>
  <si>
    <t>R.N. Lago Cochrane</t>
  </si>
  <si>
    <t>R.N. Lago Jeinimeni</t>
  </si>
  <si>
    <t>R.N. Lago Las Torres</t>
  </si>
  <si>
    <t>R.N. Trapananda</t>
  </si>
  <si>
    <t>R.N. Lago Rosselot</t>
  </si>
  <si>
    <t>R.N. Las Guaitecas</t>
  </si>
  <si>
    <t>R.N. Río Simpson</t>
  </si>
  <si>
    <r>
      <t>R.N. Mañihuales</t>
    </r>
    <r>
      <rPr>
        <vertAlign val="superscript"/>
        <sz val="8"/>
        <rFont val="Verdana"/>
        <family val="2"/>
      </rPr>
      <t>/2</t>
    </r>
  </si>
  <si>
    <t>M.N. Dos Lagunas</t>
  </si>
  <si>
    <t>M.N. Cinco Hermanas</t>
  </si>
  <si>
    <r>
      <t>A.P. Cerro Huemules</t>
    </r>
    <r>
      <rPr>
        <vertAlign val="superscript"/>
        <sz val="8"/>
        <rFont val="Verdana"/>
        <family val="2"/>
      </rPr>
      <t>/2</t>
    </r>
  </si>
  <si>
    <t>P.N. Bernardo O'Higgins</t>
  </si>
  <si>
    <t>P.N. Alberto de Agostini</t>
  </si>
  <si>
    <t>P.N. Cabo de Hornos</t>
  </si>
  <si>
    <t>P.N. Pali Aike</t>
  </si>
  <si>
    <t>P.N. Torres del Paine</t>
  </si>
  <si>
    <t>R.N. Alacalufes</t>
  </si>
  <si>
    <t>R.N. Laguna Parrillar</t>
  </si>
  <si>
    <t>R.N. Magallanes</t>
  </si>
  <si>
    <t>M.N. Los Pingüinos</t>
  </si>
  <si>
    <t>M.N. Laguna de Los Cisnes</t>
  </si>
  <si>
    <t>M.N. Cueva del Milodón</t>
  </si>
  <si>
    <r>
      <rPr>
        <b/>
        <sz val="8"/>
        <color theme="1"/>
        <rFont val="Verdana"/>
        <family val="2"/>
      </rPr>
      <t xml:space="preserve">1 </t>
    </r>
    <r>
      <rPr>
        <sz val="8"/>
        <color theme="1"/>
        <rFont val="Verdana"/>
        <family val="2"/>
      </rPr>
      <t>Parque nacional: P.N, reserva nacional: R.N, monumento nacional: M.N.</t>
    </r>
  </si>
  <si>
    <r>
      <rPr>
        <b/>
        <sz val="8"/>
        <color theme="1"/>
        <rFont val="Verdana"/>
        <family val="2"/>
      </rPr>
      <t>2</t>
    </r>
    <r>
      <rPr>
        <sz val="8"/>
        <color theme="1"/>
        <rFont val="Verdana"/>
        <family val="2"/>
      </rPr>
      <t xml:space="preserve"> Estas unidades no forman parte del Snaspe, no obstante, son administradas por Conaf.</t>
    </r>
  </si>
  <si>
    <t>REGIÓN Y UNIDAD DEL SNASPE</t>
  </si>
  <si>
    <t>P.N. Volcan Isluga</t>
  </si>
  <si>
    <t>P.N. Morro Moreno</t>
  </si>
  <si>
    <t>P.N. Archipielago de Juan Fernández</t>
  </si>
  <si>
    <r>
      <t>S.N. Laguna el Peral</t>
    </r>
    <r>
      <rPr>
        <vertAlign val="superscript"/>
        <sz val="8"/>
        <rFont val="Verdana"/>
        <family val="2"/>
      </rPr>
      <t>/2</t>
    </r>
  </si>
  <si>
    <t>R.N. Río de los Cipreses</t>
  </si>
  <si>
    <t>P.N. Radal Siete Tazas</t>
  </si>
  <si>
    <t>R.N. Isla Mocha</t>
  </si>
  <si>
    <t>P.N. Isla Guamblin</t>
  </si>
  <si>
    <t>P.N. Isla Magdalena</t>
  </si>
  <si>
    <t>M.N. La Cueva del Milodón</t>
  </si>
  <si>
    <r>
      <rPr>
        <b/>
        <sz val="8"/>
        <color theme="1"/>
        <rFont val="Verdana"/>
        <family val="2"/>
      </rPr>
      <t xml:space="preserve">2 </t>
    </r>
    <r>
      <rPr>
        <sz val="8"/>
        <color theme="1"/>
        <rFont val="Verdana"/>
        <family val="2"/>
      </rPr>
      <t>Estas unidades no forman parte del Snaspe, no obstante, son administradas por Conaf.</t>
    </r>
  </si>
  <si>
    <t>M.N. La portada</t>
  </si>
  <si>
    <t>M.N. Laguna de los Cisnes</t>
  </si>
  <si>
    <r>
      <rPr>
        <b/>
        <sz val="8"/>
        <color theme="1"/>
        <rFont val="Verdana"/>
        <family val="2"/>
      </rPr>
      <t xml:space="preserve">1 </t>
    </r>
    <r>
      <rPr>
        <sz val="8"/>
        <color theme="1"/>
        <rFont val="Verdana"/>
        <family val="2"/>
      </rPr>
      <t>Parque nacional: P.N, reserva nacional: R.N, monumento nacional: MN.</t>
    </r>
  </si>
  <si>
    <r>
      <t>Menores de edad</t>
    </r>
    <r>
      <rPr>
        <b/>
        <vertAlign val="superscript"/>
        <sz val="8"/>
        <rFont val="Verdana"/>
        <family val="2"/>
      </rPr>
      <t>/3</t>
    </r>
  </si>
  <si>
    <r>
      <t>Adultos</t>
    </r>
    <r>
      <rPr>
        <b/>
        <vertAlign val="superscript"/>
        <sz val="8"/>
        <rFont val="Verdana"/>
        <family val="2"/>
      </rPr>
      <t>/3</t>
    </r>
  </si>
  <si>
    <r>
      <t>Adultos mayores</t>
    </r>
    <r>
      <rPr>
        <b/>
        <vertAlign val="superscript"/>
        <sz val="8"/>
        <rFont val="Verdana"/>
        <family val="2"/>
      </rPr>
      <t>/3</t>
    </r>
  </si>
  <si>
    <t>P.N. Nevado de tres cruces</t>
  </si>
  <si>
    <t>R.N. Las chinchillas</t>
  </si>
  <si>
    <t>R.N. Lago Las torres</t>
  </si>
  <si>
    <r>
      <rPr>
        <b/>
        <sz val="8"/>
        <color theme="1"/>
        <rFont val="Verdana"/>
        <family val="2"/>
      </rPr>
      <t xml:space="preserve">1 </t>
    </r>
    <r>
      <rPr>
        <sz val="8"/>
        <color theme="1"/>
        <rFont val="Verdana"/>
        <family val="2"/>
      </rPr>
      <t>Parque nacional: P.N, reserva nacional: R.N, monumento nacional: M.N y área protegida: A.P.</t>
    </r>
  </si>
  <si>
    <r>
      <rPr>
        <b/>
        <sz val="8"/>
        <rFont val="Verdana"/>
        <family val="2"/>
      </rPr>
      <t xml:space="preserve">2 </t>
    </r>
    <r>
      <rPr>
        <sz val="8"/>
        <rFont val="Verdana"/>
        <family val="2"/>
      </rPr>
      <t>Estas unidades no forman parte del Snaspe, no obstante, son administradas por Conaf.</t>
    </r>
  </si>
  <si>
    <r>
      <rPr>
        <b/>
        <sz val="8"/>
        <rFont val="Verdana"/>
        <family val="2"/>
      </rPr>
      <t xml:space="preserve">3 </t>
    </r>
    <r>
      <rPr>
        <sz val="8"/>
        <rFont val="Verdana"/>
        <family val="2"/>
      </rPr>
      <t>Categoría de Menores de edad: 0-17 años, Adultos es una categoría compuesta por hombres de 18 a 64 años y mujeres de18 a 59 años y Adultos mayores, definidos como mujeres mayores de 60 años y hombres mayores de 65 años.</t>
    </r>
  </si>
  <si>
    <t>M.N. IsLa Cachagua</t>
  </si>
  <si>
    <t>R.N. IsLa Mocha</t>
  </si>
  <si>
    <t>P.N. IsLa Guamblin</t>
  </si>
  <si>
    <t>P.N. IsLa Magdalena</t>
  </si>
  <si>
    <r>
      <rPr>
        <b/>
        <sz val="8"/>
        <color theme="1"/>
        <rFont val="Verdana"/>
        <family val="2"/>
      </rPr>
      <t xml:space="preserve">1 </t>
    </r>
    <r>
      <rPr>
        <sz val="8"/>
        <color theme="1"/>
        <rFont val="Verdana"/>
        <family val="2"/>
      </rPr>
      <t>Parque nacional: P.N, reserva nacional: R.N, monumento nacional: NM y área protegida: AP.</t>
    </r>
  </si>
  <si>
    <r>
      <t>REGIÓN</t>
    </r>
    <r>
      <rPr>
        <b/>
        <vertAlign val="superscript"/>
        <sz val="8"/>
        <rFont val="Verdana"/>
        <family val="2"/>
      </rPr>
      <t>/1</t>
    </r>
  </si>
  <si>
    <t>Total aprehendidos</t>
  </si>
  <si>
    <t>Aprehendidos</t>
  </si>
  <si>
    <t>Menor de 18 años</t>
  </si>
  <si>
    <t>18 a 29 años</t>
  </si>
  <si>
    <t>30 años y más</t>
  </si>
  <si>
    <t>Delitos investigados</t>
  </si>
  <si>
    <t>Personas puestas a disposición de los tribunales</t>
  </si>
  <si>
    <t>Incautaciones</t>
  </si>
  <si>
    <t>Número de incautaciones</t>
  </si>
  <si>
    <t>Número de objetos incautados</t>
  </si>
  <si>
    <r>
      <t>Valparaíso</t>
    </r>
    <r>
      <rPr>
        <vertAlign val="superscript"/>
        <sz val="8"/>
        <rFont val="Verdana"/>
        <family val="2"/>
      </rPr>
      <t>/1</t>
    </r>
  </si>
  <si>
    <r>
      <rPr>
        <b/>
        <sz val="8"/>
        <rFont val="Verdana"/>
        <family val="2"/>
      </rPr>
      <t>1</t>
    </r>
    <r>
      <rPr>
        <sz val="8"/>
        <rFont val="Verdana"/>
        <family val="2"/>
      </rPr>
      <t xml:space="preserve"> El elevado número de objetos incautados en la Región de Valparaíso durante el año 2013 corresponde a una diligencia policial efectuada por la Brigada Investigadora de Delitos contra el Medio Ambiente y Patrimonio Cultural Metropolitana (Bidema), en relación a la campaña de la “Batalla de Placilla”, hecho que ocurrió el año 1891. 
En relación al procedimiento policial, al consultar a los propietarios por la procedencia de las piezas, señalaron haberlas obtenido a través de distintos medios, entre los cuales se encontraba la excavación de sitios arqueológicos en el sector de Placilla, comuna de Valparaíso. Por tal motivo, al no tener autorización legal, se incautaron 3.169 especies, de las cuales 2.655 correspondían a objetos históricos provenientes de la Batalla de Placilla y 514 a otras especies protegidas, entre ellas algunas arqueológicas y paleontológicas. Finalmente, dada la importancia de los objetos incautados, estos fueron entregados al Museo Histórico Militar del Ejército de Chile, donde destacaban armas, municiones y otros pertrechos de la citada "Batalla de Placilla".</t>
    </r>
  </si>
  <si>
    <t>FUENTE: Policía de Investigaciones de Chile (PDI). Jefatura Nacional de delitos contra el Medio Ambiente y Patrimonio Cultural (Jenama).</t>
  </si>
  <si>
    <t xml:space="preserve">                                  </t>
  </si>
  <si>
    <t>CORTE DE APELACIONES</t>
  </si>
  <si>
    <t>Total Ley 17.336 de Propiedad Intelectual</t>
  </si>
  <si>
    <t>Falsificación de obras protegidas por ley</t>
  </si>
  <si>
    <t>Venta ilícita de obras protegidas por ley</t>
  </si>
  <si>
    <t>Utilización sin autorización de obras de dominio ajeno</t>
  </si>
  <si>
    <t xml:space="preserve">Delitos contra ley de propiedad intelectual            </t>
  </si>
  <si>
    <t>Otros delitos contra la ley de propiedad intelectual</t>
  </si>
  <si>
    <r>
      <t>TOTAL</t>
    </r>
    <r>
      <rPr>
        <b/>
        <vertAlign val="superscript"/>
        <sz val="8"/>
        <color indexed="8"/>
        <rFont val="Verdana"/>
        <family val="2"/>
      </rPr>
      <t>/1</t>
    </r>
  </si>
  <si>
    <r>
      <rPr>
        <b/>
        <sz val="8"/>
        <color indexed="8"/>
        <rFont val="Verdana"/>
        <family val="2"/>
      </rPr>
      <t xml:space="preserve">1 </t>
    </r>
    <r>
      <rPr>
        <sz val="8"/>
        <color indexed="8"/>
        <rFont val="Verdana"/>
        <family val="2"/>
      </rPr>
      <t>Los totales han disminuído respecto a los presentados el año 2012 porque se hace referencia a juzgados de letras y garantía, por cuanto los ingresos y términos han disminuído considerablemente.</t>
    </r>
  </si>
  <si>
    <t>REGIÓN DE FISCALÍA</t>
  </si>
  <si>
    <r>
      <rPr>
        <b/>
        <sz val="8"/>
        <rFont val="Verdana"/>
        <family val="2"/>
      </rPr>
      <t xml:space="preserve">R </t>
    </r>
    <r>
      <rPr>
        <sz val="8"/>
        <rFont val="Verdana"/>
        <family val="2"/>
      </rPr>
      <t>Cifras rectificadas por informante.</t>
    </r>
  </si>
  <si>
    <r>
      <rPr>
        <b/>
        <sz val="8"/>
        <rFont val="Verdana"/>
        <family val="2"/>
      </rPr>
      <t xml:space="preserve">1 </t>
    </r>
    <r>
      <rPr>
        <sz val="8"/>
        <rFont val="Verdana"/>
        <family val="2"/>
      </rPr>
      <t>Fiscalía</t>
    </r>
    <r>
      <rPr>
        <b/>
        <sz val="8"/>
        <rFont val="Verdana"/>
        <family val="2"/>
      </rPr>
      <t xml:space="preserve"> </t>
    </r>
    <r>
      <rPr>
        <sz val="8"/>
        <rFont val="Verdana"/>
        <family val="2"/>
      </rPr>
      <t>Centro Norte.</t>
    </r>
  </si>
  <si>
    <r>
      <rPr>
        <b/>
        <sz val="8"/>
        <rFont val="Verdana"/>
        <family val="2"/>
      </rPr>
      <t xml:space="preserve">2 </t>
    </r>
    <r>
      <rPr>
        <sz val="8"/>
        <rFont val="Verdana"/>
        <family val="2"/>
      </rPr>
      <t>Fiscalía</t>
    </r>
    <r>
      <rPr>
        <b/>
        <sz val="8"/>
        <rFont val="Verdana"/>
        <family val="2"/>
      </rPr>
      <t xml:space="preserve"> </t>
    </r>
    <r>
      <rPr>
        <sz val="8"/>
        <rFont val="Verdana"/>
        <family val="2"/>
      </rPr>
      <t>Oriente.</t>
    </r>
  </si>
  <si>
    <r>
      <rPr>
        <b/>
        <sz val="8"/>
        <rFont val="Verdana"/>
        <family val="2"/>
      </rPr>
      <t xml:space="preserve">3 </t>
    </r>
    <r>
      <rPr>
        <sz val="8"/>
        <rFont val="Verdana"/>
        <family val="2"/>
      </rPr>
      <t>Fiscalía</t>
    </r>
    <r>
      <rPr>
        <b/>
        <sz val="8"/>
        <rFont val="Verdana"/>
        <family val="2"/>
      </rPr>
      <t xml:space="preserve"> </t>
    </r>
    <r>
      <rPr>
        <sz val="8"/>
        <rFont val="Verdana"/>
        <family val="2"/>
      </rPr>
      <t>Occidente.</t>
    </r>
  </si>
  <si>
    <r>
      <rPr>
        <b/>
        <sz val="8"/>
        <rFont val="Verdana"/>
        <family val="2"/>
      </rPr>
      <t xml:space="preserve">4 </t>
    </r>
    <r>
      <rPr>
        <sz val="8"/>
        <rFont val="Verdana"/>
        <family val="2"/>
      </rPr>
      <t>Fiscalía</t>
    </r>
    <r>
      <rPr>
        <b/>
        <sz val="8"/>
        <rFont val="Verdana"/>
        <family val="2"/>
      </rPr>
      <t xml:space="preserve"> </t>
    </r>
    <r>
      <rPr>
        <sz val="8"/>
        <rFont val="Verdana"/>
        <family val="2"/>
      </rPr>
      <t>Sur.</t>
    </r>
  </si>
  <si>
    <r>
      <rPr>
        <b/>
        <sz val="8"/>
        <rFont val="Verdana"/>
        <family val="2"/>
      </rPr>
      <t>R</t>
    </r>
    <r>
      <rPr>
        <sz val="8"/>
        <rFont val="Verdana"/>
        <family val="2"/>
      </rPr>
      <t xml:space="preserve"> Cifras rectificadas por informante.</t>
    </r>
  </si>
  <si>
    <t>Sentencias definitivas condenatorias Ley 17.288 Delitos previstos en la Ley de Monumentos Nacionales Código 12154</t>
  </si>
  <si>
    <r>
      <t>ADUANA Y AVANZADA</t>
    </r>
    <r>
      <rPr>
        <b/>
        <vertAlign val="superscript"/>
        <sz val="8"/>
        <rFont val="Verdana"/>
        <family val="2"/>
      </rPr>
      <t>/1</t>
    </r>
  </si>
  <si>
    <t>Número de piezas incautadas</t>
  </si>
  <si>
    <t>Chacabuco</t>
  </si>
  <si>
    <t>Chungará</t>
  </si>
  <si>
    <t>Loa</t>
  </si>
  <si>
    <t>Quillagua</t>
  </si>
  <si>
    <t>Ollague</t>
  </si>
  <si>
    <t>Los Libertadores</t>
  </si>
  <si>
    <t>Postal</t>
  </si>
  <si>
    <t>Pasajeros aeropuerto de Santiago</t>
  </si>
  <si>
    <t>Cardenal Samore</t>
  </si>
  <si>
    <r>
      <rPr>
        <b/>
        <sz val="8"/>
        <rFont val="Verdana"/>
        <family val="2"/>
      </rPr>
      <t xml:space="preserve">1 </t>
    </r>
    <r>
      <rPr>
        <sz val="8"/>
        <rFont val="Verdana"/>
        <family val="2"/>
      </rPr>
      <t>El término Avanzada refiere a la infraestructura dependiente de la ADUANA que consta de andenes de revisión para automóviles, buses y camiones.</t>
    </r>
  </si>
  <si>
    <t>ADUANA Y ESPECIES</t>
  </si>
  <si>
    <t xml:space="preserve">N° piezas </t>
  </si>
  <si>
    <t>Flora</t>
  </si>
  <si>
    <t>Fauna</t>
  </si>
  <si>
    <t>Chacalluta</t>
  </si>
  <si>
    <t>Caballitos de mar</t>
  </si>
  <si>
    <t>Quirquincho disecado</t>
  </si>
  <si>
    <t>Cinturón confeccionado con cabeza y cuerpo de Yacaré u otro reptil</t>
  </si>
  <si>
    <t>Gorro cuero reptil</t>
  </si>
  <si>
    <t>Pata de zorro</t>
  </si>
  <si>
    <t>Quirquincho</t>
  </si>
  <si>
    <t>Quirquincho utilizado como caja de resonancia (Charango)</t>
  </si>
  <si>
    <t>Quirquincho, utilizado como caja de resonancia (Charango)</t>
  </si>
  <si>
    <t>Caparazón de quirquincho</t>
  </si>
  <si>
    <t>Fetos de llamas</t>
  </si>
  <si>
    <t>Spa</t>
  </si>
  <si>
    <r>
      <t>Caja con nueve plantas de cáctus en estado natural</t>
    </r>
    <r>
      <rPr>
        <vertAlign val="superscript"/>
        <sz val="8"/>
        <rFont val="Verdana"/>
        <family val="2"/>
      </rPr>
      <t>/1</t>
    </r>
  </si>
  <si>
    <r>
      <t>Caja con ocho plantas de cáctus en estado natural</t>
    </r>
    <r>
      <rPr>
        <vertAlign val="superscript"/>
        <sz val="8"/>
        <rFont val="Verdana"/>
        <family val="2"/>
      </rPr>
      <t>/1</t>
    </r>
  </si>
  <si>
    <t>Caja en madera de cáctus</t>
  </si>
  <si>
    <t>Cenicero en madera de cáctus</t>
  </si>
  <si>
    <t>Charango con caparazón de quirquincho</t>
  </si>
  <si>
    <t>Cofre en madera de cáctus</t>
  </si>
  <si>
    <t>Corteza de cáctus</t>
  </si>
  <si>
    <t>Figura artesanal en madera de cáctus</t>
  </si>
  <si>
    <t>Figura decorativa en madera de cáctus</t>
  </si>
  <si>
    <t>Lámpara en madera de cáctus</t>
  </si>
  <si>
    <t>Madera de cáctus</t>
  </si>
  <si>
    <t>Marcos para fotografía en madera de cáctus</t>
  </si>
  <si>
    <t>Palo de agua de cáctus con semilla</t>
  </si>
  <si>
    <t>Panera en madera de cáctus</t>
  </si>
  <si>
    <t>Pieza de cáctus</t>
  </si>
  <si>
    <t>Portalámparas en madera de cáctus</t>
  </si>
  <si>
    <t>Recipientes o vasijas en madera de cáctus</t>
  </si>
  <si>
    <t>Trozos de cáctus</t>
  </si>
  <si>
    <t>Trozo de cáctus</t>
  </si>
  <si>
    <t>Ave Silvestre</t>
  </si>
  <si>
    <t>Aves</t>
  </si>
  <si>
    <t>Aves exóticas</t>
  </si>
  <si>
    <t>Yacare disecado</t>
  </si>
  <si>
    <t>Armadillo</t>
  </si>
  <si>
    <t>Cabeza de cocodrilo</t>
  </si>
  <si>
    <t>Caja contenido cuernos de kudu</t>
  </si>
  <si>
    <t>Charango de quirquincho</t>
  </si>
  <si>
    <t>Lagarto disecado</t>
  </si>
  <si>
    <t>Pata de lagarto</t>
  </si>
  <si>
    <t>Botella contenido: cobra</t>
  </si>
  <si>
    <t>Bolsa contenido: huesos de tortuga</t>
  </si>
  <si>
    <t>Botella contenido: serpiente</t>
  </si>
  <si>
    <t>Botellas contenido: cobra y escorpión</t>
  </si>
  <si>
    <t>Botellas de licor con serpiente</t>
  </si>
  <si>
    <t>Cabeza de lagarto</t>
  </si>
  <si>
    <t>Caparazones de tortuga</t>
  </si>
  <si>
    <t>Cornamenta</t>
  </si>
  <si>
    <t>Cornamenta de animal</t>
  </si>
  <si>
    <t>Cornamenta de ciervo rojo</t>
  </si>
  <si>
    <t>Cuero de serpiente</t>
  </si>
  <si>
    <t>Iguana disecada</t>
  </si>
  <si>
    <t>Piel de felino</t>
  </si>
  <si>
    <t>Pieles reptiles</t>
  </si>
  <si>
    <t>Reptiles</t>
  </si>
  <si>
    <t>Yacaré pequeño</t>
  </si>
  <si>
    <t>Viajeros</t>
  </si>
  <si>
    <t>Alacrán</t>
  </si>
  <si>
    <t>Arácnidos</t>
  </si>
  <si>
    <t>Astas de ciervo</t>
  </si>
  <si>
    <t>Billetera de cuero</t>
  </si>
  <si>
    <t>Cabeza de caimán</t>
  </si>
  <si>
    <t>Caparazón de tortuga</t>
  </si>
  <si>
    <t>Cobra en botella</t>
  </si>
  <si>
    <t>Cola de collote</t>
  </si>
  <si>
    <t>Cráneo lagarto</t>
  </si>
  <si>
    <t>Cuerno de reno</t>
  </si>
  <si>
    <t>Cuernos artesanía</t>
  </si>
  <si>
    <t>Cuernos de kudu</t>
  </si>
  <si>
    <t>Escorpiones</t>
  </si>
  <si>
    <t>Huesos de ciervo</t>
  </si>
  <si>
    <t>Marfil</t>
  </si>
  <si>
    <t>Pez globo</t>
  </si>
  <si>
    <t>Serpiente</t>
  </si>
  <si>
    <t>Serpientes en licor</t>
  </si>
  <si>
    <t>Violín chino</t>
  </si>
  <si>
    <t>Samoré</t>
  </si>
  <si>
    <t>Empuñadura de uña de ñandú (denuncia 616208)</t>
  </si>
  <si>
    <t>Serpientes vivas (1 macho y 1 hembra) Python Regius (denuncia 662911)</t>
  </si>
  <si>
    <r>
      <rPr>
        <b/>
        <sz val="8"/>
        <rFont val="Verdana"/>
        <family val="2"/>
      </rPr>
      <t xml:space="preserve">1 </t>
    </r>
    <r>
      <rPr>
        <sz val="8"/>
        <rFont val="Verdana"/>
        <family val="2"/>
      </rPr>
      <t xml:space="preserve">La contabilización del número de piezas corresponde a la caja, no a su contenido. </t>
    </r>
  </si>
  <si>
    <t>Extraportuario</t>
  </si>
  <si>
    <r>
      <t>Zeal</t>
    </r>
    <r>
      <rPr>
        <vertAlign val="superscript"/>
        <sz val="8"/>
        <rFont val="Verdana"/>
        <family val="2"/>
      </rPr>
      <t>/2</t>
    </r>
  </si>
  <si>
    <r>
      <rPr>
        <b/>
        <sz val="8"/>
        <rFont val="Verdana"/>
        <family val="2"/>
      </rPr>
      <t xml:space="preserve">2 </t>
    </r>
    <r>
      <rPr>
        <sz val="8"/>
        <rFont val="Verdana"/>
        <family val="2"/>
      </rPr>
      <t xml:space="preserve">Zeal: Zona de Extensión y Apoyo Logístico en Valparaíso. </t>
    </r>
  </si>
  <si>
    <r>
      <t>AVANZADA</t>
    </r>
    <r>
      <rPr>
        <b/>
        <vertAlign val="superscript"/>
        <sz val="8"/>
        <rFont val="Verdana"/>
        <family val="2"/>
      </rPr>
      <t>/1</t>
    </r>
  </si>
  <si>
    <t>Especies</t>
  </si>
  <si>
    <t>Retenciones</t>
  </si>
  <si>
    <t>Tipo Pieza</t>
  </si>
  <si>
    <t xml:space="preserve">N° Piezas </t>
  </si>
  <si>
    <t>Trilobites fosilizados completos</t>
  </si>
  <si>
    <t>Aguayos usados</t>
  </si>
  <si>
    <t>Amonites</t>
  </si>
  <si>
    <t>Vertebras fosilizados</t>
  </si>
  <si>
    <t>Puntas de flecha  de piedra</t>
  </si>
  <si>
    <t>Trozos de piedras naturales</t>
  </si>
  <si>
    <t>Dientes y colimillos de animales</t>
  </si>
  <si>
    <t>Huesos para tejer</t>
  </si>
  <si>
    <t>Trozos troncos madera</t>
  </si>
  <si>
    <t>Mitad de amonite fosilizado</t>
  </si>
  <si>
    <t>Figura piedra con greda</t>
  </si>
  <si>
    <t>Campanas metálicas</t>
  </si>
  <si>
    <t>Punta de flecha</t>
  </si>
  <si>
    <t>1 Campanay y 6 figuras metal</t>
  </si>
  <si>
    <t xml:space="preserve">Tallados de piedra, con forma de craneo </t>
  </si>
  <si>
    <t>Estatuillas de animales y seres tipo Tótem</t>
  </si>
  <si>
    <t>Caracolas (conchas)</t>
  </si>
  <si>
    <r>
      <t>Anden Zeal</t>
    </r>
    <r>
      <rPr>
        <vertAlign val="superscript"/>
        <sz val="8"/>
        <rFont val="Verdana"/>
        <family val="2"/>
      </rPr>
      <t>/2</t>
    </r>
  </si>
  <si>
    <t>Fósil Colombia</t>
  </si>
  <si>
    <t>Fósil</t>
  </si>
  <si>
    <t>Colmillo de Mamut</t>
  </si>
  <si>
    <t>Fósiles</t>
  </si>
  <si>
    <t>Pieza fosilizada (denuncia 665455)</t>
  </si>
  <si>
    <t>Pieza fosilizada (denuncia 665582)</t>
  </si>
  <si>
    <t>Pieza fosilizada (denuncia 665583)</t>
  </si>
  <si>
    <r>
      <rPr>
        <b/>
        <sz val="8"/>
        <rFont val="Verdana"/>
        <family val="2"/>
      </rPr>
      <t>1</t>
    </r>
    <r>
      <rPr>
        <sz val="8"/>
        <rFont val="Verdana"/>
        <family val="2"/>
      </rPr>
      <t xml:space="preserve"> El término Avanzada refiere a la infraestructura dependiente de la ADUANA que consta de andenes de revisión para automóviles, buses y camiones.</t>
    </r>
  </si>
  <si>
    <t>3.2 ARTESANÍA</t>
  </si>
  <si>
    <t>CUADRO 3.2-01: NÚMERO DE ARTESANOS INSCRITOS EN EL SISTEMA DE INFORMACIÓN NACIONAL DE ARTESANÍA DEL CONSEJO NACIONAL DE LA CULTURA Y LAS ARTES (CNCA) POR SEXO, SEGÚN REGIÓN. 2013</t>
  </si>
  <si>
    <t>CUADRO 3.2-02: NÚMERO DE ARTESANOS INSCRITOS EN EL SISTEMA DE INFORMACIÓN NACIONAL DE ARTESANÍA DEL CONSEJO NACIONAL DE LA CULTURA Y LAS ARTES (CNCA) POR PUEBLO ORIGINARIO, SEGÚN REGIÓN. 2013</t>
  </si>
  <si>
    <t>CUADRO 3.2-03: NÚMERO DE ARTESANOS INSCRITOS EN EL SISTEMA DE INFORMACIÓN NACIONAL DE ARTESANÍA DEL CONSEJO NACIONAL DE LA CULTURA Y LAS ARTES (CNCA) POR DISCIPLINA, SEGÚN REGIÓN. 2013</t>
  </si>
  <si>
    <t>CUADRO 3.2-04: DISTRIBUCIÓN REGIONAL DE OBJETOS DE ARTESANÍA CON SELLO DE EXCELENCIA DEL CONSEJO NACIONAL DE LA CULTURA Y LAS ARTES (CNCA) Y RECONOCIMIENTO UNESCO. 2008-2013/1</t>
  </si>
  <si>
    <t>CUADRO 3.2-05: NÓMINA DE PRODUCTOS ARTESANALES CON SELLO DE EXCELENCIA DEL CONSEJO NACIONAL DE LA CULTURA Y LAS ARTES (CNCA) Y CON RECONOCIMIENTO UNESCO POR DISCIPLINA, REGIÓN Y COMUNA. 2013/1</t>
  </si>
  <si>
    <t>Sexo</t>
  </si>
  <si>
    <t>FUENTE: Consejo Nacional de la Cultura y las Artes (CNCA). Departamento de fomento de las artes e industrias creativas área de artesanía.</t>
  </si>
  <si>
    <t>Pueblo originario</t>
  </si>
  <si>
    <t xml:space="preserve">Atacameña/Licanantai                            </t>
  </si>
  <si>
    <t xml:space="preserve">Aymara                                            </t>
  </si>
  <si>
    <t xml:space="preserve">Colla                                             </t>
  </si>
  <si>
    <t xml:space="preserve">Diaguita                                          </t>
  </si>
  <si>
    <t xml:space="preserve">Kawashkar                                         </t>
  </si>
  <si>
    <t xml:space="preserve">Mapuche                                           </t>
  </si>
  <si>
    <t xml:space="preserve">Quechua                                           </t>
  </si>
  <si>
    <t xml:space="preserve">Rapa Nui                                          </t>
  </si>
  <si>
    <t xml:space="preserve">Yagán                                             </t>
  </si>
  <si>
    <r>
      <t>NP</t>
    </r>
    <r>
      <rPr>
        <b/>
        <vertAlign val="superscript"/>
        <sz val="8"/>
        <rFont val="Verdana"/>
        <family val="2"/>
      </rPr>
      <t>/1</t>
    </r>
  </si>
  <si>
    <r>
      <rPr>
        <b/>
        <sz val="8"/>
        <rFont val="Verdana"/>
        <family val="2"/>
      </rPr>
      <t>1</t>
    </r>
    <r>
      <rPr>
        <sz val="8"/>
        <rFont val="Verdana"/>
        <family val="2"/>
      </rPr>
      <t xml:space="preserve"> NP: No pertenece a ningún pueblo originario.</t>
    </r>
  </si>
  <si>
    <t>FUENTE: Consejo Nacional de la Cultura y las Artes (CNCA). Departamento de fomento de las artes e industrias  creativas área de artesanía.</t>
  </si>
  <si>
    <t>Disciplina</t>
  </si>
  <si>
    <t xml:space="preserve">Alfarería / cerámica                                                                                </t>
  </si>
  <si>
    <t xml:space="preserve">Cantería / piedra                                                                                   </t>
  </si>
  <si>
    <t xml:space="preserve">Cestería                                                                                            </t>
  </si>
  <si>
    <t xml:space="preserve">Huesos / cuernos / conchas                                                                          </t>
  </si>
  <si>
    <t xml:space="preserve">Instrumentos musicales y luthier                                                                    </t>
  </si>
  <si>
    <t xml:space="preserve">Madera                                                                                              </t>
  </si>
  <si>
    <t xml:space="preserve">Marroquinería /Cueros                                                                              </t>
  </si>
  <si>
    <t xml:space="preserve">Orfebrería /metales                                                                                </t>
  </si>
  <si>
    <t xml:space="preserve">Papel                                                                                               </t>
  </si>
  <si>
    <t xml:space="preserve">Textilería                                                                                          </t>
  </si>
  <si>
    <t xml:space="preserve">Vidrio                                                                                              </t>
  </si>
  <si>
    <r>
      <t>CUADRO 3.2-04: DISTRIBUCIÓN REGIONAL DE OBJETOS DE ARTESANÍA CON SELLO DE EXCELENCIA DEL CONSEJO NACIONAL DE LA CULTURA Y LAS ARTES (CNCA) Y RECONOCIMIENTO UNESCO. 2008-2013</t>
    </r>
    <r>
      <rPr>
        <b/>
        <vertAlign val="superscript"/>
        <sz val="8"/>
        <rFont val="Verdana"/>
        <family val="2"/>
      </rPr>
      <t>/1</t>
    </r>
  </si>
  <si>
    <r>
      <t>N° de artesanías con Sello de Excelencia Nacional CNCA</t>
    </r>
    <r>
      <rPr>
        <b/>
        <vertAlign val="superscript"/>
        <sz val="8"/>
        <rFont val="Verdana"/>
        <family val="2"/>
      </rPr>
      <t>/2</t>
    </r>
    <r>
      <rPr>
        <b/>
        <sz val="8"/>
        <rFont val="Verdana"/>
        <family val="2"/>
      </rPr>
      <t xml:space="preserve"> (2008-2013)</t>
    </r>
  </si>
  <si>
    <r>
      <t>N° de artesanías con Sello Excelencia Nacional y Reconocimiento UNESCO</t>
    </r>
    <r>
      <rPr>
        <b/>
        <vertAlign val="superscript"/>
        <sz val="8"/>
        <rFont val="Verdana"/>
        <family val="2"/>
      </rPr>
      <t>/3</t>
    </r>
    <r>
      <rPr>
        <b/>
        <sz val="8"/>
        <rFont val="Verdana"/>
        <family val="2"/>
      </rPr>
      <t xml:space="preserve"> (2008 - 2013)</t>
    </r>
  </si>
  <si>
    <r>
      <t>2013</t>
    </r>
    <r>
      <rPr>
        <b/>
        <vertAlign val="superscript"/>
        <sz val="8"/>
        <rFont val="Verdana"/>
        <family val="2"/>
      </rPr>
      <t>/a</t>
    </r>
  </si>
  <si>
    <r>
      <rPr>
        <b/>
        <sz val="8"/>
        <rFont val="Verdana"/>
        <family val="2"/>
      </rPr>
      <t xml:space="preserve">1 </t>
    </r>
    <r>
      <rPr>
        <sz val="8"/>
        <rFont val="Verdana"/>
        <family val="2"/>
      </rPr>
      <t>Unesco: United Nations Educational, Scientific and Cultural Organization, por sus siglas en inglés Organización de las Naciones Unidas para la Educación, la Ciencia y la Cultura.</t>
    </r>
  </si>
  <si>
    <r>
      <rPr>
        <b/>
        <sz val="8"/>
        <rFont val="Verdana"/>
        <family val="2"/>
      </rPr>
      <t xml:space="preserve">2 </t>
    </r>
    <r>
      <rPr>
        <sz val="8"/>
        <rFont val="Verdana"/>
        <family val="2"/>
      </rPr>
      <t>El objetivo principal de la distinción Sello de Excelencia es relevar la excelencia y calidad de nuestras artesanías según los parámetros del Reconocimiento de Excelencia de la Unesco para productos artesanales del  Mercosur: excelencia, autenticidad, innovación, respeto por el medio ambiente y potencial comercializable. Se postula al reconocimiento, siendo el Comité Nacional del World Craft Council, formado por el área de artesanía del Consejo Nacional de la Cultura y las Artes y el programa de artesanía de la Pontificia Universidad Católica de Chile, el que selecciona los productos a premiar, a través de un proceso de selección anual.</t>
    </r>
  </si>
  <si>
    <r>
      <rPr>
        <b/>
        <sz val="8"/>
        <rFont val="Verdana"/>
        <family val="2"/>
      </rPr>
      <t xml:space="preserve">3 </t>
    </r>
    <r>
      <rPr>
        <sz val="8"/>
        <rFont val="Verdana"/>
        <family val="2"/>
      </rPr>
      <t>Reconocimiento de excelencia de Unesco para productos artesanales del Cono Sur que tiene por finalidad estimular a los artesanos y artesanas a producir productos de calidad utilizando técnicas y temas tradicionales de manera original, a fin de asegurar la permanencia y desarrollo sostenible de esta actividad en el mundo contemporáneo. Participan los países de Paraguay, Argentina, Uruguay, Chile y, desde la última version del 2012, Brasil. La selección de las piezas es bi anual y se realiza en función de criterios de excelencia, autenticidad, innovación y comercialización; y bajo las condiciones de respeto por el medio ambiente y responsabilidad social. Los países participantes postulan piezas a este reconocimiento.</t>
    </r>
  </si>
  <si>
    <r>
      <rPr>
        <b/>
        <sz val="8"/>
        <rFont val="Verdana"/>
        <family val="2"/>
      </rPr>
      <t>a</t>
    </r>
    <r>
      <rPr>
        <sz val="8"/>
        <rFont val="Verdana"/>
        <family val="2"/>
      </rPr>
      <t xml:space="preserve"> Durante el año 2013 no hubo entrega del reconocimiento "Sello de excelencia nacional y reconocimiento Unesco" porque la certificación se realiza cada dos años.</t>
    </r>
  </si>
  <si>
    <t>... Información no disponible.</t>
  </si>
  <si>
    <r>
      <t>CUADRO 3.2-05: NÓMINA DE PRODUCTOS ARTESANALES CON SELLO DE EXCELENCIA DEL CONSEJO NACIONAL DE LA CULTURA Y LAS ARTES (CNCA) Y CON RECONOCIMIENTO UNESCO POR DISCIPLINA, REGIÓN Y COMUNA. 2013</t>
    </r>
    <r>
      <rPr>
        <b/>
        <vertAlign val="superscript"/>
        <sz val="8"/>
        <rFont val="Verdana"/>
        <family val="2"/>
      </rPr>
      <t>/1</t>
    </r>
  </si>
  <si>
    <r>
      <t>N°</t>
    </r>
    <r>
      <rPr>
        <b/>
        <vertAlign val="superscript"/>
        <sz val="8"/>
        <rFont val="Verdana"/>
        <family val="2"/>
      </rPr>
      <t>/2</t>
    </r>
  </si>
  <si>
    <t>Año entrega sello excelencia nacional</t>
  </si>
  <si>
    <r>
      <t>Año de entrega reconocimiento UNESCO</t>
    </r>
    <r>
      <rPr>
        <b/>
        <vertAlign val="superscript"/>
        <sz val="8"/>
        <rFont val="Verdana"/>
        <family val="2"/>
      </rPr>
      <t>/3</t>
    </r>
  </si>
  <si>
    <t>Producto con sello de excelencia</t>
  </si>
  <si>
    <t>Llamito, Guardian del Agua</t>
  </si>
  <si>
    <t>Alfarería/Cerámica</t>
  </si>
  <si>
    <t>Set de cholgas</t>
  </si>
  <si>
    <t>Madera</t>
  </si>
  <si>
    <t>Aduja de ñocha</t>
  </si>
  <si>
    <t>Cestería</t>
  </si>
  <si>
    <t>Cañete</t>
  </si>
  <si>
    <t xml:space="preserve">Conjunto de piezas en cobre grabadas y oxidadas </t>
  </si>
  <si>
    <t>Orfebrería/Metales</t>
  </si>
  <si>
    <t>Las Chilas</t>
  </si>
  <si>
    <t>Textil</t>
  </si>
  <si>
    <t>Manta natural</t>
  </si>
  <si>
    <t>Teno</t>
  </si>
  <si>
    <t>Libro de arpilleras</t>
  </si>
  <si>
    <t>Anillos de cuerno con aplicaciones en metal</t>
  </si>
  <si>
    <t>Orfebrería</t>
  </si>
  <si>
    <t>Artesanía en pita</t>
  </si>
  <si>
    <t>San Francisco de Mostazal</t>
  </si>
  <si>
    <r>
      <rPr>
        <b/>
        <sz val="8"/>
        <rFont val="Verdana"/>
        <family val="2"/>
      </rPr>
      <t xml:space="preserve">2 </t>
    </r>
    <r>
      <rPr>
        <sz val="8"/>
        <rFont val="Verdana"/>
        <family val="2"/>
      </rPr>
      <t>Ordenado según número correlativo de registro interno en el Consejo Nacional de la Cultura y las Artes.</t>
    </r>
  </si>
  <si>
    <r>
      <rPr>
        <b/>
        <sz val="8"/>
        <rFont val="Verdana"/>
        <family val="2"/>
      </rPr>
      <t>3</t>
    </r>
    <r>
      <rPr>
        <sz val="8"/>
        <rFont val="Verdana"/>
        <family val="2"/>
      </rPr>
      <t xml:space="preserve"> Durante el año 2013 no hubo entrega del reconocimiento "Sello de excelencia nacional y reconocimiento Unesco".</t>
    </r>
  </si>
  <si>
    <t>3.3 ARTES VISUALES</t>
  </si>
  <si>
    <t>CUADRO 3.3-01: NÚMERO DE AUTORES ASOCIADOS A LA SOCIEDAD DE CREADORES DE IMAGEN FIJA (CREAIMAGEN) POR SEXO, SEGÚN REGIÓN. 2013</t>
  </si>
  <si>
    <t>CUADRO 3.3-02: NÚMERO DE SOCIOS INCORPORADOS A LA SOCIEDAD DE CREADORES DE IMAGEN FIJA (CREAIMAGEN) POR SEXO, SEGÚN REGIÓN. 2013</t>
  </si>
  <si>
    <t>CUADRO 3.3-03: NÚMERO DE AUTORES AFILIADOS A LA SOCIEDAD DE CREADORES DE IMAGEN FIJA (CREAIMAGEN) QUE GENERARON DERECHOS EN CHILE Y EN EL EXTRANJERO. 2009-2013</t>
  </si>
  <si>
    <t>CUADRO 3.3-04: NÚMERO DE AUTORIZACIONES REGISTRADAS POR LA SOCIEDAD DE CREADORES DE IMAGEN FIJA (CREAIMAGEN) SOBRE USO DE IMAGEN FIJA, CONCEDIDAS EN CHILE Y EN EL EXTRANJERO. 2009 - 2013</t>
  </si>
  <si>
    <t>CUADRO 3.3-05: RECAUDACIÓN DE DERECHOS DE AUTOR POR LA SOCIEDAD DE CREADORES DE IMAGEN FIJA (CREAIMAGEN), SEGÚN ORIGEN DE LA OBRA Y DE LA RECAUDACIÓN (NACIONAL Y EXTRANJERA). 2009-2013</t>
  </si>
  <si>
    <t>CUADRO 3.3-06: DISTRIBUCIÓN DE DERECHOS DE AUTOR POR LA SOCIEDAD DE CREADORES DE IMAGEN FIJA (CREAIMAGEN), SEGÚN ORIGEN DE LA OBRA Y DE LA RECAUDACIÓN (NACIONAL Y EXTRANJERA). 2009-2013</t>
  </si>
  <si>
    <t>Autores asociados</t>
  </si>
  <si>
    <t>FUENTE: Sociedad de Creadores de Imagen Fija (Creaimagen).</t>
  </si>
  <si>
    <t>Socios incorporados</t>
  </si>
  <si>
    <t>AUTORES FAVORECIDOS</t>
  </si>
  <si>
    <t>AUTORIZACIONES</t>
  </si>
  <si>
    <r>
      <t>Utilización de obras en Chile</t>
    </r>
    <r>
      <rPr>
        <vertAlign val="superscript"/>
        <sz val="8"/>
        <rFont val="Verdana"/>
        <family val="2"/>
      </rPr>
      <t>/1</t>
    </r>
  </si>
  <si>
    <r>
      <t>Utilización de obras en el extranjero</t>
    </r>
    <r>
      <rPr>
        <vertAlign val="superscript"/>
        <sz val="8"/>
        <rFont val="Verdana"/>
        <family val="2"/>
      </rPr>
      <t>/2</t>
    </r>
  </si>
  <si>
    <r>
      <rPr>
        <b/>
        <sz val="8"/>
        <rFont val="Verdana"/>
        <family val="2"/>
      </rPr>
      <t>1</t>
    </r>
    <r>
      <rPr>
        <sz val="8"/>
        <rFont val="Verdana"/>
        <family val="2"/>
      </rPr>
      <t xml:space="preserve"> Incluye obras nacionales y extranjeras.</t>
    </r>
  </si>
  <si>
    <r>
      <rPr>
        <b/>
        <sz val="8"/>
        <rFont val="Verdana"/>
        <family val="2"/>
      </rPr>
      <t xml:space="preserve">2 </t>
    </r>
    <r>
      <rPr>
        <sz val="8"/>
        <rFont val="Verdana"/>
        <family val="2"/>
      </rPr>
      <t xml:space="preserve">La utilización del repertorio de Creaimagen en el extranjero la autorizan las sociedades homólogas a Creaimagen con las que tienen contratos de representación recíproca. En el período no se licenciaron obras de artistas chilenos.
</t>
    </r>
  </si>
  <si>
    <r>
      <t>RECAUDACIÓN</t>
    </r>
    <r>
      <rPr>
        <b/>
        <vertAlign val="superscript"/>
        <sz val="8"/>
        <rFont val="Verdana"/>
        <family val="2"/>
      </rPr>
      <t>/1</t>
    </r>
  </si>
  <si>
    <r>
      <t>2009</t>
    </r>
    <r>
      <rPr>
        <b/>
        <vertAlign val="superscript"/>
        <sz val="8"/>
        <rFont val="Verdana"/>
        <family val="2"/>
      </rPr>
      <t>/a</t>
    </r>
  </si>
  <si>
    <r>
      <t>Recaudación nacional</t>
    </r>
    <r>
      <rPr>
        <b/>
        <vertAlign val="superscript"/>
        <sz val="8"/>
        <rFont val="Verdana"/>
        <family val="2"/>
      </rPr>
      <t>/2</t>
    </r>
  </si>
  <si>
    <r>
      <t>Recaudación extranjera</t>
    </r>
    <r>
      <rPr>
        <b/>
        <vertAlign val="superscript"/>
        <sz val="8"/>
        <rFont val="Verdana"/>
        <family val="2"/>
      </rPr>
      <t>/3</t>
    </r>
  </si>
  <si>
    <r>
      <rPr>
        <b/>
        <sz val="8"/>
        <rFont val="Verdana"/>
        <family val="2"/>
      </rPr>
      <t>1</t>
    </r>
    <r>
      <rPr>
        <sz val="8"/>
        <rFont val="Verdana"/>
        <family val="2"/>
      </rPr>
      <t xml:space="preserve"> Incluye recaudación por concepto de obras nacionales y extranjeras (derechos recibidos desde el extranjero).</t>
    </r>
  </si>
  <si>
    <r>
      <rPr>
        <b/>
        <sz val="8"/>
        <rFont val="Verdana"/>
        <family val="2"/>
      </rPr>
      <t>2</t>
    </r>
    <r>
      <rPr>
        <sz val="8"/>
        <rFont val="Verdana"/>
        <family val="2"/>
      </rPr>
      <t xml:space="preserve"> Recaudación nacional: recaudación de derechos de artistas nacionales y extranjeros en territorio de Chile.</t>
    </r>
  </si>
  <si>
    <r>
      <rPr>
        <b/>
        <sz val="8"/>
        <rFont val="Verdana"/>
        <family val="2"/>
      </rPr>
      <t xml:space="preserve">3 </t>
    </r>
    <r>
      <rPr>
        <sz val="8"/>
        <rFont val="Verdana"/>
        <family val="2"/>
      </rPr>
      <t>Recaudación extranjera: recaudación de derechos de artistas nacionales en territorio extranjero que se envía por otras sociedades hermanas a Creaimagen, para su distribución entre sus asociados.</t>
    </r>
  </si>
  <si>
    <r>
      <rPr>
        <b/>
        <sz val="8"/>
        <rFont val="Verdana"/>
        <family val="2"/>
      </rPr>
      <t xml:space="preserve">a </t>
    </r>
    <r>
      <rPr>
        <sz val="8"/>
        <rFont val="Verdana"/>
        <family val="2"/>
      </rPr>
      <t>Para el año 2009 sólo se dispone de información sobre recaudación extranejera, en moneda euro.</t>
    </r>
  </si>
  <si>
    <t>DISTRIBUCIÓN</t>
  </si>
  <si>
    <r>
      <t>2013</t>
    </r>
    <r>
      <rPr>
        <b/>
        <vertAlign val="superscript"/>
        <sz val="8"/>
        <rFont val="Verdana"/>
        <family val="2"/>
      </rPr>
      <t>/b</t>
    </r>
  </si>
  <si>
    <r>
      <rPr>
        <b/>
        <sz val="8"/>
        <rFont val="Verdana"/>
        <family val="2"/>
      </rPr>
      <t xml:space="preserve">a </t>
    </r>
    <r>
      <rPr>
        <sz val="8"/>
        <rFont val="Verdana"/>
        <family val="2"/>
      </rPr>
      <t xml:space="preserve">El monto recibido en el año 2009 por concepto de distribución extranjera no se distribuyó porque las sociedades que lo enviaron no informaron a quiénes pertenecían esos montos, a pesar de que se les solicitó información en reiteradas ocasiones. Es por este motivo que en este ítem, para este año, no aparecen estos montos distribuidos. Esos montos se guardan para los próximos cinco años y en cuanto se recibe la información se procede a distribuir y luego liquidar al autor. En caso de no recibirse información, estos montos pasa al Ministerio de Educación salvo que el consejo directivo en acuerdo de consejo decida destinarlo a algún ítem regulado por nuestros estatutos. </t>
    </r>
  </si>
  <si>
    <r>
      <rPr>
        <b/>
        <sz val="8"/>
        <rFont val="Verdana"/>
        <family val="2"/>
      </rPr>
      <t>b</t>
    </r>
    <r>
      <rPr>
        <sz val="8"/>
        <rFont val="Verdana"/>
        <family val="2"/>
      </rPr>
      <t xml:space="preserve"> La variación de la cifra de recaudaciones del año 2013 varía respecto a la cifra reportada el año anterior,  debido a que está sujeto al número de licencias solicitadas anualmente.</t>
    </r>
  </si>
  <si>
    <t>3.4 ARTES ESCÉNICAS</t>
  </si>
  <si>
    <t>CUADRO 3.4-01: NÚMERO DE ACTORES ASOCIADOS A LA CORPORACIÓN DE ACTORES DE CHILE (CHILEACTORES) AL 31 DE DICIEMBRE DE CADA AÑO. 2009-2013</t>
  </si>
  <si>
    <t>CUADRO 3.4-02: NÚMERO DE SOCIOS DE LA ASOCIACIÓN DE AUTORES NACIONALES DE TEATRO, CINE Y AUDIOVISUALES (ATN), POR SEXO. 2009-2013</t>
  </si>
  <si>
    <t>CUADRO 3.4-03: NÚMERO DE AUTORES QUE GENERARON DERECHOS DE AUTOR POR LA SOCIEDAD DE AUTORES NACIONALES DE TEATRO, CINE Y AUDIOVISUALES (ATN), SEGÚN NACIONALIDAD DEL AUTOR. 2009-2013</t>
  </si>
  <si>
    <t>CUADRO 3.4-04: NÚMERO DE ASOCIADOS AL SINDICATO DE ACTORES DE CHILE (SIDARTE) POR SEXO, SEGÚN REGIÓN. 2011-2013</t>
  </si>
  <si>
    <t>CUADRO 3.4-05: NÚMERO DE ASOCIADOS  AL SINDICATO DE ACTORES DE CHILE (SIDARTE) EGRESADOS DE LAS CARRERAS DE TEATRO POR SEXO, SEGÚN REGIÓN. 2012-2013</t>
  </si>
  <si>
    <t>CUADRO 3.4-06: NÚMERO DE ASOCIADOS  AL SINDICATO DE ACTORES DE CHILE (SIDARTE) TITULADOS DE LAS CARRERAS DE TEATRO POR SEXO, SEGÚN REGIÓN. 2012-2013</t>
  </si>
  <si>
    <t>CUADRO 3.4-07: NÚMERO DE ASOCIADOS  AL SINDICATO DE ACTORES DE CHILE (SIDARTE) ADSCRITOS A INSTITUCIONES DE SALUD PREVISIONAL (ISAPRES) POR SEXO, SEGÚN REGIÓN. 2012-2013</t>
  </si>
  <si>
    <t>CUADRO 3.4-08: NÚMERO DE ASOCIADOS  AL SINDICATO DE ACTORES DE CHILE (SIDARTE) ADSCRITOS A LAS ADMINISTRADORAS DE FONDOS DE PENSIONES (AFP) POR SEXO, SEGÚN REGIÓN. 2012-2013</t>
  </si>
  <si>
    <t>CUADRO 3.4-09: NÚMERO DE ASOCIADOS AL SINDICATO DE ACTORES DE CHILE (SIDARTE) ADSCRITOS A ISAPRES Y AFP POR SEXO, SEGÚN REGIÓN. 2012-2013</t>
  </si>
  <si>
    <t>CUADRO 3.4-10: NÚMERO DE AUTORIZACIONES CONCEDIDAS EN CHILE Y EN EL EXTRANJERO POR LA SOCIEDAD DE AUTORES NACIONALES DE TEATRO, CINE Y AUDIOVISUALES (ATN), SEGÚN TIPO DE OBRA. 2009-2013</t>
  </si>
  <si>
    <t>CUADRO 3.4-11: MONTO DE DERECHOS RECAUDADOS POR LA SOCIEDAD DE AUTORES NACIONALES DE TEATRO, CINE Y AUDIOVISUALES (ATN), SEGÚN ORIGEN DE LAS OBRA. 2009-2013</t>
  </si>
  <si>
    <t>CUADRO 3.4-12: MONTO DE DERECHOS DISTRIBUIDOS POR LA SOCIEDAD DE AUTORES NACIONALES DE TEATRO, CINE Y AUDIOVISUALES (ATN), SEGÚN NACIONALIDAD DEL AUTOR. 2009-2013</t>
  </si>
  <si>
    <t>CUADRO 3.4-13: NÚMERO DE FUNCIONES DE ESPECTÁCULOS DE ARTES ESCÉNICAS POR TIPO DE ESPECTÁCULO, SEGÚN REGIÓN. 2013</t>
  </si>
  <si>
    <t>CUADRO 3.4-14: NÚMERO DE FUNCIONES DE ESPECTÁCULOS DE ARTES ESCÉNICAS POR TIPO DE ESPECTÁCULO. 2009-2013</t>
  </si>
  <si>
    <t>CUADRO 3.4-15: NÚMERO DE ASISTENTES A ESPECTÁCULOS DE ARTES ESCÉNICAS, PAGANDO ENTRADA POR TIPO DE ESPECTÁCULO, SEGÚN REGIÓN. 2013</t>
  </si>
  <si>
    <t>CUADRO 3.4-16: NÚMERO DE ASISTENTES A ESPECTÁCULOS DE ARTES ESCÉNICAS, PAGANDO ENTRADA, POR TIPO DE ESPECTÁCULO. 2009-2013</t>
  </si>
  <si>
    <t>CUADRO 3.4-17: NÚMERO DE ASISTENTES A ESPECTÁCULOS DE ARTES ESCÉNICAS CON ENTRADA GRATUITA, POR TIPO DE ESPECTÁCULO, SEGÚN REGIÓN. 2013</t>
  </si>
  <si>
    <t>CUADRO 3.4-18: NÚMERO DE ASISTENTES A ESPECTÁCULOS DE ARTES ESCÉNICAS CON ENTRADA GRATUITA, POR TIPO DE ESPECTÁCULO. 2009-2013</t>
  </si>
  <si>
    <t>CUADRO 3.4-19: NÚMERO DE ASISTENTES A ESPECTÁCULOS DE ARTES ESCÉNICAS CON ENTRADA GRATUITA Y PAGADA POR MES, SEGÚN REGIÓN. 2013</t>
  </si>
  <si>
    <r>
      <rPr>
        <b/>
        <sz val="8"/>
        <rFont val="Verdana"/>
        <family val="2"/>
      </rPr>
      <t>1</t>
    </r>
    <r>
      <rPr>
        <sz val="8"/>
        <rFont val="Verdana"/>
        <family val="2"/>
      </rPr>
      <t xml:space="preserve"> Cifra correspondiente al 31 de diciembre de cada año.</t>
    </r>
  </si>
  <si>
    <t>FUENTE: Corporación de Actores de Chile (Chileactores).</t>
  </si>
  <si>
    <t>Para gráfico</t>
  </si>
  <si>
    <t>Número de socios</t>
  </si>
  <si>
    <t>FUENTE: Sociedad de Autores Nacionales de Teatro, Cine y Audiovisuales (ATN).</t>
  </si>
  <si>
    <t>NACIONALIDAD DE AUTORES QUE GENERARON DERECHOS DE AUTOR</t>
  </si>
  <si>
    <r>
      <t>2011</t>
    </r>
    <r>
      <rPr>
        <b/>
        <vertAlign val="superscript"/>
        <sz val="8"/>
        <rFont val="Verdana"/>
        <family val="2"/>
      </rPr>
      <t>/a</t>
    </r>
  </si>
  <si>
    <t>Sin información territorial</t>
  </si>
  <si>
    <r>
      <t xml:space="preserve">a </t>
    </r>
    <r>
      <rPr>
        <sz val="8"/>
        <rFont val="Verdana"/>
        <family val="2"/>
      </rPr>
      <t>El año 2011 no dispone de información desagregada por región.</t>
    </r>
  </si>
  <si>
    <t>Fuente: Sindicato de Actores de Chile (Sidarte)</t>
  </si>
  <si>
    <r>
      <t>Sin información territorial</t>
    </r>
    <r>
      <rPr>
        <vertAlign val="superscript"/>
        <sz val="8"/>
        <color indexed="8"/>
        <rFont val="Verdana"/>
        <family val="2"/>
      </rPr>
      <t xml:space="preserve"> /1</t>
    </r>
  </si>
  <si>
    <r>
      <rPr>
        <b/>
        <sz val="8"/>
        <color indexed="8"/>
        <rFont val="Verdana"/>
        <family val="2"/>
      </rPr>
      <t xml:space="preserve">1 </t>
    </r>
    <r>
      <rPr>
        <sz val="8"/>
        <color indexed="8"/>
        <rFont val="Verdana"/>
        <family val="2"/>
      </rPr>
      <t>Los datos no se pueden relacionar a alguna región del país, ya que no tienen comuna o ciudad de origen.</t>
    </r>
  </si>
  <si>
    <t>Fuente: Sindicato de Actores de Chile (Sidarte).</t>
  </si>
  <si>
    <r>
      <rPr>
        <b/>
        <sz val="8"/>
        <color indexed="8"/>
        <rFont val="Verdana"/>
        <family val="2"/>
      </rPr>
      <t>1</t>
    </r>
    <r>
      <rPr>
        <sz val="8"/>
        <color indexed="8"/>
        <rFont val="Verdana"/>
        <family val="2"/>
      </rPr>
      <t xml:space="preserve"> Los datos no se pueden relacionar a alguna región del país, ya que no tienen comuna o ciudad de origen.</t>
    </r>
  </si>
  <si>
    <r>
      <rPr>
        <b/>
        <sz val="8"/>
        <color indexed="8"/>
        <rFont val="Verdana"/>
        <family val="2"/>
      </rPr>
      <t xml:space="preserve">a </t>
    </r>
    <r>
      <rPr>
        <sz val="8"/>
        <color indexed="8"/>
        <rFont val="Verdana"/>
        <family val="2"/>
      </rPr>
      <t>La institución no dispone de regitros para el año 2013.</t>
    </r>
  </si>
  <si>
    <t>... Información no disponible</t>
  </si>
  <si>
    <t>AUTORIZACIONES/TIPO DE OBRA</t>
  </si>
  <si>
    <t>Concedidas en Chile</t>
  </si>
  <si>
    <t>Concedidas en el extranjero</t>
  </si>
  <si>
    <t>PARA GRÁFICO</t>
  </si>
  <si>
    <t>Autorizaciones</t>
  </si>
  <si>
    <t>ORÍGEN DE LAS OBRAS Y PROVENIENCIA</t>
  </si>
  <si>
    <t>NACIONALIDAD DEL AUTOR</t>
  </si>
  <si>
    <t>Monto (pesos de cada año)</t>
  </si>
  <si>
    <r>
      <t>2012</t>
    </r>
    <r>
      <rPr>
        <b/>
        <vertAlign val="superscript"/>
        <sz val="8"/>
        <rFont val="Verdana"/>
        <family val="2"/>
      </rPr>
      <t>/1</t>
    </r>
  </si>
  <si>
    <r>
      <rPr>
        <b/>
        <sz val="8"/>
        <rFont val="Verdana"/>
        <family val="2"/>
      </rPr>
      <t>1</t>
    </r>
    <r>
      <rPr>
        <sz val="8"/>
        <rFont val="Verdana"/>
        <family val="2"/>
      </rPr>
      <t xml:space="preserve"> El aumento en autores extranjeros durante el año 2012 se debe que a ese año se distribuyó un monto remanente correspondiente al año 2011.</t>
    </r>
  </si>
  <si>
    <t>Para gráfico 1</t>
  </si>
  <si>
    <t>Derechos recaudados</t>
  </si>
  <si>
    <t>Derechos distribuidos</t>
  </si>
  <si>
    <t>Para gráfico 2</t>
  </si>
  <si>
    <r>
      <t>Funciones</t>
    </r>
    <r>
      <rPr>
        <b/>
        <vertAlign val="superscript"/>
        <sz val="8"/>
        <rFont val="Verdana"/>
        <family val="2"/>
      </rPr>
      <t>/1</t>
    </r>
  </si>
  <si>
    <t>Tipo de espectáculo</t>
  </si>
  <si>
    <t>Teatro infantil</t>
  </si>
  <si>
    <t>Teatro público general</t>
  </si>
  <si>
    <t>Ballet</t>
  </si>
  <si>
    <t>Danza moderna o contemporánea</t>
  </si>
  <si>
    <t>Danza regional y/o folclórica</t>
  </si>
  <si>
    <t>Ópera</t>
  </si>
  <si>
    <r>
      <rPr>
        <b/>
        <sz val="8"/>
        <rFont val="Verdana"/>
        <family val="2"/>
      </rPr>
      <t xml:space="preserve">1 </t>
    </r>
    <r>
      <rPr>
        <sz val="8"/>
        <rFont val="Verdana"/>
        <family val="2"/>
      </rPr>
      <t>Los datos se refieren exclusivamente al movimiento registrado por los teatros, centros culturales y similares que respondieron la Encuesta INE, declarando haber presentado espectáculos de artes escénicas por lo menos una vez en el año.</t>
    </r>
  </si>
  <si>
    <t>FUENTE: Encuesta de Espectáculos Públicos (INE).</t>
  </si>
  <si>
    <t>2009</t>
  </si>
  <si>
    <t>2011</t>
  </si>
  <si>
    <t>2012</t>
  </si>
  <si>
    <t>2013</t>
  </si>
  <si>
    <r>
      <t>Asistentes</t>
    </r>
    <r>
      <rPr>
        <b/>
        <vertAlign val="superscript"/>
        <sz val="8"/>
        <rFont val="Verdana"/>
        <family val="2"/>
      </rPr>
      <t>/1</t>
    </r>
  </si>
  <si>
    <t>2010</t>
  </si>
  <si>
    <r>
      <t>Espectadores</t>
    </r>
    <r>
      <rPr>
        <b/>
        <vertAlign val="superscript"/>
        <sz val="8"/>
        <rFont val="Verdana"/>
        <family val="2"/>
      </rPr>
      <t>/1</t>
    </r>
  </si>
  <si>
    <t>Enero</t>
  </si>
  <si>
    <t>Febrero</t>
  </si>
  <si>
    <t>Marzo</t>
  </si>
  <si>
    <t>Abril</t>
  </si>
  <si>
    <t>Mayo</t>
  </si>
  <si>
    <t>Junio</t>
  </si>
  <si>
    <t>Julio</t>
  </si>
  <si>
    <t>Agosto</t>
  </si>
  <si>
    <t>Septiembre</t>
  </si>
  <si>
    <t>Octubre</t>
  </si>
  <si>
    <t>Noviembre</t>
  </si>
  <si>
    <t>Diciembre</t>
  </si>
  <si>
    <r>
      <rPr>
        <b/>
        <sz val="8"/>
        <rFont val="Verdana"/>
        <family val="2"/>
      </rPr>
      <t>1</t>
    </r>
    <r>
      <rPr>
        <sz val="8"/>
        <rFont val="Verdana"/>
        <family val="2"/>
      </rPr>
      <t xml:space="preserve"> Los datos se refieren exclusivamente al movimiento registrado por los teatros, centros culturales y similares que respondieron la Encuesta INE, declarando haber presentado espectáculos de artes escénicas por lo menos una vez en el año.</t>
    </r>
  </si>
  <si>
    <t>3.5 ARTES MUSICALES</t>
  </si>
  <si>
    <t>CUADRO 3.5-01: NÚMERO DE SELLOS DE GRABACIÓN. 2013</t>
  </si>
  <si>
    <t>CUADRO 3.5-02: NÚMERO DE ASOCIADOS EN LA ASOCIACIÓN GREMIAL DE PRODUCTORES FONOGRÁFICOS DE CHILE (IFPI) POR AÑO. 2011-2013</t>
  </si>
  <si>
    <t>CUADRO 3.5-03: NÚMERO DE TRABAJADORES EN SELLOS DISCOGRÁFICOS. 2011-2013</t>
  </si>
  <si>
    <t>CUADRO 3.5-04: NÚMERO Y PORCENTAJE DE AUTORES ASOCIADOS A LA SOCIEDAD CHILENA DEL DERECHO DE AUTOR (SCD), POR SEXO, SEGÚN REGIÓN. 2013</t>
  </si>
  <si>
    <t>CUADRO 3.5-05: NÚMERO DE OBRAS NACIONALES INSCRITAS EN LA SOCIEDAD CHILENA DEL DERECHO DE AUTOR (SCD). 2013</t>
  </si>
  <si>
    <t>CUADRO 3.5-06: NÚMERO DE AUTORES ASOCIADOS A LA SOCIEDAD CHILENA DEL DERECHO DE AUTOR (SCD) Y NÚMERO DE AUTORES GENERADORES DE DERECHOS POR SEXO. 2013</t>
  </si>
  <si>
    <t>CUADRO 3.5-07 NÚMERO Y PORCENTAJE DE ASOCIADOS (PERSONAS NATURALES) A LA SOCIEDAD CHILENA DEL DERECHO DE AUTOR (SCD), SEGÚN REGIÓN. 2013</t>
  </si>
  <si>
    <t>CUADRO 3.5-08: NÚMERO Y PORCENTAJE DE ASOCIADOS A LA SOCIEDAD CHILENA DEL DERECHO DE AUTOR (SCD), SEGÚN TIPO DE ARTISTA. 2013</t>
  </si>
  <si>
    <t>CUADRO 3.5-09: NÚMERO DE SOCIOS QUE CUENTAN CON BENEFICIOS SOCIALES DE LA SOCIEDAD CHILENA DEL DERECHO DE AUTOR (SCD) POR AÑO Y TIPO DE BENEFICIO. 2013</t>
  </si>
  <si>
    <t>CUADRO 3.5-10: NÚMERO Y PORCENTAJE DE DISCOS NACIONALES POR AÑO, SEGÚN TIPO DE PRODUCCIÓN, GÉNERO, APOYO DEL FONDO DE LA MÚSICA, MES DE PRODUCCIÓN, FORMATO, TIPO DE DISCO, REPERTORIO Y TRAYECTORIA. 2012-2013</t>
  </si>
  <si>
    <t>CUADRO 3.5-11: MONTOS DE RECAUDACIÓN DE DERECHOS DE EJECUCIÓN AUTOR POR LA SOCIEDAD CHILENA DEL DERECHO DE AUTOR (SCD), SEGÚN MEDIO DE EMISIÓN. 2009-2013</t>
  </si>
  <si>
    <t>CUADRO 3.5-12: MONTOS DE DISTRIBUCIÓN DE DERECHOS DE EJECUCIÓN AUTOR POR LA SOCIEDAD CHILENA DEL DERECHO DE AUTOR (SCD). 2009-2013</t>
  </si>
  <si>
    <t>CUADRO 3.5-13: MONTOS DE RECAUDACIÓN Y DISTRIBUCIÓN DE DERECHOS FONOMECÁNICOS POR LA SOCIEDAD CHILENA DEL DERECHO DE AUTOR (SCD). 2010-2013</t>
  </si>
  <si>
    <t>CUADRO 3.5-14: MONTOS DE RECAUDACIÓN DE DERECHOS DE EJECUCIÓN CONEXOS POR LA SOCIEDAD CHILENA DEL DERECHO DE AUTOR (SCD), SEGÚN MEDIO DE EMISIÓN. 2009-2013</t>
  </si>
  <si>
    <t>CUADRO 3.5-15: MONTOS DE DISTRIBUCIÓN DE DERECHOS DE EJECUCIÓN CONEXOS, POR LA SOCIEDAD CHILENA DEL DERECHO DE AUTOR (SCD). 2009-2013</t>
  </si>
  <si>
    <t>CUADRO 3.5-16: DERECHOS CONEXOS DE EJECUCIÓN DE LA SOCIEDAD DE PRODUCTORES FONOGRÁFICOS DE CHILE A.G. (PROFOVI): RECAUDACIÓN Y DISTRIBUCIÓN, SEGÚN RUBRO Y SELLO. 2012-2013</t>
  </si>
  <si>
    <t>CUADRO 3.5-17: DERECHOS DE REPRODUCCIÓN DE LA SOCIEDAD DE PRODUCTORES FONOGRÁFICOS DE CHILE A.G. (PROFOVI): RECAUDACIÓN Y DISTRIBUCIÓN, SEGÚN SELLO. 2012-2013</t>
  </si>
  <si>
    <t>CUADRO 3.5-18: VENTAS DE MATERIAL DISCOGRÁFICO Y UNIDADES VENDIDAS, SEGÚN FORMATO. 2009-2013</t>
  </si>
  <si>
    <t>CUADRO 3.5-19 VENTAS DE MATERIAL DISCOGRÁFICO Y UNIDADES VENDIDAS, SEGÚN REPERTORIO. 2009-2013</t>
  </si>
  <si>
    <t>CUADRO 3.5-20: NÚMERO DE FUNCIONES DE ESPECTÁCULOS MUSICALES, POR TIPO DE ESPECTÁCULO, SEGÚN REGIÓN. 2013</t>
  </si>
  <si>
    <t>CUADRO 3.5-21: NÚMERO DE FUNCIONES DE ESPECTÁCULOS MUSICALES, POR TIPO DE ESPECTÁCULO. 2009-2013</t>
  </si>
  <si>
    <t>CUADRO 3.5-22: NÚMERO DE ESPECTÁCULOS EMPADRONADOS POR LA SOCIEDAD CHILENA DEL DERECHO DE AUTOR (SCD), SEGÚN MODALIDAD DE ACCESO. 2013/a</t>
  </si>
  <si>
    <t>CUADRO 3.5-23: NÚMERO DE USUARIOS SEGÚN TIPO DE ESTABLECIMIENTO. 2013/1</t>
  </si>
  <si>
    <t>CUADRO 3.5-24: NÚMERO DE ASISTENTES A ESPECTÁCULOS MUSICALES, PAGANDO ENTRADA POR TIPO DE ESPECTÁCULO, SEGÚN REGIÓN. 2013</t>
  </si>
  <si>
    <t>CUADRO 3.5-25: NÚMERO DE ASISTENTES A ESPECTÁCULOS MUSICALES, PAGANDO ENTRADA POR TIPO DE ESPECTÁCULO. 2009-2013</t>
  </si>
  <si>
    <t>CUADRO 3.5-26: NÚMERO DE ASISTENTES A ESPECTÁCULOS MUSICALES CON ENTRADA GRATUITA POR TIPO DE ESPECTÁCULO, SEGÚN REGIÓN. 2013</t>
  </si>
  <si>
    <t>CUADRO 3.5-27: NÚMERO DE ASISTENTES A ESPECTÁCULOS MUSICALES CON ENTRADA GRATUITA, POR TIPO DE ESPECTÁCULO. 2009-2013</t>
  </si>
  <si>
    <t>CUADRO 3.5-28: NÚMERO DE ASISTENTES A ESPECTÁCULOS MUSICALES, CON ENTRADA GRATUITA Y PAGADA POR MES, SEGÚN REGIÓN. 2013</t>
  </si>
  <si>
    <t>CUADRO 3.5-29: LISTADO DE CANCIONES NACIONALES MÁS ESCUCHADAS, SEGÚN REGISTROS DE LA SOCIEDAD CHILENA DEL DERECHO DE AUTOR (SCD). 2013</t>
  </si>
  <si>
    <t>SELLOS</t>
  </si>
  <si>
    <t>FUENTE: Consejo de Fomento a la Música.</t>
  </si>
  <si>
    <t>ASOCIADOS</t>
  </si>
  <si>
    <t>FUENTE: Asociación Gremial de Productores Fonográficos de Chile (IFPI Chile).</t>
  </si>
  <si>
    <r>
      <t>Arica y Parinacota</t>
    </r>
    <r>
      <rPr>
        <vertAlign val="superscript"/>
        <sz val="8"/>
        <rFont val="Verdana"/>
        <family val="2"/>
      </rPr>
      <t>/1</t>
    </r>
  </si>
  <si>
    <r>
      <t>Los Ríos</t>
    </r>
    <r>
      <rPr>
        <vertAlign val="superscript"/>
        <sz val="8"/>
        <rFont val="Verdana"/>
        <family val="2"/>
      </rPr>
      <t>/1</t>
    </r>
  </si>
  <si>
    <r>
      <t>Sin Información</t>
    </r>
    <r>
      <rPr>
        <vertAlign val="superscript"/>
        <sz val="8"/>
        <rFont val="Verdana"/>
        <family val="2"/>
      </rPr>
      <t>/2</t>
    </r>
  </si>
  <si>
    <r>
      <rPr>
        <b/>
        <sz val="8"/>
        <rFont val="Verdana"/>
        <family val="2"/>
      </rPr>
      <t>1</t>
    </r>
    <r>
      <rPr>
        <sz val="8"/>
        <rFont val="Verdana"/>
        <family val="2"/>
      </rPr>
      <t xml:space="preserve"> Las regiones Arica y Parinacota y Los Ríos no presentan datos debido a que ambas no figuran en el sistema de gestión de la SCD. Los autores provenientes de estas regiones han sido informados en las regiones agrupadas bajo la antigua clasificación regional. </t>
    </r>
  </si>
  <si>
    <r>
      <rPr>
        <b/>
        <sz val="8"/>
        <rFont val="Verdana"/>
        <family val="2"/>
      </rPr>
      <t>2</t>
    </r>
    <r>
      <rPr>
        <sz val="8"/>
        <rFont val="Verdana"/>
        <family val="2"/>
      </rPr>
      <t xml:space="preserve"> La categoría Sin Información contiene información que no se ha podido desagregar según sexo.</t>
    </r>
  </si>
  <si>
    <t>FUENTE: Sociedad Chilena del Derecho de Autor (SCD).</t>
  </si>
  <si>
    <t>OBRAS DECLARADAS DURANTE EL AÑO</t>
  </si>
  <si>
    <t>AUTORES</t>
  </si>
  <si>
    <r>
      <t>Sin información</t>
    </r>
    <r>
      <rPr>
        <b/>
        <vertAlign val="superscript"/>
        <sz val="8"/>
        <rFont val="Verdana"/>
        <family val="2"/>
      </rPr>
      <t>/1</t>
    </r>
  </si>
  <si>
    <t>Número total de autores afiliados a SCD</t>
  </si>
  <si>
    <t>Número total de autores que generaron derechos por la SCD</t>
  </si>
  <si>
    <r>
      <rPr>
        <b/>
        <sz val="8"/>
        <rFont val="Verdana"/>
        <family val="2"/>
      </rPr>
      <t xml:space="preserve">1 </t>
    </r>
    <r>
      <rPr>
        <sz val="8"/>
        <rFont val="Verdana"/>
        <family val="2"/>
      </rPr>
      <t xml:space="preserve">En la categoría sin información figuran las sucesiones de derechos, pues cuando un autor muere, el derecho pasa a la sucesión. </t>
    </r>
  </si>
  <si>
    <t>Afiliados</t>
  </si>
  <si>
    <r>
      <t>Sin información</t>
    </r>
    <r>
      <rPr>
        <vertAlign val="superscript"/>
        <sz val="8"/>
        <color rgb="FF000000"/>
        <rFont val="Verdana"/>
        <family val="2"/>
      </rPr>
      <t>/2</t>
    </r>
  </si>
  <si>
    <t>Vive en el extranjero</t>
  </si>
  <si>
    <r>
      <rPr>
        <b/>
        <sz val="8"/>
        <rFont val="Verdana"/>
        <family val="2"/>
      </rPr>
      <t xml:space="preserve">2 </t>
    </r>
    <r>
      <rPr>
        <sz val="8"/>
        <rFont val="Verdana"/>
        <family val="2"/>
      </rPr>
      <t>Esta categoría contiene información respecto al al número de asociados a la SCD que no ha podido ser desagregada según región.</t>
    </r>
  </si>
  <si>
    <t>TIPO DE ARTISTA</t>
  </si>
  <si>
    <t>Autores/compositores</t>
  </si>
  <si>
    <t>Intérpretes/ejecutantes</t>
  </si>
  <si>
    <t>Autores/compositores e intérpretes/ejecutantes</t>
  </si>
  <si>
    <t>NÚMERO DE SOCIOS</t>
  </si>
  <si>
    <t>DISCOS NACIONALES</t>
  </si>
  <si>
    <t>Número</t>
  </si>
  <si>
    <t>TOTAL POR TIPO DE PRODUCCIÓN</t>
  </si>
  <si>
    <t>Producción independiente</t>
  </si>
  <si>
    <t>Sello</t>
  </si>
  <si>
    <t>Coedición</t>
  </si>
  <si>
    <t>TOTAL POR GÉNERO</t>
  </si>
  <si>
    <t>Popular</t>
  </si>
  <si>
    <t>Folclore</t>
  </si>
  <si>
    <t>Clásico</t>
  </si>
  <si>
    <t>TOTAL CON APOYO DEL FONDO DE LA MÚSICA</t>
  </si>
  <si>
    <t>Si</t>
  </si>
  <si>
    <t>No</t>
  </si>
  <si>
    <t>TOTAL MES DE PRODUCCIÓN</t>
  </si>
  <si>
    <t>TOTAL FORMATO DE EDICIÓN</t>
  </si>
  <si>
    <t>CD</t>
  </si>
  <si>
    <t xml:space="preserve">Digital </t>
  </si>
  <si>
    <t>Vinilo</t>
  </si>
  <si>
    <t xml:space="preserve">DVD </t>
  </si>
  <si>
    <t>TOTAL TIPO DE DISCO</t>
  </si>
  <si>
    <t>Disco individual</t>
  </si>
  <si>
    <t>Disco colectivo</t>
  </si>
  <si>
    <t>TOTAL REPERTORIO</t>
  </si>
  <si>
    <t>Compilación</t>
  </si>
  <si>
    <t>En vivo</t>
  </si>
  <si>
    <t>Inédito</t>
  </si>
  <si>
    <t>Reedición</t>
  </si>
  <si>
    <t>Remixes</t>
  </si>
  <si>
    <t>Otro</t>
  </si>
  <si>
    <t>TOTAL TRAYECTORIA DE PARTICIPACIÓN EN LA CREACIÓN Y RPODUCCIÓN (debut)</t>
  </si>
  <si>
    <t>1er disco</t>
  </si>
  <si>
    <t>2do disco</t>
  </si>
  <si>
    <t>3er disco o más</t>
  </si>
  <si>
    <t>FUENTE: Consejo Nacional de la Cultura y las Artes (CNCA). Consejo de Fomento de la Música.</t>
  </si>
  <si>
    <t>RECAUDACIÓN</t>
  </si>
  <si>
    <r>
      <t>Monto (pesos)</t>
    </r>
    <r>
      <rPr>
        <b/>
        <vertAlign val="superscript"/>
        <sz val="8"/>
        <rFont val="Verdana"/>
        <family val="2"/>
      </rPr>
      <t>/1</t>
    </r>
  </si>
  <si>
    <t>TV cable</t>
  </si>
  <si>
    <r>
      <rPr>
        <b/>
        <sz val="8"/>
        <rFont val="Verdana"/>
        <family val="2"/>
      </rPr>
      <t xml:space="preserve">1 </t>
    </r>
    <r>
      <rPr>
        <sz val="8"/>
        <rFont val="Verdana"/>
        <family val="2"/>
      </rPr>
      <t>Los montos corresponden a valores nominales.</t>
    </r>
  </si>
  <si>
    <t>Distribución</t>
  </si>
  <si>
    <t>RECAUDACIÓN Y DISTRIBUCIÓN</t>
  </si>
  <si>
    <t>Recaudación</t>
  </si>
  <si>
    <t xml:space="preserve">Autores nacionales </t>
  </si>
  <si>
    <t xml:space="preserve">Editores locales </t>
  </si>
  <si>
    <r>
      <rPr>
        <b/>
        <sz val="8"/>
        <rFont val="Verdana"/>
        <family val="2"/>
      </rPr>
      <t>1</t>
    </r>
    <r>
      <rPr>
        <sz val="8"/>
        <rFont val="Verdana"/>
        <family val="2"/>
      </rPr>
      <t xml:space="preserve"> Los montos corresponden a valores nominales.</t>
    </r>
  </si>
  <si>
    <t>Recaudación y distribución</t>
  </si>
  <si>
    <r>
      <t>RUBRO Y SELLO</t>
    </r>
    <r>
      <rPr>
        <b/>
        <vertAlign val="superscript"/>
        <sz val="8"/>
        <rFont val="Verdana"/>
        <family val="2"/>
      </rPr>
      <t>/1</t>
    </r>
  </si>
  <si>
    <r>
      <t>2012</t>
    </r>
    <r>
      <rPr>
        <b/>
        <vertAlign val="superscript"/>
        <sz val="8"/>
        <rFont val="Verdana"/>
        <family val="2"/>
      </rPr>
      <t>/a</t>
    </r>
  </si>
  <si>
    <t>Cnr</t>
  </si>
  <si>
    <t xml:space="preserve">Emi odeon </t>
  </si>
  <si>
    <t>Sony music</t>
  </si>
  <si>
    <t>Universal music</t>
  </si>
  <si>
    <t>Warner music</t>
  </si>
  <si>
    <t>Música y marketing</t>
  </si>
  <si>
    <t xml:space="preserve">   </t>
  </si>
  <si>
    <r>
      <rPr>
        <b/>
        <sz val="8"/>
        <rFont val="Verdana"/>
        <family val="2"/>
      </rPr>
      <t xml:space="preserve">1 </t>
    </r>
    <r>
      <rPr>
        <sz val="8"/>
        <rFont val="Verdana"/>
        <family val="2"/>
      </rPr>
      <t>Los rubros corresponden a las áreas de recaudación tanto de derechos autorales como conexos. La entidad que maneja estos coneptos es la Sociedad Chilena del Derecho de autor (SCD).</t>
    </r>
  </si>
  <si>
    <r>
      <rPr>
        <b/>
        <sz val="8"/>
        <rFont val="Verdana"/>
        <family val="2"/>
      </rPr>
      <t xml:space="preserve">a </t>
    </r>
    <r>
      <rPr>
        <sz val="8"/>
        <rFont val="Verdana"/>
        <family val="2"/>
      </rPr>
      <t>Los totales brutos se presentan en valores nominales.</t>
    </r>
  </si>
  <si>
    <t>-No registró movimiento</t>
  </si>
  <si>
    <t>FUENTE: Sociedad de Productores Fonográficos de Chile A.G. (Profovi).</t>
  </si>
  <si>
    <t>SELLO</t>
  </si>
  <si>
    <t>Música Y  marketing</t>
  </si>
  <si>
    <t>FORMATO</t>
  </si>
  <si>
    <r>
      <t>Ventas (miles de pesos)</t>
    </r>
    <r>
      <rPr>
        <b/>
        <vertAlign val="superscript"/>
        <sz val="8"/>
        <rFont val="Verdana"/>
        <family val="2"/>
      </rPr>
      <t>/1</t>
    </r>
  </si>
  <si>
    <t>Unidades vendidas (millones de unidades)</t>
  </si>
  <si>
    <r>
      <t>MC</t>
    </r>
    <r>
      <rPr>
        <vertAlign val="superscript"/>
        <sz val="8"/>
        <rFont val="Verdana"/>
        <family val="2"/>
      </rPr>
      <t>/2</t>
    </r>
  </si>
  <si>
    <r>
      <t xml:space="preserve">Single </t>
    </r>
    <r>
      <rPr>
        <vertAlign val="superscript"/>
        <sz val="8"/>
        <rFont val="Verdana"/>
        <family val="2"/>
      </rPr>
      <t>/3</t>
    </r>
  </si>
  <si>
    <t>DVD</t>
  </si>
  <si>
    <t>Blu-Ray</t>
  </si>
  <si>
    <r>
      <t xml:space="preserve">Ventas digitales </t>
    </r>
    <r>
      <rPr>
        <vertAlign val="superscript"/>
        <sz val="8"/>
        <rFont val="Verdana"/>
        <family val="2"/>
      </rPr>
      <t>/4</t>
    </r>
  </si>
  <si>
    <t>Video</t>
  </si>
  <si>
    <t>otros</t>
  </si>
  <si>
    <r>
      <rPr>
        <b/>
        <sz val="8"/>
        <rFont val="Verdana"/>
        <family val="2"/>
      </rPr>
      <t>1</t>
    </r>
    <r>
      <rPr>
        <sz val="8"/>
        <rFont val="Verdana"/>
        <family val="2"/>
      </rPr>
      <t xml:space="preserve"> Las cifras entregadas se basan en las ventas a mayoristas de la industria discográfica, por lo cual no consideran el cobro de IVA (19%) ni el margen bruto que recarga la cadena de distribución minorista. Valores nominales.</t>
    </r>
  </si>
  <si>
    <r>
      <rPr>
        <b/>
        <sz val="8"/>
        <rFont val="Verdana"/>
        <family val="2"/>
      </rPr>
      <t>2</t>
    </r>
    <r>
      <rPr>
        <sz val="8"/>
        <rFont val="Verdana"/>
        <family val="2"/>
      </rPr>
      <t xml:space="preserve"> Música cassette.</t>
    </r>
  </si>
  <si>
    <r>
      <rPr>
        <b/>
        <sz val="8"/>
        <rFont val="Verdana"/>
        <family val="2"/>
      </rPr>
      <t>3</t>
    </r>
    <r>
      <rPr>
        <sz val="8"/>
        <rFont val="Verdana"/>
        <family val="2"/>
      </rPr>
      <t xml:space="preserve"> El formato single contiene 4 o menos tracks (excluyendo remixers) y su duración no es de más de 20 minutos. </t>
    </r>
  </si>
  <si>
    <r>
      <rPr>
        <b/>
        <sz val="8"/>
        <rFont val="Verdana"/>
        <family val="2"/>
      </rPr>
      <t>4</t>
    </r>
    <r>
      <rPr>
        <sz val="8"/>
        <rFont val="Verdana"/>
        <family val="2"/>
      </rPr>
      <t xml:space="preserve"> Las ventas digitales no consideran unidades vendidas sino venta cibernética, por cuanto no implican ventas físicas.</t>
    </r>
  </si>
  <si>
    <t>Ventas y unidades vendidas</t>
  </si>
  <si>
    <t>Ventas (miles de pesos)</t>
  </si>
  <si>
    <t>REPERTORIO</t>
  </si>
  <si>
    <t>Anglo</t>
  </si>
  <si>
    <t>Latino</t>
  </si>
  <si>
    <t>Local</t>
  </si>
  <si>
    <t>No clasificado</t>
  </si>
  <si>
    <t>Compilaciones</t>
  </si>
  <si>
    <r>
      <rPr>
        <b/>
        <sz val="8"/>
        <rFont val="Verdana"/>
        <family val="2"/>
      </rPr>
      <t xml:space="preserve">1 </t>
    </r>
    <r>
      <rPr>
        <sz val="8"/>
        <rFont val="Verdana"/>
        <family val="2"/>
      </rPr>
      <t>Las cifras entregadas están basadas en las ventas a mayoristas de la industria discográfica, por lo cual no consideran el cobro de IVA (19%) ni el margen bruto que recarga la cadena de distribución minorista. Valores nominales.</t>
    </r>
  </si>
  <si>
    <t>- No regsitró movimiento</t>
  </si>
  <si>
    <t>Concierto música docta</t>
  </si>
  <si>
    <t>Concierto música popular</t>
  </si>
  <si>
    <t xml:space="preserve"> Maule</t>
  </si>
  <si>
    <r>
      <rPr>
        <b/>
        <sz val="8"/>
        <rFont val="Verdana"/>
        <family val="2"/>
      </rPr>
      <t xml:space="preserve">1 </t>
    </r>
    <r>
      <rPr>
        <sz val="8"/>
        <rFont val="Verdana"/>
        <family val="2"/>
      </rPr>
      <t>Los datos se refieren exclusivamente al movimiento registrado por los teatros, centros culturales y similares que respondieron la encuesta INE, declarando haber presentado espectáculos musicales por lo menos una vez en el año.</t>
    </r>
  </si>
  <si>
    <r>
      <t>CUADRO 3.5-22: NÚMERO DE ESPECTÁCULOS EMPADRONADOS POR LA SOCIEDAD CHILENA DEL DERECHO DE AUTOR (SCD), SEGÚN MODALIDAD DE ACCESO. 2013</t>
    </r>
    <r>
      <rPr>
        <b/>
        <vertAlign val="superscript"/>
        <sz val="8"/>
        <rFont val="Verdana"/>
        <family val="2"/>
      </rPr>
      <t>/a</t>
    </r>
  </si>
  <si>
    <t>MODALIDAD DE ACCESO</t>
  </si>
  <si>
    <t>Eventos</t>
  </si>
  <si>
    <t>Espectáculos con cobro de entradas</t>
  </si>
  <si>
    <t>Espectáculos gratuitos al aire libre</t>
  </si>
  <si>
    <t>Espectáculos gratuitos en recintos cerrados</t>
  </si>
  <si>
    <t>Ferias, exposiciones, circos, desfiles, otros</t>
  </si>
  <si>
    <r>
      <rPr>
        <b/>
        <sz val="8"/>
        <rFont val="Verdana"/>
        <family val="2"/>
      </rPr>
      <t>a</t>
    </r>
    <r>
      <rPr>
        <sz val="8"/>
        <rFont val="Verdana"/>
        <family val="2"/>
      </rPr>
      <t xml:space="preserve"> Espectáculos empadronados: corresponden a los espectáculos que la SCD ha registrado para el cobro de derechos de autor. Los espectáculos a empadronar se han seleccionado a partir de la revisión de prensa nacional y regional, cartelera nacional y regional de espectáculos.</t>
    </r>
  </si>
  <si>
    <r>
      <t>CUADRO 3.5-23: NÚMERO DE USUARIOS SEGÚN TIPO DE ESTABLECIMIENTO. 2013</t>
    </r>
    <r>
      <rPr>
        <b/>
        <vertAlign val="superscript"/>
        <sz val="8"/>
        <rFont val="Verdana"/>
        <family val="2"/>
      </rPr>
      <t>/1</t>
    </r>
  </si>
  <si>
    <t>TIPO DE ESTABLECIMIENTO</t>
  </si>
  <si>
    <t>Usuarios</t>
  </si>
  <si>
    <t>Establecimientos con medio musical "Ejecuciones en vivo" (pubs, restaurantes, discotecas, otros) en cobro regular</t>
  </si>
  <si>
    <t>Radios con sólo transmisión online (Webcasting) en cobro regular</t>
  </si>
  <si>
    <t>Radios en cobro regular de frecuencia AM/FM</t>
  </si>
  <si>
    <t>Radios en cobro regular de frecuencia AM/FM con señal online</t>
  </si>
  <si>
    <t>Sitios de venta de música online en cobro regular (servicios de carga y descarga)</t>
  </si>
  <si>
    <r>
      <rPr>
        <b/>
        <sz val="8"/>
        <rFont val="Verdana"/>
        <family val="2"/>
      </rPr>
      <t xml:space="preserve">1 </t>
    </r>
    <r>
      <rPr>
        <sz val="8"/>
        <rFont val="Verdana"/>
        <family val="2"/>
      </rPr>
      <t>Los usuarios corresponden a todo el país. El cobro regular corresponde al que se le hace a usuarios que pagan en forma mensual.</t>
    </r>
  </si>
  <si>
    <t>Primer Semestre</t>
  </si>
  <si>
    <t>Segundo Semestre</t>
  </si>
  <si>
    <t>Nº</t>
  </si>
  <si>
    <t>Título de la canción</t>
  </si>
  <si>
    <t>Autor</t>
  </si>
  <si>
    <t>Clasificación (tipo)</t>
  </si>
  <si>
    <t>Interprete</t>
  </si>
  <si>
    <t>Hoy</t>
  </si>
  <si>
    <t>Laval Soza Denisse Lilian</t>
  </si>
  <si>
    <t>Pop</t>
  </si>
  <si>
    <t>Nicole</t>
  </si>
  <si>
    <t>Rescátame</t>
  </si>
  <si>
    <t>Ossandón Juan Andrés</t>
  </si>
  <si>
    <t>Myriam Hernández</t>
  </si>
  <si>
    <t>Balada</t>
  </si>
  <si>
    <t>Carcelero</t>
  </si>
  <si>
    <t>Durand Fernández Francisco Javier/Aldunate Lazo Marcelo Julio/ Duan Fernández Mauricio Gustavo/García Herrera Manuel Javier</t>
  </si>
  <si>
    <t>Manuel García</t>
  </si>
  <si>
    <t>Caliéntame La Sopa Con Un Hueso</t>
  </si>
  <si>
    <t>Asenjo Cubillos Aldo</t>
  </si>
  <si>
    <t>Chico Trujillo</t>
  </si>
  <si>
    <t>Cumbia</t>
  </si>
  <si>
    <t>Ossandón Rosay Juan Andrés</t>
  </si>
  <si>
    <t>Juana María</t>
  </si>
  <si>
    <t>Vásquez Gei Italo Fabián / Vásquez Gei Enzo Ignacio</t>
  </si>
  <si>
    <t>Los Vásquez</t>
  </si>
  <si>
    <t>El Hombre Que Yo Amo</t>
  </si>
  <si>
    <t>Saavedra Muñoz José Enrique</t>
  </si>
  <si>
    <t>Bailando Solo</t>
  </si>
  <si>
    <t>Duran Fernández Mauricio Gustavo / Durán Fernández Francisco Javier</t>
  </si>
  <si>
    <t>Los Bunkers</t>
  </si>
  <si>
    <t>Buen Soldado</t>
  </si>
  <si>
    <t>Valenzuela Méndez Francisca</t>
  </si>
  <si>
    <t>Francisca Valenzuela</t>
  </si>
  <si>
    <t>Afortunada</t>
  </si>
  <si>
    <t>Loca</t>
  </si>
  <si>
    <t>Asenjo Cubillos Aldo Enrique</t>
  </si>
  <si>
    <t>Rock Del Esqueleto</t>
  </si>
  <si>
    <t>Arriagada Ángel Oscar Antonio / Calderón Cortez René Julio</t>
  </si>
  <si>
    <t>Ángel Parra Trio Y Oscar Arriagada</t>
  </si>
  <si>
    <t>Twist</t>
  </si>
  <si>
    <t>Óyeme</t>
  </si>
  <si>
    <t>Bartolo Mamani Jhonny Marcelo/ Farfán Bravo Gonzalo Esteban</t>
  </si>
  <si>
    <t>Noche De Brujas</t>
  </si>
  <si>
    <t>Si Vuelves (Cuando Vuelvas)</t>
  </si>
  <si>
    <t>Piga Mena Sebastián Fidel</t>
  </si>
  <si>
    <t>Upa</t>
  </si>
  <si>
    <t>Nunca Te Haría Daño</t>
  </si>
  <si>
    <t>González Ríos Jorge Humberto</t>
  </si>
  <si>
    <t>Jorge González</t>
  </si>
  <si>
    <t>En La Naturaleza</t>
  </si>
  <si>
    <t>Riveros Sepúlveda Daniel Alejandro</t>
  </si>
  <si>
    <t>Gepe</t>
  </si>
  <si>
    <t>No Me Quería</t>
  </si>
  <si>
    <t>Vásquez Gei Italo Fabián/Vásquez Gei Vannia Belén/ Vásquez Gei Enzo Ignacio</t>
  </si>
  <si>
    <t>La Makinita</t>
  </si>
  <si>
    <t>Cussen Abud Arturo / Rojas Bórquez Rodrigo Alberto / Ayala Zaror Juan Francisco</t>
  </si>
  <si>
    <t>Juana Fe</t>
  </si>
  <si>
    <t>Que Tienes Tú</t>
  </si>
  <si>
    <t>Bachata</t>
  </si>
  <si>
    <t>Desde Que Te Vi</t>
  </si>
  <si>
    <t>Manzi Astudillo Hugo Francisco / Natalino Torres Cristián Andrés</t>
  </si>
  <si>
    <t>Natalino</t>
  </si>
  <si>
    <t>Los Prisioneros</t>
  </si>
  <si>
    <t>Enamorado</t>
  </si>
  <si>
    <t>Luz De Piedra De Luna</t>
  </si>
  <si>
    <t>Mena Carrasco Javiera Alejandra</t>
  </si>
  <si>
    <t>Javiera Mena</t>
  </si>
  <si>
    <t xml:space="preserve">He Vuelto A Respirar </t>
  </si>
  <si>
    <t>Guerrero Vilches Mario Andrés</t>
  </si>
  <si>
    <t>Mario Guerrero</t>
  </si>
  <si>
    <t>Sigues Dando Vueltas</t>
  </si>
  <si>
    <t>Valenzuela Vidal Francisco Samuel</t>
  </si>
  <si>
    <t>La Rue Morgue</t>
  </si>
  <si>
    <t>Miénteme Una Vez Más</t>
  </si>
  <si>
    <t>Caussen Abud Arturo/ Rojas Bórquez Rodrigo Alberto/ Ayala Zaror Juan Francisco</t>
  </si>
  <si>
    <t xml:space="preserve">Invierno </t>
  </si>
  <si>
    <t>García Herrera Manuel Javier</t>
  </si>
  <si>
    <t>Quiero Verte Mas</t>
  </si>
  <si>
    <t>Donde Está Tu Amor</t>
  </si>
  <si>
    <t>Balada Pop</t>
  </si>
  <si>
    <t>Me Enamoré Con Una Mirada</t>
  </si>
  <si>
    <t>Te Amaré En Esta Vida O En Otra</t>
  </si>
  <si>
    <t>Lágrimas De Amor</t>
  </si>
  <si>
    <t>Alfaro González José Miguel</t>
  </si>
  <si>
    <t>Américo</t>
  </si>
  <si>
    <t>Miénteme Una Vez Mas</t>
  </si>
  <si>
    <t>Es Amor</t>
  </si>
  <si>
    <t>Yañez Werner Cristián Patricio</t>
  </si>
  <si>
    <t>La Otra Fe</t>
  </si>
  <si>
    <t>Te Amo Con Locura</t>
  </si>
  <si>
    <t>Cortez Díaz Edgar Michel / Cortez Díaz Ángel Andrés</t>
  </si>
  <si>
    <t>Reggaeton</t>
  </si>
  <si>
    <t>Eyci Y Cody</t>
  </si>
  <si>
    <t>Farfán Bravo Gonzalo Esteban / Bartolo Mamani Jhonny Marcelo</t>
  </si>
  <si>
    <t> Cumbia</t>
  </si>
  <si>
    <t>Si Me Dices Adiós</t>
  </si>
  <si>
    <t>Morales Díaz Alexis Roberto</t>
  </si>
  <si>
    <t>La Noche</t>
  </si>
  <si>
    <t>Nada Quedara (Y Nada)</t>
  </si>
  <si>
    <t>Castro Navarro Pablo/Guerrero Espinoza Daniel</t>
  </si>
  <si>
    <t>La Sociedad</t>
  </si>
  <si>
    <t>Todos Juntos</t>
  </si>
  <si>
    <t>Parra Pizarro Gabriel Eugenio/ Mutis Pinto Mario/Alquinta Espinoza Eduardo Fernando/ Parra Pizarro Héctor Eduardo/ Parra Pizarro Claudio</t>
  </si>
  <si>
    <t>Rock Folk</t>
  </si>
  <si>
    <t>Los Jaivas</t>
  </si>
  <si>
    <t xml:space="preserve">Conmigo Quédate </t>
  </si>
  <si>
    <t>Farfán Bravo Jorge Pablo</t>
  </si>
  <si>
    <t>La 29</t>
  </si>
  <si>
    <t>Yo Te Invito A Bailar</t>
  </si>
  <si>
    <t>Rodríguez Alsamora Juan Gabriel</t>
  </si>
  <si>
    <t>Garras De Amor</t>
  </si>
  <si>
    <t>Me Muero</t>
  </si>
  <si>
    <t xml:space="preserve">Guerrero Espinoza Daniel / Castro Navarro Pablo </t>
  </si>
  <si>
    <t>Que Sería</t>
  </si>
  <si>
    <t>Quiero Verte Más</t>
  </si>
  <si>
    <t xml:space="preserve">3.6 ARTES LITERARIAS </t>
  </si>
  <si>
    <t>3.6.1 BIBLIOTECAS</t>
  </si>
  <si>
    <t>CUADRO 3.6.1-01: RED DE BIBLIOTECAS PÚBLICAS, NÚMERO DE BIBLIOTECAS DEPENDIENTES O EN CONVENIOS CON LA DIRECCIÓN DE BIBLIOTECAS, ARCHIVOS Y MUSEOS (DIBAM), SEGÚN REGIÓN. 2013</t>
  </si>
  <si>
    <t>CUADRO: 3.6.1-02: NÚMERO DE SERVICIOS MÓVILES DE LA DIRECCIÓN DE BIBLIOTECAS, ARCHIVOS Y MUSEOS (DIBAM), SEGÚN REGIÓN. 2009-2013</t>
  </si>
  <si>
    <t>CUADRO 3.6.1-03: NÚMERO DE BIBLIOTECAS PÚBLICAS DE LA DIRECCIÓN DE BIBLIOTECAS, ARCHIVOS Y MUSEOS (DIBAM) CON ACCESO GRATUITO A INTERNET. 2009-2013</t>
  </si>
  <si>
    <t>CUADRO 3.6.1-04: NÚMERO DE TÍTULOS (OBRAS) Y EJEMPLARES COMPRADOS EN EL SISTEMA NACIONAL DE BIBLIOTECAS PUBLICAS PARA LAS BIBLIOTECAS PÚBLICAS DE  LA DIRECCIÓN DE BIBLIOTECAS, ARCHIVOS Y MUSEOS (DIBAM). 2013</t>
  </si>
  <si>
    <t>CUADRO 3.6.1-05: NÚMERO DE EJEMPLARES INGRESADOS EN BIBLIOTECAS PÚBLICAS DE LA DIRECCIÓN DE BIBLIOTECAS, ARCHIVOS Y MUSEOS (DIBAM), SEGÚN TIPO DE COLECCIÓN. 2010-2013</t>
  </si>
  <si>
    <t>CUADRO 3.6.1-06: NÚMERO DE EJEMPLARES EN BIBLIOTECAS PÚBLICAS DE LA DIRECCIÓN DE BIBLIOTECAS, ARCHIVOS Y MUSEOS (DIBAM), SEGÚN MATERIA. 2010-2013</t>
  </si>
  <si>
    <t>CUADRO 3.6.1-07: NÚMERO DE EJEMPLARES EN BIBLIOTECAS PÚBLICAS DE LA DIRECCIÓN DE BIBLIOTECAS, ARCHIVOS Y MUSEOS (DIBAM), SEGÚN COLECCIÓN. 2010-2013</t>
  </si>
  <si>
    <t>CUADRO 3.6.1-08: NÚMERO DE PÁGINAS DIGITALIZADAS Y PUBLICADAS Y TEMAS PUBLICADOS EN EL PORTAL WWW.MEMORIACHILENA.CL. 2009-2013</t>
  </si>
  <si>
    <t>CUADRO 3.6.1-09: NÚMERO DE USUARIOS REGISTRADOS EN BIBLIOTECAS PÚBLICAS Y BIBLIOREDES. 2009-2013</t>
  </si>
  <si>
    <t>CUADRO 3.6.1-10: NÚMERO DE SESIONES DE ACCESO GRATUITO A INTERNET EN LAS BIBLIOTECAS PÚBLICAS DE LA DIRECCIÓN DE BIBLIOTECAS, ARCHIVOS Y MUSEOS (DIBAM). 2009-2013</t>
  </si>
  <si>
    <t>CUADRO 3.6.1-11: NÚMERO DE VISITAS A PORTALES DE BIBLIOREDES. 2013/a</t>
  </si>
  <si>
    <t>CUADRO 3.6.1-12: NÚMERO DE CONSULTAS POR INTERNET A SITIOS WEB DE LA DIRECCIÓN DE BIBLIOTECAS, ARCHIVOS Y MUSEOS (DIBAM). 2009-2013</t>
  </si>
  <si>
    <t>CUADRO 3.6.1-13: NÚMERO DE VISITANTES ESTIMADOS Y ARCHIVOS DESCARGADOS DESDE SITIOS WEB DE LA DIRECCIÓN DE BIBLIOTECAS, ARCHIVOS Y MUSEOS (DIBAM), SEGÚN SITIO WEB. 2009-2013</t>
  </si>
  <si>
    <t>CUADRO 3.6.1-14: NÚMERO DE USUARIOS DE BIBLIOTECAS PÚBLICAS DE LA DIRECCIÓN DE BIBLIOTECAS, ARCHIVOS Y MUSEOS (DIBAM) QUE CIRCULAN AUTOMATIZADAS POR GRUPOS DE EDAD, SEGÚN REGIÓN. 2013</t>
  </si>
  <si>
    <t>CUADRO 3.6.1-15: NÚMERO DE USUARIOS DE BIBLIOTECA NACIONAL, BIBLIOTECA DE SANTIAGO, BIBLIOMETRO. 2009-2013</t>
  </si>
  <si>
    <t>CUADRO 3.6.1-16: PRÉSTAMOS DE MATERIAL BIBLIOGRÁFICO DE BIBLIOTECAS PÚBLICAS DE LA DIRECCIÓN DE BIBLIOTECAS, ARCHIVOS Y MUSEOS (DIBAM)A DOMICILIO, SEGÚN REGIÓN. 2009-2013/a</t>
  </si>
  <si>
    <t>CUADRO 3.6.1-17: PRÉSTAMOS DE MATERIAL BIBLIOGRÁFICO DE BIBLIOTECAS PÚBLICAS DE LA DIRECCIÓN DE BIBLIOTECAS, ARCHIVOS Y MUSEOS (DIBAM) A DOMICILIO, SEGÚN MES. 2009-2013/a</t>
  </si>
  <si>
    <t>CUADRO 3.6.1-18: PRÉSTAMOS DE MATERIAL BIBLIOGRÁFICO EN FORMATO DIGITAL, SEGÚN REGIÓN. 2013/a</t>
  </si>
  <si>
    <t>3.6.2 LIBROS</t>
  </si>
  <si>
    <t>CUADRO 3.6.2-01: NÚMERO DE SOCIOS DE LA SOCIEDAD DE DERECHOS LITERARIOS (SADEL), SEGÚN STATUS DE AFILIACIÓN Y SEXO. 2009-2013</t>
  </si>
  <si>
    <t>CUADRO 3.6.2-02: NÚMERO DE SOCIOS INCORPORADOS A LA SOCIEDAD DE DERECHOS LITERARIOS (SADEL), SEGÚN STATUS DE AFILIACIÓN. 2009-2013</t>
  </si>
  <si>
    <t>CUADRO 3.6.2-03: NÚMERO DE TÍTULOS DE LIBROS REGISTRADOS EN EL INTERNATIONAL STANDARD BOOK NUMBER (ISBN), SEGÚN REGIÓN. 2009-2013</t>
  </si>
  <si>
    <t>CUADRO 3.6.2-04: NÚMERO DE TÍTULOS DE LIBROS REGISTRADOS EN EL INTERNATIONAL STANDARD BOOK NUMBER (ISBN), SEGÚN MATERIA. 2009-2013</t>
  </si>
  <si>
    <t>CUADRO 3.6.2-05: NÚMERO DE TÍTULOS DE LIBROS DE LITERATURA CHILENA REGISTRADOS EN EL INTERNATIONAL STANDARD BOOK NUMBER (ISBN), SEGÚN GÉNERO. 2009-2013</t>
  </si>
  <si>
    <t>CUADRO 3.6.2-06: NÚMERO DE TÍTULOS DE LIBROS REGISTRADOS EN EL INTERNATIONAL STANDARD BOOK NUMBER (ISBN), SEGÚN NÚMERO DE EDICIÓN. 2009-2013</t>
  </si>
  <si>
    <t>CUADRO 3.6.2-07: NÚMERO DE TÍTULOS DE LIBROS REGISTRADOS EN EL INTERNATIONAL STANDARD BOOK NUMBER (ISBN), SEGÚN SOPORTES DISTINTOS A PAPEL. 2009-2013</t>
  </si>
  <si>
    <t>CUADRO 3.6.2-08: NÚMERO DE TÍTULOS AUTOEDITADOS REGISTRADOS EN EL INTERNATIONAL STANDARD BOOK NUMBER (ISBN). 1993-2013/a</t>
  </si>
  <si>
    <t>CUADRO 3.6.2-09: NÚMERO DE TÍTULOS REGISTRADOS EN EL INTERNATIONAL STANDARD BOOK NUMBER (ISBN), SEGÚN RANGOS DE PRODUCCIÓN. 2009-2013</t>
  </si>
  <si>
    <t>CUADRO 3.6.2-11: EDITORES QUE SOLICITAN REGISTRO DE SU OBRA POR PRIMERA VEZ EN EL INTERNATIONAL STANDARD BOOK NUMBER (ISBN), SEGÚN REGIÓN. 2009-2013</t>
  </si>
  <si>
    <t>CUADRO 3.6.2-12: NÚMERO Y PORCENTAJE DE TÍTULOS REGISTRADOS EN EL INTERNATIONAL STANDARD BOOK NUMBER (ISBN), SEGÚN MES DE PRODUCCIÓN. 2009-2013</t>
  </si>
  <si>
    <t>CUADRO 3.6.2-14: RECAUDACIÓN DE LA SOCIEDAD DE DERECHOS LITERARIOS (SADEL) POR CONCEPTO DE LICENCIAS REPROGRÁFICAS. 2010 -2013</t>
  </si>
  <si>
    <t>CUADRO 3.6.2-15: NÚMERO DE FUNCIONES Y ASISTENCIA A RECITALES DE POESÍA, SEGÚN REGIÓN. 2013</t>
  </si>
  <si>
    <t>CUADRO 3.6.2-16: NÚMERO DE FUNCIONES Y ASISTENTES A RECITALES DE POESÍA. 2009-2013</t>
  </si>
  <si>
    <t>CUADRO 3.6.2-17: NÚMERO DE ESPECTADORES A RECITALES DE POESÍA, CON ENTRADA GRATUITA Y PAGADA POR MES, SEGÚN REGIÓN. 2013</t>
  </si>
  <si>
    <t>3.6.3 PERIÓDICOS Y REVISTAS</t>
  </si>
  <si>
    <t>CUADRO 3.6.3-01: NÚMERO DE SOCIOS DE LA ASOCIACIÓN NACIONAL DE LA PRENSA (ANP), POR SOPORTE DE PUBLICACIÓN (DIARIO, PERIÓDICO, REVISTAS Y OTROS), SEGÚN REGIÓN DE CASA MATRIZ. 2013</t>
  </si>
  <si>
    <t>CUADRO 3.6.3-02: CONCURSO DE LECTORES INFANTILES: NÚMERO DE POSTULANTES Y NÚMERO DE GANADORES, SEGÚN REGIÓN, SEXO Y GRUPO DE EDAD. 2012-2013</t>
  </si>
  <si>
    <t>CUADRO 3.6.3-03: OLIMPIADAS DE ACTUALIDAD POR NÚMERO DE COLEGIOS Y DE REGIONES PARTICIPANTES. 2010-2013</t>
  </si>
  <si>
    <r>
      <t>Total bibliotecas públicas</t>
    </r>
    <r>
      <rPr>
        <b/>
        <vertAlign val="superscript"/>
        <sz val="8"/>
        <rFont val="Verdana"/>
        <family val="2"/>
      </rPr>
      <t>/1 /2</t>
    </r>
  </si>
  <si>
    <t>Bibliotecas centrales</t>
  </si>
  <si>
    <t>Bibliotecas filiales</t>
  </si>
  <si>
    <r>
      <rPr>
        <b/>
        <sz val="8"/>
        <rFont val="Verdana"/>
        <family val="2"/>
      </rPr>
      <t>1</t>
    </r>
    <r>
      <rPr>
        <sz val="8"/>
        <rFont val="Verdana"/>
        <family val="2"/>
      </rPr>
      <t xml:space="preserve"> La biblioteca pública municipal o comunal es la biblioteca principal de la comuna y en muchos casos cumple la función de biblioteca “madre” cuando de ella dependen bibliotecas filiales. La biblioteca central  es responsable de entregar la asesoría y capacitación al personal de la biblioteca filial. </t>
    </r>
  </si>
  <si>
    <r>
      <rPr>
        <b/>
        <sz val="8"/>
        <rFont val="Verdana"/>
        <family val="2"/>
      </rPr>
      <t xml:space="preserve">2 </t>
    </r>
    <r>
      <rPr>
        <sz val="8"/>
        <rFont val="Verdana"/>
        <family val="2"/>
      </rPr>
      <t>En este cuadro se contabilizan las bibliotecas operativas o activas del sistema, por tanto pueden existir diferencias con la cifras presentadas el año anterior, debido a cierres y cambios.</t>
    </r>
  </si>
  <si>
    <r>
      <t>Servicios móviles</t>
    </r>
    <r>
      <rPr>
        <b/>
        <vertAlign val="superscript"/>
        <sz val="8"/>
        <rFont val="Verdana"/>
        <family val="2"/>
      </rPr>
      <t>/1</t>
    </r>
  </si>
  <si>
    <r>
      <rPr>
        <b/>
        <sz val="8"/>
        <rFont val="Verdana"/>
        <family val="2"/>
      </rPr>
      <t xml:space="preserve">1 </t>
    </r>
    <r>
      <rPr>
        <sz val="8"/>
        <rFont val="Verdana"/>
        <family val="2"/>
      </rPr>
      <t>Medios de transporte acondicionados para ofrecer los servicios de biblioteca pública.</t>
    </r>
  </si>
  <si>
    <t>Bibliotecas con internet</t>
  </si>
  <si>
    <r>
      <t>2013</t>
    </r>
    <r>
      <rPr>
        <vertAlign val="superscript"/>
        <sz val="8"/>
        <rFont val="Verdana"/>
        <family val="2"/>
      </rPr>
      <t>/a</t>
    </r>
  </si>
  <si>
    <r>
      <rPr>
        <b/>
        <sz val="8"/>
        <rFont val="Verdana"/>
        <family val="2"/>
      </rPr>
      <t xml:space="preserve">a </t>
    </r>
    <r>
      <rPr>
        <sz val="8"/>
        <rFont val="Verdana"/>
        <family val="2"/>
      </rPr>
      <t>Se incorporan para este conteo, servicios de internet pertenecientes a cárceles, laboratorios de capacitación Dibam y bibliotecas con acceso wifi incoporadas durante el año 2013. Todos estos servicios dan acceso a internet y se consideran para el conteo de las metas institucionales del año 2013.</t>
    </r>
  </si>
  <si>
    <t>MATERIAS</t>
  </si>
  <si>
    <r>
      <t>Cantidad títulos</t>
    </r>
    <r>
      <rPr>
        <b/>
        <vertAlign val="superscript"/>
        <sz val="8"/>
        <rFont val="Verdana"/>
        <family val="2"/>
      </rPr>
      <t>/1</t>
    </r>
  </si>
  <si>
    <t>Cantidad de ejemplares</t>
  </si>
  <si>
    <t>Porcentaje por ejemplares</t>
  </si>
  <si>
    <t xml:space="preserve">Obras generales </t>
  </si>
  <si>
    <t>Filosofía y psicología</t>
  </si>
  <si>
    <t>Religión</t>
  </si>
  <si>
    <t>Ciencias sociales</t>
  </si>
  <si>
    <t>Ciencias naturales y matemáticas</t>
  </si>
  <si>
    <t>Tecnología (ciencias aplicadas)</t>
  </si>
  <si>
    <t>Las artes - bellas artes y artes decorativas</t>
  </si>
  <si>
    <t>Literatura y retórica</t>
  </si>
  <si>
    <t xml:space="preserve">Geografía e historia </t>
  </si>
  <si>
    <r>
      <rPr>
        <b/>
        <sz val="8"/>
        <rFont val="Verdana"/>
        <family val="2"/>
      </rPr>
      <t xml:space="preserve">1 </t>
    </r>
    <r>
      <rPr>
        <sz val="8"/>
        <rFont val="Verdana"/>
        <family val="2"/>
      </rPr>
      <t>Se define como título, aquella obra literaria identificada por su título, autor,  fecha y lugar de impresión, inscripción en ISBN y registro de propiedad intelectual.</t>
    </r>
  </si>
  <si>
    <t>Materia</t>
  </si>
  <si>
    <t>Cantidad de títulos</t>
  </si>
  <si>
    <r>
      <t>TIPO DE COLECCIÓN</t>
    </r>
    <r>
      <rPr>
        <b/>
        <vertAlign val="superscript"/>
        <sz val="8"/>
        <rFont val="Verdana"/>
        <family val="2"/>
      </rPr>
      <t>/2</t>
    </r>
  </si>
  <si>
    <r>
      <t>Ejemplares</t>
    </r>
    <r>
      <rPr>
        <b/>
        <vertAlign val="superscript"/>
        <sz val="8"/>
        <rFont val="Verdana"/>
        <family val="2"/>
      </rPr>
      <t>/1</t>
    </r>
  </si>
  <si>
    <t>Tipo 1: Colección general</t>
  </si>
  <si>
    <t>Tipo 2: Colección infantil</t>
  </si>
  <si>
    <t>Tipo 3: Colección juvenil</t>
  </si>
  <si>
    <t>Tipo 4: Colección literatura chilena</t>
  </si>
  <si>
    <t>Tipo 5: Colección literatura general</t>
  </si>
  <si>
    <t>Tipo 6: Colección patrimonial</t>
  </si>
  <si>
    <t>Tipo 7: Colección referencia</t>
  </si>
  <si>
    <t>Tipo 8: Colección regional</t>
  </si>
  <si>
    <t>Tipo 9: Colección diarios y revistas</t>
  </si>
  <si>
    <t>Tipo 10: Otras colecciones</t>
  </si>
  <si>
    <r>
      <rPr>
        <b/>
        <sz val="8"/>
        <rFont val="Verdana"/>
        <family val="2"/>
      </rPr>
      <t>1</t>
    </r>
    <r>
      <rPr>
        <sz val="8"/>
        <rFont val="Verdana"/>
        <family val="2"/>
      </rPr>
      <t xml:space="preserve"> Ejemplares: es la cantidad de volúmenes que se imprime, adquiere, distribuye  de un título u obra. </t>
    </r>
  </si>
  <si>
    <r>
      <rPr>
        <b/>
        <sz val="8"/>
        <rFont val="Verdana"/>
        <family val="2"/>
      </rPr>
      <t xml:space="preserve">2 </t>
    </r>
    <r>
      <rPr>
        <sz val="8"/>
        <rFont val="Verdana"/>
        <family val="2"/>
      </rPr>
      <t>Colecciones itemizadas por las bibliotecas públicas automatizadas.</t>
    </r>
  </si>
  <si>
    <t>MATERIA</t>
  </si>
  <si>
    <t>Tipo 1: Artes</t>
  </si>
  <si>
    <t>Tipo 2: Ciencias naturales</t>
  </si>
  <si>
    <t>Tipo 3: Ciencias sociales</t>
  </si>
  <si>
    <t>Tipo 4: Filosofía y psicología</t>
  </si>
  <si>
    <t>Tipo 5: Generalidades</t>
  </si>
  <si>
    <t>Tipo 6: Geografía e historia</t>
  </si>
  <si>
    <t>Tipo 7: Lenguas</t>
  </si>
  <si>
    <t>Tipo 8: Literatura</t>
  </si>
  <si>
    <t>Tipo 9: Religión</t>
  </si>
  <si>
    <t>Tipo 10: Tecnología</t>
  </si>
  <si>
    <r>
      <rPr>
        <b/>
        <sz val="8"/>
        <rFont val="Verdana"/>
        <family val="2"/>
      </rPr>
      <t>1</t>
    </r>
    <r>
      <rPr>
        <sz val="8"/>
        <rFont val="Verdana"/>
        <family val="2"/>
      </rPr>
      <t xml:space="preserve"> Ejemplares ingresados al sistema Aleph de las bibliotecas públicas que se encuentran circulando automatizadas por materia al 2013.</t>
    </r>
  </si>
  <si>
    <t>Tipo 9: Casero del libro/bibliobuses y otros</t>
  </si>
  <si>
    <r>
      <rPr>
        <b/>
        <sz val="8"/>
        <rFont val="Verdana"/>
        <family val="2"/>
      </rPr>
      <t>1</t>
    </r>
    <r>
      <rPr>
        <sz val="8"/>
        <rFont val="Verdana"/>
        <family val="2"/>
      </rPr>
      <t xml:space="preserve"> Ejemplares ingresados al sistema Aleph de las bibliotecas públicas que se encuentran circulando automatizadas por colección.</t>
    </r>
  </si>
  <si>
    <t>PÁGINAS DIGITALIZADAS Y TEMAS</t>
  </si>
  <si>
    <r>
      <t>2013</t>
    </r>
    <r>
      <rPr>
        <b/>
        <vertAlign val="superscript"/>
        <sz val="8"/>
        <rFont val="Verdana"/>
        <family val="2"/>
      </rPr>
      <t>/1</t>
    </r>
  </si>
  <si>
    <t>Número de páginas digitalizadas y publicadas en el sitio Web</t>
  </si>
  <si>
    <t>Número de temas publicados en el sitio web</t>
  </si>
  <si>
    <r>
      <rPr>
        <b/>
        <sz val="8"/>
        <rFont val="Verdana"/>
        <family val="2"/>
      </rPr>
      <t xml:space="preserve">1 </t>
    </r>
    <r>
      <rPr>
        <sz val="8"/>
        <rFont val="Verdana"/>
        <family val="2"/>
      </rPr>
      <t xml:space="preserve">Para el año 2013, se muestra un tema publicado en el portal Memoria Chilena, debido a que de acuerdo a la planificación anual, todos los esfuerzos del equipo de Memoria Chilena se centraron en los requerimientos de la migración de plataforma y rediseño funcional. De esta forma, sólo se publicó un tema para dar cumplimiento al compromiso adquirido en el convenio de cooperación con el Centro Nacional de Fotografía Patrimonial (Cenfoto) y se realizaron algunas actualizaciones de documentos en los mes de abril y diciembre de 2013.  </t>
    </r>
  </si>
  <si>
    <t>USUARIOS REGISTRADOS</t>
  </si>
  <si>
    <r>
      <t>Número de usuarios nuevos registrados en bibliotecas públicas</t>
    </r>
    <r>
      <rPr>
        <vertAlign val="superscript"/>
        <sz val="8"/>
        <rFont val="Verdana"/>
        <family val="2"/>
      </rPr>
      <t>/1</t>
    </r>
  </si>
  <si>
    <t>Número de usuarios registrados en biblioredes (total acumulado)</t>
  </si>
  <si>
    <r>
      <rPr>
        <b/>
        <sz val="8"/>
        <rFont val="Verdana"/>
        <family val="2"/>
      </rPr>
      <t>1</t>
    </r>
    <r>
      <rPr>
        <sz val="8"/>
        <rFont val="Verdana"/>
        <family val="2"/>
      </rPr>
      <t xml:space="preserve"> Corresponde a socios activos de la red de bibliotecas públicas el 2013.</t>
    </r>
  </si>
  <si>
    <t>SESIONES DE ACCESO GRATUITO A INTERNET</t>
  </si>
  <si>
    <r>
      <rPr>
        <b/>
        <sz val="8"/>
        <rFont val="Verdana"/>
        <family val="2"/>
      </rPr>
      <t>1</t>
    </r>
    <r>
      <rPr>
        <sz val="8"/>
        <rFont val="Verdana"/>
        <family val="2"/>
      </rPr>
      <t xml:space="preserve"> Corresponde a las sesiones de internet realizadas durante el año, por los usuarios del programa biblioredes en las bibliotecas públicas en convenio con la Dibam.</t>
    </r>
  </si>
  <si>
    <r>
      <t>CUADRO 3.6.1-11: NÚMERO DE VISITAS A PORTALES DE BIBLIOREDES. 2013</t>
    </r>
    <r>
      <rPr>
        <b/>
        <vertAlign val="superscript"/>
        <sz val="8"/>
        <rFont val="Verdana"/>
        <family val="2"/>
      </rPr>
      <t>/a</t>
    </r>
  </si>
  <si>
    <t>VISITAS A PORTALES DE BIBLIOREDES</t>
  </si>
  <si>
    <r>
      <rPr>
        <b/>
        <sz val="8"/>
        <rFont val="Verdana"/>
        <family val="2"/>
      </rPr>
      <t xml:space="preserve">a </t>
    </r>
    <r>
      <rPr>
        <sz val="8"/>
        <rFont val="Verdana"/>
        <family val="2"/>
      </rPr>
      <t>Corresponde a las sesiones de internet presenciales y wifi, realizadas durante el año, por los usuarios del programa biblioredes en las bibliotecas públicas en convenio con la Dibam.</t>
    </r>
  </si>
  <si>
    <t>SITIO WEB</t>
  </si>
  <si>
    <t>Consultas</t>
  </si>
  <si>
    <t>Memoria Chilena</t>
  </si>
  <si>
    <t>Número de prestaciones por internet</t>
  </si>
  <si>
    <t>Chile para Niños</t>
  </si>
  <si>
    <t>Biblioteca Virtual Bicentenario</t>
  </si>
  <si>
    <t>Memoria Chilena para Ciegos</t>
  </si>
  <si>
    <t>Portal Cervantes</t>
  </si>
  <si>
    <r>
      <t>Memorias del Siglo XX</t>
    </r>
    <r>
      <rPr>
        <vertAlign val="superscript"/>
        <sz val="8"/>
        <rFont val="Verdana"/>
        <family val="2"/>
      </rPr>
      <t>/2</t>
    </r>
  </si>
  <si>
    <r>
      <t>Memorias del Siglo XX</t>
    </r>
    <r>
      <rPr>
        <vertAlign val="superscript"/>
        <sz val="8"/>
        <rFont val="Verdana"/>
        <family val="2"/>
      </rPr>
      <t>/3</t>
    </r>
  </si>
  <si>
    <r>
      <t>Portal Dibam</t>
    </r>
    <r>
      <rPr>
        <vertAlign val="superscript"/>
        <sz val="8"/>
        <rFont val="Verdana"/>
        <family val="2"/>
      </rPr>
      <t>/3</t>
    </r>
  </si>
  <si>
    <r>
      <t>Portal Dibam</t>
    </r>
    <r>
      <rPr>
        <vertAlign val="superscript"/>
        <sz val="8"/>
        <rFont val="Verdana"/>
        <family val="2"/>
      </rPr>
      <t>/2</t>
    </r>
  </si>
  <si>
    <r>
      <rPr>
        <b/>
        <sz val="8"/>
        <rFont val="Verdana"/>
        <family val="2"/>
      </rPr>
      <t xml:space="preserve">1 </t>
    </r>
    <r>
      <rPr>
        <sz val="8"/>
        <rFont val="Verdana"/>
        <family val="2"/>
      </rPr>
      <t>Catálogo en línea, terra, internet y periódicos digitales.</t>
    </r>
  </si>
  <si>
    <r>
      <rPr>
        <b/>
        <sz val="8"/>
        <rFont val="Verdana"/>
        <family val="2"/>
      </rPr>
      <t>2</t>
    </r>
    <r>
      <rPr>
        <sz val="8"/>
        <rFont val="Verdana"/>
        <family val="2"/>
      </rPr>
      <t xml:space="preserve"> Páginas visitadas.</t>
    </r>
  </si>
  <si>
    <r>
      <rPr>
        <b/>
        <sz val="8"/>
        <rFont val="Verdana"/>
        <family val="2"/>
      </rPr>
      <t>3</t>
    </r>
    <r>
      <rPr>
        <sz val="8"/>
        <rFont val="Verdana"/>
        <family val="2"/>
      </rPr>
      <t xml:space="preserve"> IP o usuarios únicos.</t>
    </r>
  </si>
  <si>
    <r>
      <t>SITIO WEB</t>
    </r>
    <r>
      <rPr>
        <b/>
        <vertAlign val="superscript"/>
        <sz val="8"/>
        <rFont val="Verdana"/>
        <family val="2"/>
      </rPr>
      <t>/1</t>
    </r>
  </si>
  <si>
    <t>Visitantes estimados</t>
  </si>
  <si>
    <t>Archivos descargados</t>
  </si>
  <si>
    <r>
      <t>Memoria Chilena</t>
    </r>
    <r>
      <rPr>
        <vertAlign val="superscript"/>
        <sz val="8"/>
        <rFont val="Verdana"/>
        <family val="2"/>
      </rPr>
      <t>/2</t>
    </r>
  </si>
  <si>
    <r>
      <t>Chile para Niños</t>
    </r>
    <r>
      <rPr>
        <vertAlign val="superscript"/>
        <sz val="8"/>
        <rFont val="Verdana"/>
        <family val="2"/>
      </rPr>
      <t>/3</t>
    </r>
  </si>
  <si>
    <r>
      <t>Biblioteca Virtual Bicentenario</t>
    </r>
    <r>
      <rPr>
        <vertAlign val="superscript"/>
        <sz val="8"/>
        <rFont val="Verdana"/>
        <family val="2"/>
      </rPr>
      <t xml:space="preserve">/4 </t>
    </r>
  </si>
  <si>
    <r>
      <t>Memoria Chilena para Ciegos</t>
    </r>
    <r>
      <rPr>
        <vertAlign val="superscript"/>
        <sz val="8"/>
        <rFont val="Verdana"/>
        <family val="2"/>
      </rPr>
      <t xml:space="preserve">/5 </t>
    </r>
  </si>
  <si>
    <r>
      <t>Museo Nacional de Bellas Artes</t>
    </r>
    <r>
      <rPr>
        <vertAlign val="superscript"/>
        <sz val="8"/>
        <rFont val="Verdana"/>
        <family val="2"/>
      </rPr>
      <t>/6</t>
    </r>
  </si>
  <si>
    <t xml:space="preserve"> …  </t>
  </si>
  <si>
    <r>
      <t>Artistas Plásticos Chilenos</t>
    </r>
    <r>
      <rPr>
        <vertAlign val="superscript"/>
        <sz val="8"/>
        <rFont val="Verdana"/>
        <family val="2"/>
      </rPr>
      <t>/7</t>
    </r>
  </si>
  <si>
    <r>
      <t>Fotografía Patrimonial</t>
    </r>
    <r>
      <rPr>
        <vertAlign val="superscript"/>
        <sz val="8"/>
        <rFont val="Verdana"/>
        <family val="2"/>
      </rPr>
      <t>/8</t>
    </r>
  </si>
  <si>
    <r>
      <t>Zona Didactica Museos</t>
    </r>
    <r>
      <rPr>
        <vertAlign val="superscript"/>
        <sz val="8"/>
        <rFont val="Verdana"/>
        <family val="2"/>
      </rPr>
      <t>/9</t>
    </r>
  </si>
  <si>
    <r>
      <rPr>
        <b/>
        <sz val="8"/>
        <rFont val="Verdana"/>
        <family val="2"/>
      </rPr>
      <t xml:space="preserve">1 </t>
    </r>
    <r>
      <rPr>
        <sz val="8"/>
        <rFont val="Verdana"/>
        <family val="2"/>
      </rPr>
      <t>En algunos sitios Web sólo se muestran datos para el año 2013, debido a que el año 2009 se contaba con un sistema que distorsionaba mucho las mediciones realizadas y por lo tanto sus resultados no eran muy representativos del nivel de actividad de estos sitios.</t>
    </r>
  </si>
  <si>
    <r>
      <rPr>
        <b/>
        <sz val="8"/>
        <rFont val="Verdana"/>
        <family val="2"/>
      </rPr>
      <t xml:space="preserve">2 </t>
    </r>
    <r>
      <rPr>
        <sz val="8"/>
        <rFont val="Verdana"/>
        <family val="2"/>
      </rPr>
      <t>Sitio web: www.memoriachilena.cl</t>
    </r>
  </si>
  <si>
    <r>
      <rPr>
        <b/>
        <sz val="8"/>
        <rFont val="Verdana"/>
        <family val="2"/>
      </rPr>
      <t xml:space="preserve">3 </t>
    </r>
    <r>
      <rPr>
        <sz val="8"/>
        <rFont val="Verdana"/>
        <family val="2"/>
      </rPr>
      <t>Sitio web: www.chileparaninos.cl</t>
    </r>
  </si>
  <si>
    <r>
      <rPr>
        <b/>
        <sz val="8"/>
        <rFont val="Verdana"/>
        <family val="2"/>
      </rPr>
      <t xml:space="preserve">4 </t>
    </r>
    <r>
      <rPr>
        <sz val="8"/>
        <rFont val="Verdana"/>
        <family val="2"/>
      </rPr>
      <t>Sitio web: www.bicentenario.bibliotecanacional.cl</t>
    </r>
  </si>
  <si>
    <r>
      <rPr>
        <b/>
        <sz val="8"/>
        <rFont val="Verdana"/>
        <family val="2"/>
      </rPr>
      <t xml:space="preserve">5 </t>
    </r>
    <r>
      <rPr>
        <sz val="8"/>
        <rFont val="Verdana"/>
        <family val="2"/>
      </rPr>
      <t>Sitio web: www.memoriachilenaparaciegos.cl</t>
    </r>
  </si>
  <si>
    <r>
      <rPr>
        <b/>
        <sz val="8"/>
        <rFont val="Verdana"/>
        <family val="2"/>
      </rPr>
      <t xml:space="preserve">6 </t>
    </r>
    <r>
      <rPr>
        <sz val="8"/>
        <rFont val="Verdana"/>
        <family val="2"/>
      </rPr>
      <t>Sitio web: www.mnba.cl</t>
    </r>
  </si>
  <si>
    <r>
      <rPr>
        <b/>
        <sz val="8"/>
        <rFont val="Verdana"/>
        <family val="2"/>
      </rPr>
      <t xml:space="preserve">7 </t>
    </r>
    <r>
      <rPr>
        <sz val="8"/>
        <rFont val="Verdana"/>
        <family val="2"/>
      </rPr>
      <t>Sitio web: www.artistasplasticoschilenos.cl</t>
    </r>
  </si>
  <si>
    <r>
      <rPr>
        <b/>
        <sz val="8"/>
        <rFont val="Verdana"/>
        <family val="2"/>
      </rPr>
      <t xml:space="preserve">8 </t>
    </r>
    <r>
      <rPr>
        <sz val="8"/>
        <rFont val="Verdana"/>
        <family val="2"/>
      </rPr>
      <t>Sitio web: www.fotografiapatrimonial.cl</t>
    </r>
  </si>
  <si>
    <r>
      <rPr>
        <b/>
        <sz val="8"/>
        <rFont val="Verdana"/>
        <family val="2"/>
      </rPr>
      <t xml:space="preserve">9 </t>
    </r>
    <r>
      <rPr>
        <sz val="8"/>
        <rFont val="Verdana"/>
        <family val="2"/>
      </rPr>
      <t>Sitio web: www.zonadidacticamuseos.cl</t>
    </r>
  </si>
  <si>
    <t xml:space="preserve"> … Información no disponible</t>
  </si>
  <si>
    <r>
      <t>Total</t>
    </r>
    <r>
      <rPr>
        <b/>
        <vertAlign val="superscript"/>
        <sz val="8"/>
        <rFont val="Verdana"/>
        <family val="2"/>
      </rPr>
      <t>/1 2/</t>
    </r>
  </si>
  <si>
    <t xml:space="preserve"> 0-14 años</t>
  </si>
  <si>
    <t xml:space="preserve"> 15-29 años</t>
  </si>
  <si>
    <t xml:space="preserve"> 30-59 años</t>
  </si>
  <si>
    <t>Mayores de 60 años</t>
  </si>
  <si>
    <r>
      <rPr>
        <b/>
        <sz val="8"/>
        <rFont val="Verdana"/>
        <family val="2"/>
      </rPr>
      <t>1</t>
    </r>
    <r>
      <rPr>
        <sz val="8"/>
        <rFont val="Verdana"/>
        <family val="2"/>
      </rPr>
      <t xml:space="preserve"> Se informan usuarios activos, los que corresponden a los usuarios registrados que han solicitado un préstamo durante el año 2013.</t>
    </r>
  </si>
  <si>
    <r>
      <rPr>
        <b/>
        <sz val="8"/>
        <rFont val="Verdana"/>
        <family val="2"/>
      </rPr>
      <t>2</t>
    </r>
    <r>
      <rPr>
        <sz val="8"/>
        <rFont val="Verdana"/>
        <family val="2"/>
      </rPr>
      <t xml:space="preserve"> En 2009 se inició la migración gradual de las bibliotecas públicas a nuevo sistema de registro automatizado que incluye usuarios y préstamos. Los datos de usuarios, préstamos y colecciones de bibliotecas públicas se vieron afectados por cambios de plataforma de ingreso, pasando de las planillas manuales a registros automatizados. Este proceso se mantiene en desarrollo y genera temporalmente dos sistemas de registros que dificultan la continuidad y comparación de estos datos con años anteriores, es por esto que se informan los registros de las bibliotecas públicas que circulan automatizadas, obteniendo así datos fidedignos.</t>
    </r>
  </si>
  <si>
    <t>Años</t>
  </si>
  <si>
    <t>Número de usuarios presenciales Biblioteca Nacional</t>
  </si>
  <si>
    <r>
      <t>Número de usuarios que asiste a actividades culturales en la Biblioteca Nacional</t>
    </r>
    <r>
      <rPr>
        <vertAlign val="superscript"/>
        <sz val="8"/>
        <rFont val="Verdana"/>
        <family val="2"/>
      </rPr>
      <t>/1</t>
    </r>
  </si>
  <si>
    <t xml:space="preserve">Número de usuarios presenciales de la Biblioteca de Santiago </t>
  </si>
  <si>
    <t>Número de socios del Programa Bibliometro</t>
  </si>
  <si>
    <r>
      <rPr>
        <b/>
        <sz val="8"/>
        <rFont val="Verdana"/>
        <family val="2"/>
      </rPr>
      <t xml:space="preserve">1 </t>
    </r>
    <r>
      <rPr>
        <sz val="8"/>
        <rFont val="Verdana"/>
        <family val="2"/>
      </rPr>
      <t>Para el año 2013, sólo fueron considerados los asistentes a las actividades realizadas en la Sala América, Sala  Ercilla y visitas guiadas de la Biblioteca Nacional. No se incluye los asistentes a las exposiciones o visitantes del edificio, debido a que no se cuenta con cifras exactas.</t>
    </r>
  </si>
  <si>
    <r>
      <t>CUADRO 3.6.1-16: PRÉSTAMOS DE MATERIAL BIBLIOGRÁFICO DE BIBLIOTECAS PÚBLICAS DE LA DIRECCIÓN DE BIBLIOTECAS, ARCHIVOS Y MUSEOS (DIBAM)A DOMICILIO, SEGÚN REGIÓN. 2009-2013</t>
    </r>
    <r>
      <rPr>
        <b/>
        <vertAlign val="superscript"/>
        <sz val="8"/>
        <rFont val="Verdana"/>
        <family val="2"/>
      </rPr>
      <t>/a</t>
    </r>
  </si>
  <si>
    <r>
      <rPr>
        <b/>
        <sz val="8"/>
        <rFont val="Verdana"/>
        <family val="2"/>
      </rPr>
      <t xml:space="preserve">a </t>
    </r>
    <r>
      <rPr>
        <sz val="8"/>
        <rFont val="Verdana"/>
        <family val="2"/>
      </rPr>
      <t>Incluye hombres y mujeres, y sólo préstamos a domicilio. No se incluyen los préstamos en sala, ya que el sistema de cómputos para esta variable correspondía a una estimación de baja confiabilidad. Los datos de usuarios, préstamos y colecciones de bibliotecas públicas se vieron afectados por cambios de plataforma de ingreso, pasando de las planillas manuales a registros automatizados. Este proceso se mantiene en desarrollo y genera temporalmente dos sistemas de registros que dificultan la continuidad y comparación de estos datos con años anteriores, es por esto que se informan los registros de las bibliotecas públicas que circulan automatizadas, obteniendo así datos fidedignos.</t>
    </r>
  </si>
  <si>
    <r>
      <rPr>
        <b/>
        <sz val="8"/>
        <rFont val="Verdana"/>
        <family val="2"/>
      </rPr>
      <t xml:space="preserve">1 </t>
    </r>
    <r>
      <rPr>
        <sz val="8"/>
        <rFont val="Verdana"/>
        <family val="2"/>
      </rPr>
      <t>Incluye Biblioteca de Santiago.</t>
    </r>
  </si>
  <si>
    <r>
      <t>CUADRO 3.6.1-17: PRÉSTAMOS DE MATERIAL BIBLIOGRÁFICO DE BIBLIOTECAS PÚBLICAS DE LA DIRECCIÓN DE BIBLIOTECAS, ARCHIVOS Y MUSEOS (DIBAM) A DOMICILIO, SEGÚN MES. 2009-2013</t>
    </r>
    <r>
      <rPr>
        <b/>
        <vertAlign val="superscript"/>
        <sz val="8"/>
        <rFont val="Verdana"/>
        <family val="2"/>
      </rPr>
      <t>/a</t>
    </r>
  </si>
  <si>
    <t>MES</t>
  </si>
  <si>
    <r>
      <rPr>
        <b/>
        <sz val="8"/>
        <rFont val="Verdana"/>
        <family val="2"/>
      </rPr>
      <t xml:space="preserve">a </t>
    </r>
    <r>
      <rPr>
        <sz val="8"/>
        <rFont val="Verdana"/>
        <family val="2"/>
      </rPr>
      <t>Incluye hombres y mujeres, y sólo préstamos a domicilio. No se incluyen los préstamos en sala, ya que el sistema de cómputos para esta variable correspondía a una estimación de baja confiabilidad. Incluye Biblioteca de Santiago. Los datos de usuarios, préstamos y colecciones de bibliotecas públicas  se vieron afectados por cambios de plataforma de ingreso, pasando de las planillas manuales a registros automatizados. Este proceso se mantiene en desarrollo y genera temporalmente dos sistemas de registros que dificultan la continuidad y comparación de estos datos con años anteriores, es por esto que se informan los registros de las bibliotecas públicas que circulan automatizadas, obteniendo así datos fidedignos.</t>
    </r>
  </si>
  <si>
    <r>
      <t>CUADRO 3.6.1-18: PRÉSTAMOS DE MATERIAL BIBLIOGRÁFICO EN FORMATO DIGITAL, SEGÚN REGIÓN. 2013</t>
    </r>
    <r>
      <rPr>
        <b/>
        <vertAlign val="superscript"/>
        <sz val="8"/>
        <rFont val="Verdana"/>
        <family val="2"/>
      </rPr>
      <t>/a</t>
    </r>
  </si>
  <si>
    <r>
      <rPr>
        <b/>
        <sz val="8"/>
        <rFont val="Verdana"/>
        <family val="2"/>
      </rPr>
      <t>a</t>
    </r>
    <r>
      <rPr>
        <sz val="8"/>
        <rFont val="Verdana"/>
        <family val="2"/>
      </rPr>
      <t xml:space="preserve"> Los préstamos corresponden a la biblioteca pública digital que entre octubre y diciembre de 2013 estaba en marcha blanca.</t>
    </r>
  </si>
  <si>
    <t>STATUS DE FILIACIÓN</t>
  </si>
  <si>
    <t>Socios</t>
  </si>
  <si>
    <t>Personas naturales</t>
  </si>
  <si>
    <t>FUENTE: Sociedad de Derechos Literarios (Sadel).</t>
  </si>
  <si>
    <t>Títulos</t>
  </si>
  <si>
    <t>FUENTE: International Standard Book Number (ISBN). Informe estadístico, Cámara Chilena del Libro.</t>
  </si>
  <si>
    <t>Generalidades</t>
  </si>
  <si>
    <t>Ciencias filosóficas</t>
  </si>
  <si>
    <t>Economía</t>
  </si>
  <si>
    <t>Derecho</t>
  </si>
  <si>
    <t>Administración pública</t>
  </si>
  <si>
    <t>Folclor</t>
  </si>
  <si>
    <t>Lenguas</t>
  </si>
  <si>
    <t>Ciencias puras</t>
  </si>
  <si>
    <t>Tecnología</t>
  </si>
  <si>
    <t>Artes y recreación</t>
  </si>
  <si>
    <t>Ciencias auxiliares historia</t>
  </si>
  <si>
    <t>GÉNERO</t>
  </si>
  <si>
    <t>Poesía</t>
  </si>
  <si>
    <t>Narrativa</t>
  </si>
  <si>
    <t>Lit. infantil</t>
  </si>
  <si>
    <t>Ensayos</t>
  </si>
  <si>
    <t>Lit. Infantil</t>
  </si>
  <si>
    <t>NÚMERO DE EDICIÓN</t>
  </si>
  <si>
    <t>1era. edición</t>
  </si>
  <si>
    <t>2da. edición</t>
  </si>
  <si>
    <t>3era. y más ediciones</t>
  </si>
  <si>
    <t>SOPORTE</t>
  </si>
  <si>
    <t>CD-ROM</t>
  </si>
  <si>
    <t>CD-Audio</t>
  </si>
  <si>
    <t>DVD-Video</t>
  </si>
  <si>
    <t>E-Book</t>
  </si>
  <si>
    <t>Pendrive</t>
  </si>
  <si>
    <t>FUENTE: International Standard Book Number (ISBN) Informe Estadístico, Cámara Chilena del Libro.</t>
  </si>
  <si>
    <r>
      <t>CUADRO 3.6.2-08: NÚMERO DE TÍTULOS AUTOEDITADOS REGISTRADOS EN EL INTERNATIONAL STANDARD BOOK NUMBER (ISBN). 1993-2013</t>
    </r>
    <r>
      <rPr>
        <b/>
        <vertAlign val="superscript"/>
        <sz val="8"/>
        <rFont val="Verdana"/>
        <family val="2"/>
      </rPr>
      <t>/a</t>
    </r>
  </si>
  <si>
    <t>Autoediciones</t>
  </si>
  <si>
    <r>
      <t>Porcentaje</t>
    </r>
    <r>
      <rPr>
        <b/>
        <vertAlign val="superscript"/>
        <sz val="8"/>
        <rFont val="Verdana"/>
        <family val="2"/>
      </rPr>
      <t>/1</t>
    </r>
  </si>
  <si>
    <r>
      <rPr>
        <b/>
        <sz val="8"/>
        <rFont val="Verdana"/>
        <family val="2"/>
      </rPr>
      <t>a</t>
    </r>
    <r>
      <rPr>
        <sz val="8"/>
        <rFont val="Verdana"/>
        <family val="2"/>
      </rPr>
      <t xml:space="preserve"> Las autoediciones son aquellas publicaciones en que el editor responsable es el propio autor.</t>
    </r>
  </si>
  <si>
    <r>
      <rPr>
        <b/>
        <sz val="8"/>
        <rFont val="Verdana"/>
        <family val="2"/>
      </rPr>
      <t xml:space="preserve">1 </t>
    </r>
    <r>
      <rPr>
        <sz val="8"/>
        <rFont val="Verdana"/>
        <family val="2"/>
      </rPr>
      <t>Los datos se refieren al porcentaje de autoediciones en relación al total de títulos registrados cada año.</t>
    </r>
  </si>
  <si>
    <t>RANGOS DE PRODUCCIÓN</t>
  </si>
  <si>
    <t xml:space="preserve">      1-500</t>
  </si>
  <si>
    <t xml:space="preserve">  501-1000</t>
  </si>
  <si>
    <t>1001-1500</t>
  </si>
  <si>
    <t>1501-2000</t>
  </si>
  <si>
    <t>2001-2500</t>
  </si>
  <si>
    <t>2501-3000</t>
  </si>
  <si>
    <t>3001-3500</t>
  </si>
  <si>
    <t>3501-4000</t>
  </si>
  <si>
    <t>4001-4500</t>
  </si>
  <si>
    <t>4501-5000</t>
  </si>
  <si>
    <t>5001 y más</t>
  </si>
  <si>
    <t>CUADRO 3.6.2-10: NÚMERO Y PORCENTAJE DE TRADUCCIONES REGISTRADAS EN EL INTERNATIONAL STANDARD BOOK NUMBER (ISBN), SEGÚN IDIOMA DE ORÍGEN E IDIOMA TRADUCIDO. 2009-2013</t>
  </si>
  <si>
    <t>IDIOMA DE ORÍGEN</t>
  </si>
  <si>
    <t>IDIOMA TRADUCIDO</t>
  </si>
  <si>
    <t>Alemán</t>
  </si>
  <si>
    <t xml:space="preserve">Español       </t>
  </si>
  <si>
    <t xml:space="preserve">Alemán    </t>
  </si>
  <si>
    <t xml:space="preserve">Inglés      </t>
  </si>
  <si>
    <t>Árabe</t>
  </si>
  <si>
    <t>Español</t>
  </si>
  <si>
    <t>Francés</t>
  </si>
  <si>
    <t>Catalán</t>
  </si>
  <si>
    <t>Chino</t>
  </si>
  <si>
    <t>Croata</t>
  </si>
  <si>
    <t>Danés</t>
  </si>
  <si>
    <t>Eslovaco</t>
  </si>
  <si>
    <t>Inglés</t>
  </si>
  <si>
    <t>Aymara</t>
  </si>
  <si>
    <t>Italiano</t>
  </si>
  <si>
    <t>Japonés</t>
  </si>
  <si>
    <t>Mapudungun</t>
  </si>
  <si>
    <t>Multilingue</t>
  </si>
  <si>
    <t>Polaco</t>
  </si>
  <si>
    <t>Portugués</t>
  </si>
  <si>
    <t>Rapanui</t>
  </si>
  <si>
    <t>Sueco</t>
  </si>
  <si>
    <t>Griego</t>
  </si>
  <si>
    <t>Hebreo</t>
  </si>
  <si>
    <t>Holandés</t>
  </si>
  <si>
    <t>Finlandés</t>
  </si>
  <si>
    <t>Portugues</t>
  </si>
  <si>
    <t>Latín</t>
  </si>
  <si>
    <t>Noruego</t>
  </si>
  <si>
    <t>Ruso</t>
  </si>
  <si>
    <t>Turco</t>
  </si>
  <si>
    <r>
      <t>CUADRO 3.6.2-13: NÚMERO DE TITULOS REGISTRADOS EN EL INTERNATIONAL STANDARD BOOK NUMBER (ISBN) POR UNIVERSIDADES CHILENAS. 2009-2013</t>
    </r>
    <r>
      <rPr>
        <b/>
        <vertAlign val="superscript"/>
        <sz val="8"/>
        <rFont val="Verdana"/>
        <family val="2"/>
      </rPr>
      <t>/a</t>
    </r>
  </si>
  <si>
    <t xml:space="preserve">Universidad </t>
  </si>
  <si>
    <t>Registros</t>
  </si>
  <si>
    <t>Pontificia Universidad Católica de Chile</t>
  </si>
  <si>
    <t xml:space="preserve">Universidad Católica de Chile </t>
  </si>
  <si>
    <t>Universidad Alberto Hurtado</t>
  </si>
  <si>
    <t>Universidad de Chile</t>
  </si>
  <si>
    <t>Universidad Diego Portales</t>
  </si>
  <si>
    <t xml:space="preserve">Pontificia Universidad Católica de Chile </t>
  </si>
  <si>
    <t>Universidad Católica del Norte</t>
  </si>
  <si>
    <t>Universidad Bolivariana</t>
  </si>
  <si>
    <t>Ediciones Universitarias Universidad Católica de Valparaíso</t>
  </si>
  <si>
    <t>Universidad Católica de Valparaíso</t>
  </si>
  <si>
    <t>Universidad Católica de Temuco</t>
  </si>
  <si>
    <t>Universidad de Concepción</t>
  </si>
  <si>
    <t>Universidad de Santiago de Chile</t>
  </si>
  <si>
    <t>Universidad de Santiago</t>
  </si>
  <si>
    <t>Universidad Católica Silva Henríquez</t>
  </si>
  <si>
    <t>Universidad de La Serena</t>
  </si>
  <si>
    <t>Universidad Técnica Federico Santa María</t>
  </si>
  <si>
    <t>Universidad del Bío Bío</t>
  </si>
  <si>
    <t>Universidad Austral</t>
  </si>
  <si>
    <t xml:space="preserve">Universidad Austral de Chile </t>
  </si>
  <si>
    <t>Universidad del Desarrollo</t>
  </si>
  <si>
    <t>UNIversidad Católica del Norte</t>
  </si>
  <si>
    <t xml:space="preserve">Universidad de Talca </t>
  </si>
  <si>
    <t>Universidad de Talca</t>
  </si>
  <si>
    <t xml:space="preserve">Universidad Austral </t>
  </si>
  <si>
    <t>Universidad de Los Andes</t>
  </si>
  <si>
    <t>Universidad de la Frontera</t>
  </si>
  <si>
    <t xml:space="preserve">Universidad de Playa Ancha </t>
  </si>
  <si>
    <t>Universidad Arturo Prat</t>
  </si>
  <si>
    <t>Universidad de Valparaíso</t>
  </si>
  <si>
    <t>Universidad de Playa Ancha</t>
  </si>
  <si>
    <t>Universidad de Los Lagos</t>
  </si>
  <si>
    <t>Universidad Católica del Maule</t>
  </si>
  <si>
    <t>Universidad Finis Terrae</t>
  </si>
  <si>
    <t>Universidad Católica Raúl Silva Henríquez</t>
  </si>
  <si>
    <t xml:space="preserve">Universidad de La Frontera </t>
  </si>
  <si>
    <t>Universidad Central</t>
  </si>
  <si>
    <t>Universidad Metropolitana de Ciencias de la Educación</t>
  </si>
  <si>
    <t>Universidad Andrés Bello</t>
  </si>
  <si>
    <t xml:space="preserve">Universidad de Los Lagos </t>
  </si>
  <si>
    <t>Universidad de Playa Ancha de Ciencias de la Educación</t>
  </si>
  <si>
    <t>Universidad Arcis</t>
  </si>
  <si>
    <t>Universidad Católica de la Santísima Concepción</t>
  </si>
  <si>
    <t>Universidad Tecnológica de Chile (INACAP)</t>
  </si>
  <si>
    <t>Universidad Santo Tomás</t>
  </si>
  <si>
    <t xml:space="preserve">Universidad de Tarapacá </t>
  </si>
  <si>
    <t>Universidad de Antofagasta</t>
  </si>
  <si>
    <t>Universidad de La Frontera</t>
  </si>
  <si>
    <t>Universidad de Magallanes</t>
  </si>
  <si>
    <t xml:space="preserve"> Universidad de Los Lagos</t>
  </si>
  <si>
    <t>Universidad del Bio-Bio</t>
  </si>
  <si>
    <t xml:space="preserve">Universidad San Sebastián </t>
  </si>
  <si>
    <t>Universidad Adolfo Ibáñez</t>
  </si>
  <si>
    <t>Universidad Tecnológica Metropolitana</t>
  </si>
  <si>
    <t>Universidad San Sebastián</t>
  </si>
  <si>
    <t xml:space="preserve">Universidad Arturo Prat </t>
  </si>
  <si>
    <t>Universidad Católica de la Santisima Concepción</t>
  </si>
  <si>
    <t xml:space="preserve">Universidad Tecnológica Metropolitana </t>
  </si>
  <si>
    <t>Universidad Católica Cardenal Raúl Silva Henríquez</t>
  </si>
  <si>
    <t>Universidad Academia de Humanismo Cristiano</t>
  </si>
  <si>
    <t>Universidad Tecnológíca Metropolitana</t>
  </si>
  <si>
    <t xml:space="preserve">Universidad Tecnológica de Chile - INACAP </t>
  </si>
  <si>
    <t>Universidad de los Andes</t>
  </si>
  <si>
    <t>Universidad de Artes, Ciencias y Comunicación</t>
  </si>
  <si>
    <t>Universidad de Tarapacá</t>
  </si>
  <si>
    <t>Universidad Adventista de Chile</t>
  </si>
  <si>
    <t>Universidad Finis Térrae</t>
  </si>
  <si>
    <t>Universidad Autónoma de Chile</t>
  </si>
  <si>
    <t>Universidad Mayor</t>
  </si>
  <si>
    <t>Universidad Gabriela Mistral</t>
  </si>
  <si>
    <t>Universidad de Ciencias de la Informática</t>
  </si>
  <si>
    <t>Universidad Bernardo O'Higgins</t>
  </si>
  <si>
    <t>Universidad Adventista</t>
  </si>
  <si>
    <t>Universidad Miguel de Cervantes</t>
  </si>
  <si>
    <t>Universidad del Pacífico</t>
  </si>
  <si>
    <t>Universidad Bernardo O’Higgins</t>
  </si>
  <si>
    <t>Universidad de Viña del Mar</t>
  </si>
  <si>
    <t>Universidad del Pacifíco</t>
  </si>
  <si>
    <t>Universidad Metropolitana Ciencias de la Educación</t>
  </si>
  <si>
    <t xml:space="preserve">Universidad Cristiana </t>
  </si>
  <si>
    <t>Universidad Tecnológica Matropolitana</t>
  </si>
  <si>
    <t>Universidad de Atacama</t>
  </si>
  <si>
    <t>Universidad Internacional SEK</t>
  </si>
  <si>
    <t xml:space="preserve">Universidad Miguel de Cervantes </t>
  </si>
  <si>
    <r>
      <rPr>
        <b/>
        <sz val="8"/>
        <rFont val="Verdana"/>
        <family val="2"/>
      </rPr>
      <t xml:space="preserve">a </t>
    </r>
    <r>
      <rPr>
        <sz val="8"/>
        <rFont val="Verdana"/>
        <family val="2"/>
      </rPr>
      <t>Fueron consideradas por año, todas aquellas universidades que registraron a su nombre, al menos un título.</t>
    </r>
  </si>
  <si>
    <r>
      <t>Recitales de poesía</t>
    </r>
    <r>
      <rPr>
        <b/>
        <vertAlign val="superscript"/>
        <sz val="8"/>
        <rFont val="Verdana"/>
        <family val="2"/>
      </rPr>
      <t>/1</t>
    </r>
  </si>
  <si>
    <t>Total asistencia</t>
  </si>
  <si>
    <t>Asistencia</t>
  </si>
  <si>
    <t>Pagando entrada</t>
  </si>
  <si>
    <t>FUENTE: Encuesta de Espectáculos Públicos 2013, INE.</t>
  </si>
  <si>
    <t>REGIÓN DE CASA MATRIZ</t>
  </si>
  <si>
    <t>Diarios</t>
  </si>
  <si>
    <t>Revistas</t>
  </si>
  <si>
    <r>
      <rPr>
        <b/>
        <sz val="8"/>
        <rFont val="Verdana"/>
        <family val="2"/>
      </rPr>
      <t xml:space="preserve">1 </t>
    </r>
    <r>
      <rPr>
        <sz val="8"/>
        <rFont val="Verdana"/>
        <family val="2"/>
      </rPr>
      <t>Las cifras dan cuenta del número de socios existentes hasta el 19 de junio del 2014.</t>
    </r>
  </si>
  <si>
    <t>FUENTE: Asociación Nacional de la Prensa (ANP).</t>
  </si>
  <si>
    <t>REGIÓN/SEXO/GRUPO DE EDAD</t>
  </si>
  <si>
    <t>Postulantes</t>
  </si>
  <si>
    <t>Ganadores</t>
  </si>
  <si>
    <t>Grupo de Edad</t>
  </si>
  <si>
    <t>Entre 6-10 años</t>
  </si>
  <si>
    <t>Entre 11-14 años</t>
  </si>
  <si>
    <r>
      <t>Número de Colegios</t>
    </r>
    <r>
      <rPr>
        <b/>
        <vertAlign val="superscript"/>
        <sz val="8"/>
        <rFont val="Verdana"/>
        <family val="2"/>
      </rPr>
      <t>/1</t>
    </r>
  </si>
  <si>
    <t>Número de regiones participantes</t>
  </si>
  <si>
    <r>
      <rPr>
        <b/>
        <sz val="8"/>
        <rFont val="Verdana"/>
        <family val="2"/>
      </rPr>
      <t>1</t>
    </r>
    <r>
      <rPr>
        <sz val="8"/>
        <rFont val="Verdana"/>
        <family val="2"/>
      </rPr>
      <t xml:space="preserve"> No se dispone de diferenciado si es municipal, subvencionado o privado.</t>
    </r>
  </si>
  <si>
    <t>3.7 MEDIOS AUDIOVISUALES</t>
  </si>
  <si>
    <t>3.7.1 RADIOS</t>
  </si>
  <si>
    <t>CUADRO 3.7.1-01: NÚMERO DE CONCESIONES/1  DE RADIODIFUSIÓN POR TIPO DE TRANSMISIÓN, SEGÚN BANDA EN QUE TRANSMITEN Y REGIÓN. 2013/a</t>
  </si>
  <si>
    <t>CUADRO 3.7.1-02: NÚMERO DE CONCESIONES/1 DE RADIODIFUSIÓN POR POTENCIA DE SUS TRANSMISIONES, SEGÚN BANDA DE TRANSMISIÓN Y REGIÓN. 2013/a</t>
  </si>
  <si>
    <t>CUADRO 3.7.1-03: NÚMERO DE CONCESIONES/1 DE RADIODIFUSIÓN QUE EFECTUARON TRANSMISIONES POR INTERVALOS DE HORAS DE TRANSMISIÓN, SEGÚN DÍAS DE LA SEMANA Y REGIÓN. 2013</t>
  </si>
  <si>
    <t>CUADRO 3.7.1-04: NÚMERO DE CONCESIONES/1 DE RADIODIFUSIÓN, POR INTERVALOS DE HORAS DE TRANSMISIÓN DIARIA, SEGÚN BANDA DE TRANSMISIÓN Y DÍAS DE LA SEMANA. 2013/a</t>
  </si>
  <si>
    <t>CUADRO 3.7.1-05: PORCENTAJES DE CONCESIONES/1 DE RADIODIFUSIÓN, POR INTERVALOS DE HORAS DE TRANSMISIÓN DIARIA, SEGÚN BANDA DE TRANSMISIÓN Y DÍAS DE LA SEMANA. 2013/a/b/c</t>
  </si>
  <si>
    <t>CUADRO 3.7.1-06: NÚMERO DE RADIOEMISORAS, POR BANDA DE TRANSMISIÓN, SEGÚN TIPO DE PROGRAMA AL QUE LE ASIGNAN PRIMERA PRIORIDAD. 2013/a/b</t>
  </si>
  <si>
    <t>CUADRO 3.7.1-07: NÚMERO DE RADIOEMISORAS, POR BANDA DE TRANSMISIÓN, SEGÚN GRUPO DE EDAD DEL PÚBLICO AL QUE LE DAN PRIMERA PRIORIDAD. 2013/a/b</t>
  </si>
  <si>
    <t>CUADRO 3.7.1-08: NÚMERO DE CONCESIONES/1 DE RADIODIFUSIÓN, SEGÚN TRANSMISIÓN VIA INTERNET. 2013/a/b</t>
  </si>
  <si>
    <t>CUADRO 3.7.1-09: NÚMERO DE EMISORAS DE FRECUENCIA MODULADA (FM), AMPLITUD MODULADA (AM) Y MÍNIMA COBERTURA (MC) REGISTRADAS EN LA SUBSECRETARÍA DE TELECOMUNICACIONES (SUBTEL). 2011-2013</t>
  </si>
  <si>
    <t>CUADRO 3.7.1-10: SOPORTE PARA DIFUSIÓN Y COMERCIALIZACIÓN SEGÚN REGISTROS DE LA SOCIEDAD CHILENA DEL DERECHO DE AUTOR (SCD). 2013</t>
  </si>
  <si>
    <t>CUADRO 3.7.1-11: PERSONAL DE LAS RADIOEMISORAS, POR TIPO DE JORNADA, SEGÚN SEXO Y TIPO DE PERSONAL. 2013/a/b</t>
  </si>
  <si>
    <t>CUADRO 3.7.1-12: INGRESOS DE LAS RADIOEMISORAS, SEGÚN FUENTE. 2013/a/b</t>
  </si>
  <si>
    <t>CUADRO 3.7.1-13: GASTOS DE LAS RADIOEMISORAS, SEGÚN ORIGEN. 2013/a/b</t>
  </si>
  <si>
    <t>CUADRO 3.7.1-14: INGRESOS Y GASTOS DE LAS RADIOEMISORAS, SEGÚN TAMAÑO DE LA EMPRESA. 2013/a</t>
  </si>
  <si>
    <t>CUADRO 3.7.1-15: HORAS ANUALES Y PORCENTAJES DE TRANSMISIÓN DE LAS RADIOEMISORAS, SEGÚN TIPO DE PROGRAMA. 2013/a/b</t>
  </si>
  <si>
    <t>3.7.2 TELEVISIÓN</t>
  </si>
  <si>
    <t>CUADRO 3.7.2-01: NÚMERO DE CANALES DE TELEVISIÓN ABIERTA, SEGÚN COBERTURA. 2013/1</t>
  </si>
  <si>
    <t>CUADRO 3.7.2-02: NÚMERO DE PERMISIONARIOS DE CANALES DE TELEVISIÓN POR CABLE. 2009-2013</t>
  </si>
  <si>
    <t>CUADRO 3.7.2-03: HORAS DE EMISIÓN DE PROGRAMACIÓN DE TELEVISIÓN ABIERTA, SEGÚN PÚBLICO OBJETIVO. 2013</t>
  </si>
  <si>
    <t>CUADRO 3.7.2-04: HORAS DE EMISIÓN Y CONSUMO DE PROGRAMACIÓN DE TELEVISIÓN ABIERTA, SEGÚN GÉNERO TELEVISIVO. 2013</t>
  </si>
  <si>
    <t>CUADRO 3.7.2-05: HORAS DE EMISIÓN Y CONSUMO DE PROGRAMACIÓN DE TELEVISIÓN ABIERTA, SEGÚN PROCEDENCIA. 2013</t>
  </si>
  <si>
    <t>CUADRO 3.7.2-06: HORAS DE EMISIÓN DE PROGRAMACIÓN NACIONAL DE TELEVISIÓN ABIERTA, SEGÚN GÉNERO TELEVISIVO. 2013</t>
  </si>
  <si>
    <t>CUADRO 3.7.2-07: HORAS DE EMISIÓN DE PROGRAMACIÓN EXTRANJERA DE TELEVISIÓN ABIERTA, SEGÚN GÉNERO TELEVISIVO. 2013</t>
  </si>
  <si>
    <t>CUADRO 3.7.2-08: CONSUMO PROMEDIO ANUAL DE TELEVISIÓN ABIERTA POR HORAS, SEGÚN RANGO ETARIO. 2013</t>
  </si>
  <si>
    <t>CUADRO 3.7.2-09: CONSUMO PROMEDIO ANUAL DE TELEVISIÓN ABIERTA PARA NIÑOS DE 4 A 12 AÑOS DE EDAD, SEGÚN GÉNERO TELEVISIVO. 2013</t>
  </si>
  <si>
    <t>CUADRO 3.7.2-10: HORAS DE EMISIÓN DE PROGRAMACIÓN INFANTIL DE TELEVISIÓN ABIERTA, SEGÚN PROCEDENCIA. 2013</t>
  </si>
  <si>
    <t>CUADRO 3.7.2-11: HORAS DE EMISIÓN Y CONSUMO DE PROGRAMACIÓN INFANTIL PARA NIÑOS MENORES DE 12 AÑOS, SEGÚN CATEGORÍA. 2013</t>
  </si>
  <si>
    <t>CUADRO 3.7.2-12: HORAS DE EMISIÓN DE PROGRAMACIÓN CULTURAL/1 EN TELEVISIÓN ABIERTA, SEGÚN GÉNERO TELEVISIVO. 2010-2013</t>
  </si>
  <si>
    <t>CUADRO 3.7.2-13: HORAS DE EMISIÓN ANUAL (TIEMPO Y PORCENTAJE DE OFERTA Y CONSUMO) FINANCIADAS POR EL FONDO DEL CONSEJO NACIONAL DE TELEVISIÓN (CNTV), SEGÚN TIPO DE PROGRAMACIÓN. 2013</t>
  </si>
  <si>
    <t>CUADRO 3.7.2-14: NÚMERO DE ACTORES FAVORECIDOS POR LA DISTRIBUCIÓN DE DERECHOS DE COMUNICACIÓN PÚBLICA DE LA CORPORACIÓN DE ACTORES DE CHILE (CHILEACTORES) POR TIPO DE REPARTO Y SEXO, SEGÚN AFILIACIÓN. 2013/a</t>
  </si>
  <si>
    <t>CUADRO 3.7.2-15: NÚMERO DE EXPLOTACIONES DE PRODUCCIONES NACIONALES Y EXTRANJERAS DE LA CORPORACIÓN DE ACTORES DE CHILE (CHILEACTORES), SEGÚN TIPO DE PRODUCCIÓN. 2009-2013/a</t>
  </si>
  <si>
    <t>CUADRO 3.7.2-16: NÚMERO DE EXPLOTACIONES DE PRODUCCIONES NACIONALES Y EXTRANJERAS DE LA CORPORACIÓN DE ACTORES DE CHILE (CHILEACTORES), SEGÚN TIPO DE SERIE. 2009-2013</t>
  </si>
  <si>
    <t xml:space="preserve">CUADRO 3.7.2-17: NÚMERO DE EXPLOTACIONES DE PRODUCCIONES NACIONALES Y EXTRANJERAS DE LA CORPORACIÓN DE ACTORES DE CHILE (CHILEACTORES), SEGÚN TIPO DE PRODUCCIÓN. 2009-2013 </t>
  </si>
  <si>
    <t>3.7.3 FILMES Y VIDEOS</t>
  </si>
  <si>
    <t>CUADRO 3.7.3-01: NÚMERO DE SALAS DE EXHIBICIÓN Y CAPACIDAD, SEGÚN REGIÓN. 2013/a</t>
  </si>
  <si>
    <t>CUADRO 3.7.3-02: NÚMERO DE EMPRESAS DISTRIBUIDORAS DE CINE NACIONALES Y EXTRANJERAS, SEGÚN REGIÓN. 2013</t>
  </si>
  <si>
    <t>CUADRO 3.7.3-03:  NÚMERO DE TRABAJADORES AL AÑO EN DISTRIBUIDORAS DE CINE POR SEXO, SEGÚN REGIÓN. 2013</t>
  </si>
  <si>
    <t>CUADRO 3.7.3-04: NÚMERO DE SOCIOS DE LA ASOCIACIÓN DE DISTRIBUIDORES DE VIDEOGRAMAS A.G. (ADV). 2009-2013</t>
  </si>
  <si>
    <t>CUADRO 3.7.3-05: NÚMERO DE PELÍCULAS ESTRENADAS, SEGÚN ORÍGEN DE LA PELÍCULA. 2013</t>
  </si>
  <si>
    <t>CUADRO 3.7.3-06: NÚMERO Y PORCENTAJE DE TÍTULOS DE PELÍCULAS ESTRENADOS PARA ARRIENDO Y VENTA POR LA ASOCIACIÓN DE DISTRIBUIDORES DE VIDEOGRAMAS AG (ADV) POR FORMATO (DVD Y BLURAY), SEGÚN ORIGEN DE LA PELÍCULA. 2011-2013</t>
  </si>
  <si>
    <t>CUADRO 3.7.3-07: MONTOS RECAUDADOS DE PELÍCULAS ESTRENADAS Y EXHIBIDAS, SEGÚN ORIGEN DE LA PELÍCULA. 2009-2013</t>
  </si>
  <si>
    <t>CUADRO 3.7.3-08: DISTRIBUCIÓN PORCENTUAL DE LAS UNIDADES VENDIDAS POR LA ASOCIACIÓN DE DISTRIBUIDORES DE VIDEOGRAMAS A.G (ADV) POR FORMATO (DVD Y BLURAY), SEGÚN NACIONALIDAD DE LA PELÍCULA. 2009-2013/a</t>
  </si>
  <si>
    <t>CUADRO 3.7.3-09: NÚMERO DE PELÍCULAS EXHIBIDAS POR ORIGEN, SEGÚN REGIÓN. 2013</t>
  </si>
  <si>
    <t>CUADRO 3.7.3-10: NÚMERO DE FUNCIONES DE VIDEO POR TIPO DE ASISTENCIA, SEGÚN REGIÓN. 2013</t>
  </si>
  <si>
    <t>CUADRO 3.7.3-11: NÚMERO DE ESPECTADORES POR ORÍGEN DE LA PELÍCULA, SEGÚN REGIÓN. 2013/a</t>
  </si>
  <si>
    <t>CUADRO 3.7.3-12: NÚMERO DE ESPECTADORES, POR ORIGEN DE LA PELÍCULA. 2009-2013/a</t>
  </si>
  <si>
    <t>CUADRO 3.7.3-13: NÚMERO DE ESPECTADORES POR CALIFICACIÓN CINEMATOGRÁFICA DE LA PELÍCULA, SEGÚN REGIÓN. 2013/a</t>
  </si>
  <si>
    <t>CUADRO 3.7.3-14: NÚMERO DE ESPECTADORES ANUALES POR MES, SEGÚN REGIÓN. 2013/a</t>
  </si>
  <si>
    <t>CUADRO 3.7.3-15:  NÚMERO DE ESPECTADORES DE CINE POR GÉNERO DE LA PELÍCULA, SEGÚN REGIÓN. 2013</t>
  </si>
  <si>
    <t>CUADRO 3.7.3-16: NÚMERO DE ESPECTADORES A LAS VEINTE PELÍCULAS CON MAYOR VENTA DE ENTRADAS POR FECHA DE ESTRENO, GÉNERO, CALIFICACIÓN, NÚMERO DE COPIAS VENDIDAS Y SEMANAS EN CARTELERA,  SEGÚN TÍTULO DE LA PELÍCULA. 2013</t>
  </si>
  <si>
    <t>CUADRO 3.7.3-17: NÚMERO DE ESPECTADORES A LAS TRES PELÍCULAS NACIONALES CON MAYOR VENTA DE ENTRADAS POR FECHA DE ESTRENO, GENERO, CALIFICACIÓN, NÚMERO DE COPIAS VENDIDAS Y SEMANAS EN CARTELERA, SEGÚN TÍTULO DE LA PELÍCULA. 2013</t>
  </si>
  <si>
    <r>
      <t>CUADRO 3.7.1-01: NÚMERO DE CONCESIONES</t>
    </r>
    <r>
      <rPr>
        <b/>
        <vertAlign val="superscript"/>
        <sz val="8"/>
        <rFont val="Verdana"/>
        <family val="2"/>
      </rPr>
      <t xml:space="preserve">/1 </t>
    </r>
    <r>
      <rPr>
        <b/>
        <sz val="8"/>
        <rFont val="Verdana"/>
        <family val="2"/>
      </rPr>
      <t xml:space="preserve"> DE RADIODIFUSIÓN POR TIPO DE TRANSMISIÓN, SEGÚN BANDA EN QUE TRANSMITEN Y REGIÓN. 2013</t>
    </r>
    <r>
      <rPr>
        <b/>
        <vertAlign val="superscript"/>
        <sz val="8"/>
        <rFont val="Verdana"/>
        <family val="2"/>
      </rPr>
      <t>/a</t>
    </r>
  </si>
  <si>
    <r>
      <t>Concesione de radiodifusión operativas</t>
    </r>
    <r>
      <rPr>
        <b/>
        <vertAlign val="superscript"/>
        <sz val="8"/>
        <rFont val="Verdana"/>
        <family val="2"/>
      </rPr>
      <t>/2</t>
    </r>
  </si>
  <si>
    <r>
      <t>Total</t>
    </r>
    <r>
      <rPr>
        <b/>
        <vertAlign val="superscript"/>
        <sz val="8"/>
        <rFont val="Verdana"/>
        <family val="2"/>
      </rPr>
      <t>/3</t>
    </r>
  </si>
  <si>
    <t>Amplitud Modulada</t>
  </si>
  <si>
    <t>Frecuencia Modulada</t>
  </si>
  <si>
    <r>
      <t>Mínima Cobertura</t>
    </r>
    <r>
      <rPr>
        <b/>
        <vertAlign val="superscript"/>
        <sz val="8"/>
        <rFont val="Verdana"/>
        <family val="2"/>
      </rPr>
      <t>/4</t>
    </r>
  </si>
  <si>
    <t>Independiente</t>
  </si>
  <si>
    <t>Repetidora</t>
  </si>
  <si>
    <t>Mixta</t>
  </si>
  <si>
    <r>
      <rPr>
        <b/>
        <sz val="8"/>
        <rFont val="Verdana"/>
        <family val="2"/>
      </rPr>
      <t>1</t>
    </r>
    <r>
      <rPr>
        <sz val="8"/>
        <rFont val="Verdana"/>
        <family val="2"/>
      </rPr>
      <t xml:space="preserve"> Concesiones de radiodifusión, se refiere a las señales de radiodifusión autorizadas por Subtel según concurso de la Ley General de Telecomunicaciones. </t>
    </r>
  </si>
  <si>
    <r>
      <rPr>
        <b/>
        <sz val="8"/>
        <rFont val="Verdana"/>
        <family val="2"/>
      </rPr>
      <t>a</t>
    </r>
    <r>
      <rPr>
        <sz val="8"/>
        <rFont val="Verdana"/>
        <family val="2"/>
      </rPr>
      <t xml:space="preserve"> El total de  radioemisoras de Onda Corta (OC) que operaba en años anteriores, devolvió la concesión a Subtel, por tanto no están contemplados en los tabulados año 2013. </t>
    </r>
  </si>
  <si>
    <r>
      <rPr>
        <b/>
        <sz val="8"/>
        <rFont val="Verdana"/>
        <family val="2"/>
      </rPr>
      <t>2</t>
    </r>
    <r>
      <rPr>
        <sz val="8"/>
        <rFont val="Verdana"/>
        <family val="2"/>
      </rPr>
      <t xml:space="preserve"> Corresponde a las emisoras que respondieron la encuesta anual de radios, declarando haber transmitido durante el año 2013.</t>
    </r>
  </si>
  <si>
    <r>
      <rPr>
        <b/>
        <sz val="8"/>
        <rFont val="Verdana"/>
        <family val="2"/>
      </rPr>
      <t xml:space="preserve">3 </t>
    </r>
    <r>
      <rPr>
        <sz val="8"/>
        <rFont val="Verdana"/>
        <family val="2"/>
      </rPr>
      <t>Total</t>
    </r>
    <r>
      <rPr>
        <b/>
        <sz val="8"/>
        <rFont val="Verdana"/>
        <family val="2"/>
      </rPr>
      <t xml:space="preserve"> </t>
    </r>
    <r>
      <rPr>
        <sz val="8"/>
        <rFont val="Verdana"/>
        <family val="2"/>
      </rPr>
      <t>incluye emisoras de tipo independiente repetidora y mixta. Independiente: emisora que generan su propia programación;  repetidora:  emisora que retransmite la programación de una emisora independiente o casa matriz;  mixta: emisora que combina programación propia y retransmitida.</t>
    </r>
  </si>
  <si>
    <r>
      <rPr>
        <b/>
        <sz val="8"/>
        <rFont val="Verdana"/>
        <family val="2"/>
      </rPr>
      <t xml:space="preserve">4 </t>
    </r>
    <r>
      <rPr>
        <sz val="8"/>
        <rFont val="Verdana"/>
        <family val="2"/>
      </rPr>
      <t xml:space="preserve"> Las radioemisoras de Mínima Cobertura (MC) presentaron una disminución, en comparación con años anteriores, a raíz de que este tipo de emisoras debió acogerse a la nueva Ley 20.433 de radios comunitarias, la que entró en vigencia en el año 2010. </t>
    </r>
  </si>
  <si>
    <t>- Sin movimiento.</t>
  </si>
  <si>
    <t>FUENTE: Encuesta Anual de Radios (EAR) 2013. Instituto Nacional de Estadísticas (INE).</t>
  </si>
  <si>
    <t>AM</t>
  </si>
  <si>
    <t>FM</t>
  </si>
  <si>
    <t>MC</t>
  </si>
  <si>
    <r>
      <t>CUADRO 3.7.1-02: NÚMERO DE CONCESIONES</t>
    </r>
    <r>
      <rPr>
        <b/>
        <vertAlign val="superscript"/>
        <sz val="8"/>
        <rFont val="Verdana"/>
        <family val="2"/>
      </rPr>
      <t>/1</t>
    </r>
    <r>
      <rPr>
        <b/>
        <sz val="8"/>
        <rFont val="Verdana"/>
        <family val="2"/>
      </rPr>
      <t xml:space="preserve"> DE RADIODIFUSIÓN POR POTENCIA DE SUS TRANSMISIONES, SEGÚN BANDA DE TRANSMISIÓN Y REGIÓN. 2013</t>
    </r>
    <r>
      <rPr>
        <b/>
        <vertAlign val="superscript"/>
        <sz val="8"/>
        <rFont val="Verdana"/>
        <family val="2"/>
      </rPr>
      <t>/a</t>
    </r>
  </si>
  <si>
    <t>BANDA DE TRANSMISIÓN Y REGIÓN</t>
  </si>
  <si>
    <r>
      <t>Concesiones de radiodifusión operativas</t>
    </r>
    <r>
      <rPr>
        <b/>
        <vertAlign val="superscript"/>
        <sz val="8"/>
        <rFont val="Verdana"/>
        <family val="2"/>
      </rPr>
      <t xml:space="preserve"> /2/3</t>
    </r>
  </si>
  <si>
    <t>Potencia de transmisión (en watts)</t>
  </si>
  <si>
    <t>Menos de 100</t>
  </si>
  <si>
    <t xml:space="preserve"> 100 a menos de 300</t>
  </si>
  <si>
    <t>300 a 1.000</t>
  </si>
  <si>
    <t>1.001 a 5.000</t>
  </si>
  <si>
    <t>5.001 a 10.000</t>
  </si>
  <si>
    <t>10.001 a 50.000</t>
  </si>
  <si>
    <t>Más de 50.000</t>
  </si>
  <si>
    <r>
      <t xml:space="preserve">1 </t>
    </r>
    <r>
      <rPr>
        <sz val="8"/>
        <rFont val="Verdana"/>
        <family val="2"/>
      </rPr>
      <t xml:space="preserve">Concesiones de radiodifusión, se refiere a las señales de radiodifusión  autorizadas por Subtel según concurso de la Ley General de Telecomunicaciones. </t>
    </r>
  </si>
  <si>
    <r>
      <rPr>
        <b/>
        <sz val="8"/>
        <rFont val="Verdana"/>
        <family val="2"/>
      </rPr>
      <t xml:space="preserve">a </t>
    </r>
    <r>
      <rPr>
        <sz val="8"/>
        <rFont val="Verdana"/>
        <family val="2"/>
      </rPr>
      <t xml:space="preserve">El total de  radioemisoras de Onda Corta (OC) que operaba en años anteriores, devolvió la concesión a Subtel,  por tanto no están contemplados en los tabulados año 2013. </t>
    </r>
  </si>
  <si>
    <r>
      <rPr>
        <b/>
        <sz val="8"/>
        <rFont val="Verdana"/>
        <family val="2"/>
      </rPr>
      <t xml:space="preserve">2 </t>
    </r>
    <r>
      <rPr>
        <sz val="8"/>
        <rFont val="Verdana"/>
        <family val="2"/>
      </rPr>
      <t>Corresponde a las emisoras que respondieron la encuesta anual de radios, declarando haber transmitido durante el año 2013.</t>
    </r>
  </si>
  <si>
    <r>
      <t xml:space="preserve">3 </t>
    </r>
    <r>
      <rPr>
        <sz val="8"/>
        <rFont val="Verdana"/>
        <family val="2"/>
      </rPr>
      <t>Incluye emisoras de tipo independiente repetidora y mixta. Independiente: emisora que generan su propia programación;  repetidora:  emisora que retransmite la programación de una emisora independiente o casa matriz;  mixta: emisora que combina programación propia y retransmitida.</t>
    </r>
  </si>
  <si>
    <r>
      <rPr>
        <b/>
        <sz val="8"/>
        <rFont val="Verdana"/>
        <family val="2"/>
      </rPr>
      <t>4</t>
    </r>
    <r>
      <rPr>
        <sz val="8"/>
        <rFont val="Verdana"/>
        <family val="2"/>
      </rPr>
      <t xml:space="preserve"> Las radioemisoras de Mínima Cobertura (MC) presentaron una disminución, en comparación con años anteriores, a raíz de que este tipo de emisoras debió acogerse a la nueva Ley 20.433 de radios comunitarias, la que entró en vigencia en el año 2010. </t>
    </r>
  </si>
  <si>
    <r>
      <t>CUADRO 3.7.1-03: NÚMERO DE CONCESIONES</t>
    </r>
    <r>
      <rPr>
        <b/>
        <vertAlign val="superscript"/>
        <sz val="8"/>
        <rFont val="Verdana"/>
        <family val="2"/>
      </rPr>
      <t xml:space="preserve">/1 </t>
    </r>
    <r>
      <rPr>
        <b/>
        <sz val="8"/>
        <rFont val="Verdana"/>
        <family val="2"/>
      </rPr>
      <t>DE RADIODIFUSIÓN QUE EFECTUARON TRANSMISIONES POR INTERVALOS DE HORAS DE TRANSMISIÓN, SEGÚN DÍAS DE LA SEMANA Y REGIÓN. 2013</t>
    </r>
  </si>
  <si>
    <t>DÍA DE LA SEMANA Y REGIÓN</t>
  </si>
  <si>
    <r>
      <t>Concesiones de radiodifusión operativas</t>
    </r>
    <r>
      <rPr>
        <b/>
        <vertAlign val="superscript"/>
        <sz val="8"/>
        <rFont val="Verdana"/>
        <family val="2"/>
      </rPr>
      <t>/2/3</t>
    </r>
  </si>
  <si>
    <t>No transmite</t>
  </si>
  <si>
    <r>
      <t>TOTAL</t>
    </r>
    <r>
      <rPr>
        <b/>
        <vertAlign val="superscript"/>
        <sz val="8"/>
        <rFont val="Verdana"/>
        <family val="2"/>
      </rPr>
      <t>/4</t>
    </r>
  </si>
  <si>
    <t>Intervalos de horas de transmisión</t>
  </si>
  <si>
    <t>Menos de 12</t>
  </si>
  <si>
    <t>12 - 17</t>
  </si>
  <si>
    <t>18 - 23</t>
  </si>
  <si>
    <t>24</t>
  </si>
  <si>
    <t>LUNES A VIERNES</t>
  </si>
  <si>
    <t>SÁBADO</t>
  </si>
  <si>
    <t>DOMINGO</t>
  </si>
  <si>
    <r>
      <rPr>
        <b/>
        <sz val="8"/>
        <rFont val="Verdana"/>
        <family val="2"/>
      </rPr>
      <t>1</t>
    </r>
    <r>
      <rPr>
        <sz val="8"/>
        <rFont val="Verdana"/>
        <family val="2"/>
      </rPr>
      <t xml:space="preserve"> Concesiones de radiodifusión, se refiere a las señales de radiodifusión  autorizadas por Subtel según concurso de la Ley General de Telecomunicaciones. </t>
    </r>
  </si>
  <si>
    <r>
      <rPr>
        <b/>
        <sz val="8"/>
        <rFont val="Verdana"/>
        <family val="2"/>
      </rPr>
      <t>3</t>
    </r>
    <r>
      <rPr>
        <sz val="8"/>
        <rFont val="Verdana"/>
        <family val="2"/>
      </rPr>
      <t xml:space="preserve"> Incluye emisoras de tipo independiente repetidora y mixta. Independiente: emisora que generan su propia programación;  repetidora:  emisora que retransmite la programación de una emisora independiente o casa matriz;  mixta: emisora que combina programación propia y retransmitida.</t>
    </r>
  </si>
  <si>
    <r>
      <rPr>
        <b/>
        <sz val="8"/>
        <rFont val="Verdana"/>
        <family val="2"/>
      </rPr>
      <t xml:space="preserve">4 </t>
    </r>
    <r>
      <rPr>
        <sz val="8"/>
        <rFont val="Verdana"/>
        <family val="2"/>
      </rPr>
      <t>Corresponde al número  total de emisoras  operativas en  el país. No son sumables.</t>
    </r>
  </si>
  <si>
    <t>-  Sin movimiento.</t>
  </si>
  <si>
    <r>
      <t>CUADRO 3.7.1-04: NÚMERO DE CONCESIONES</t>
    </r>
    <r>
      <rPr>
        <b/>
        <vertAlign val="superscript"/>
        <sz val="8"/>
        <rFont val="Verdana"/>
        <family val="2"/>
      </rPr>
      <t>/1</t>
    </r>
    <r>
      <rPr>
        <b/>
        <sz val="8"/>
        <rFont val="Verdana"/>
        <family val="2"/>
      </rPr>
      <t xml:space="preserve"> DE RADIODIFUSIÓN, POR INTERVALOS DE HORAS DE TRANSMISIÓN DIARIA, SEGÚN BANDA DE TRANSMISIÓN Y DÍAS DE LA SEMANA. 2013</t>
    </r>
    <r>
      <rPr>
        <b/>
        <vertAlign val="superscript"/>
        <sz val="8"/>
        <rFont val="Verdana"/>
        <family val="2"/>
      </rPr>
      <t>/a</t>
    </r>
  </si>
  <si>
    <t>BANDA DE TRANSMISIÓN Y DÍAS DE LA SEMANA</t>
  </si>
  <si>
    <r>
      <t xml:space="preserve">CONCESIONES DE RADIODIFUSIÓN OPERATIVAS </t>
    </r>
    <r>
      <rPr>
        <b/>
        <vertAlign val="superscript"/>
        <sz val="8"/>
        <rFont val="Verdana"/>
        <family val="2"/>
      </rPr>
      <t>/2/3</t>
    </r>
  </si>
  <si>
    <t>Intervalos de horas de transmisión diaria</t>
  </si>
  <si>
    <t>No Transmite</t>
  </si>
  <si>
    <t>Días de la semana</t>
  </si>
  <si>
    <t>Lunes a Viernes</t>
  </si>
  <si>
    <t>Sábado</t>
  </si>
  <si>
    <t>Domingo</t>
  </si>
  <si>
    <r>
      <t>Mínima Cobertura</t>
    </r>
    <r>
      <rPr>
        <b/>
        <vertAlign val="superscript"/>
        <sz val="8"/>
        <rFont val="Verdana"/>
        <family val="2"/>
      </rPr>
      <t>/5</t>
    </r>
  </si>
  <si>
    <r>
      <rPr>
        <b/>
        <sz val="8"/>
        <rFont val="Verdana"/>
        <family val="2"/>
      </rPr>
      <t xml:space="preserve">3 </t>
    </r>
    <r>
      <rPr>
        <sz val="8"/>
        <rFont val="Verdana"/>
        <family val="2"/>
      </rPr>
      <t xml:space="preserve"> Incluye emisoras de tipo independiente repetidora y mixta. Independiente: emisora que generan su propia programación;  repetidora:  emisora que retransmite la programación de una emisora independiente o casa matriz;  mixta: emisora que combina programación propia y retransmitida.</t>
    </r>
  </si>
  <si>
    <r>
      <rPr>
        <b/>
        <sz val="8"/>
        <rFont val="Verdana"/>
        <family val="2"/>
      </rPr>
      <t>4</t>
    </r>
    <r>
      <rPr>
        <sz val="8"/>
        <rFont val="Verdana"/>
        <family val="2"/>
      </rPr>
      <t xml:space="preserve"> Los totales correspondientes al tipo de emisora (AM, FM, MC) y día de la semana no son sumables.</t>
    </r>
  </si>
  <si>
    <r>
      <rPr>
        <b/>
        <sz val="8"/>
        <rFont val="Verdana"/>
        <family val="2"/>
      </rPr>
      <t xml:space="preserve">5 </t>
    </r>
    <r>
      <rPr>
        <sz val="8"/>
        <rFont val="Verdana"/>
        <family val="2"/>
      </rPr>
      <t>Las radioemisoras de Mínima Cobertura (MC) presentaron una disminución, en comparación con años anteriores, a raíz de que este tipo de emisoras debió acogerse a la nueva Ley 20.433 de radios comunitarias, la que entró en vigencia en el año 2010.</t>
    </r>
  </si>
  <si>
    <r>
      <t>CUADRO 3.7.1-05: PORCENTAJES DE CONCESIONES</t>
    </r>
    <r>
      <rPr>
        <b/>
        <vertAlign val="superscript"/>
        <sz val="8"/>
        <rFont val="Verdana"/>
        <family val="2"/>
      </rPr>
      <t>/1</t>
    </r>
    <r>
      <rPr>
        <b/>
        <sz val="8"/>
        <rFont val="Verdana"/>
        <family val="2"/>
      </rPr>
      <t xml:space="preserve"> DE RADIODIFUSIÓN, POR INTERVALOS DE HORAS DE TRANSMISIÓN DIARIA, SEGÚN BANDA DE TRANSMISIÓN Y DÍAS DE LA SEMANA. 2013</t>
    </r>
    <r>
      <rPr>
        <b/>
        <vertAlign val="superscript"/>
        <sz val="8"/>
        <rFont val="Verdana"/>
        <family val="2"/>
      </rPr>
      <t>/a/b/c</t>
    </r>
  </si>
  <si>
    <r>
      <t>Concesiones de radiodifusión operativas (%)</t>
    </r>
    <r>
      <rPr>
        <b/>
        <vertAlign val="superscript"/>
        <sz val="8"/>
        <rFont val="Verdana"/>
        <family val="2"/>
      </rPr>
      <t>/2</t>
    </r>
  </si>
  <si>
    <r>
      <t>TOTAL</t>
    </r>
    <r>
      <rPr>
        <b/>
        <vertAlign val="superscript"/>
        <sz val="8"/>
        <rFont val="Verdana"/>
        <family val="2"/>
      </rPr>
      <t>/3</t>
    </r>
  </si>
  <si>
    <t>12 -17</t>
  </si>
  <si>
    <r>
      <rPr>
        <b/>
        <sz val="8"/>
        <rFont val="Verdana"/>
        <family val="2"/>
      </rPr>
      <t xml:space="preserve">a </t>
    </r>
    <r>
      <rPr>
        <sz val="8"/>
        <rFont val="Verdana"/>
        <family val="2"/>
      </rPr>
      <t>Corresponde a las emisoras que respondieron la encuesta anual de radios, declarando haber transmitido durante el año 2013.</t>
    </r>
  </si>
  <si>
    <r>
      <rPr>
        <b/>
        <sz val="8"/>
        <rFont val="Verdana"/>
        <family val="2"/>
      </rPr>
      <t xml:space="preserve">b </t>
    </r>
    <r>
      <rPr>
        <sz val="8"/>
        <rFont val="Verdana"/>
        <family val="2"/>
      </rPr>
      <t xml:space="preserve">Incluye emisoras de tipo independiente repetidora y mixta. independiente: emisora que generan su propia programación;  repetidora:  emisora que retransmite la programación de una emisora independiente o casa matriz;  mixta: emisora que combina programación propia y retransmitida. </t>
    </r>
  </si>
  <si>
    <r>
      <rPr>
        <b/>
        <sz val="8"/>
        <rFont val="Verdana"/>
        <family val="2"/>
      </rPr>
      <t xml:space="preserve">c </t>
    </r>
    <r>
      <rPr>
        <sz val="8"/>
        <rFont val="Verdana"/>
        <family val="2"/>
      </rPr>
      <t xml:space="preserve">El total de  radioemisoras de Onda Corta que operaba en años anteriores, devolvió la concesión a Subtel,  por tanto no están contemplados en los tabulados año 2013. </t>
    </r>
  </si>
  <si>
    <r>
      <rPr>
        <b/>
        <sz val="8"/>
        <rFont val="Verdana"/>
        <family val="2"/>
      </rPr>
      <t>2</t>
    </r>
    <r>
      <rPr>
        <sz val="8"/>
        <rFont val="Verdana"/>
        <family val="2"/>
      </rPr>
      <t>Los porcentajes de este cuadro están basados en los valores netos del cuadro 3.7.1-04.</t>
    </r>
  </si>
  <si>
    <r>
      <rPr>
        <b/>
        <sz val="8"/>
        <rFont val="Verdana"/>
        <family val="2"/>
      </rPr>
      <t>3</t>
    </r>
    <r>
      <rPr>
        <sz val="8"/>
        <rFont val="Verdana"/>
        <family val="2"/>
      </rPr>
      <t xml:space="preserve"> Los totales correspondientes al tipo de emisora (AM, FM, MC) y día de la semana no son sumables.</t>
    </r>
  </si>
  <si>
    <r>
      <rPr>
        <b/>
        <sz val="8"/>
        <rFont val="Verdana"/>
        <family val="2"/>
      </rPr>
      <t>4</t>
    </r>
    <r>
      <rPr>
        <sz val="8"/>
        <rFont val="Verdana"/>
        <family val="2"/>
      </rPr>
      <t xml:space="preserve"> Las radioemisoras de Mínima Cobertura (MC) presentaron una disminución, en comparación con años anteriores, a raíz de que este tipo de emisoras debió acogerse a la nueva Ley 20.433 de radios comunitarias, la que entró en vigencia en el año 2010.</t>
    </r>
  </si>
  <si>
    <r>
      <t>CUADRO 3.7.1-06: NÚMERO DE RADIOEMISORAS, POR BANDA DE TRANSMISIÓN, SEGÚN TIPO DE PROGRAMA AL QUE LE ASIGNAN PRIMERA PRIORIDAD. 2013</t>
    </r>
    <r>
      <rPr>
        <b/>
        <vertAlign val="superscript"/>
        <sz val="8"/>
        <rFont val="Verdana"/>
        <family val="2"/>
      </rPr>
      <t>/a/b</t>
    </r>
  </si>
  <si>
    <t>TIPO DE PROGRAMA AL QUE LE ASIGNAN PRIMERA PRIORIDAD</t>
  </si>
  <si>
    <t>Número de Radioemisoras</t>
  </si>
  <si>
    <t>Banda de transmisión</t>
  </si>
  <si>
    <r>
      <t>Mínima Cobertura</t>
    </r>
    <r>
      <rPr>
        <b/>
        <vertAlign val="superscript"/>
        <sz val="8"/>
        <rFont val="Verdana"/>
        <family val="2"/>
      </rPr>
      <t>/1</t>
    </r>
  </si>
  <si>
    <t>Noticieros e Informativos</t>
  </si>
  <si>
    <t>Educativos</t>
  </si>
  <si>
    <t>Ciencias y Tecnologías</t>
  </si>
  <si>
    <t>Artes y Cultura</t>
  </si>
  <si>
    <t>Deportivos</t>
  </si>
  <si>
    <t>Religiosos</t>
  </si>
  <si>
    <t>Otros Recreativos</t>
  </si>
  <si>
    <t>Servicio público</t>
  </si>
  <si>
    <t>No clasificados</t>
  </si>
  <si>
    <r>
      <rPr>
        <b/>
        <sz val="8"/>
        <rFont val="Verdana"/>
        <family val="2"/>
      </rPr>
      <t xml:space="preserve">a </t>
    </r>
    <r>
      <rPr>
        <sz val="8"/>
        <rFont val="Verdana"/>
        <family val="2"/>
      </rPr>
      <t xml:space="preserve">El total de  radioemisoras de Onda Corta (OC) que operaban en años anteriores, devolvieron la concesión a Subtel,  por tanto no están contemplados en los tabulados año 2013. </t>
    </r>
  </si>
  <si>
    <r>
      <rPr>
        <b/>
        <sz val="8"/>
        <rFont val="Verdana"/>
        <family val="2"/>
      </rPr>
      <t xml:space="preserve">b </t>
    </r>
    <r>
      <rPr>
        <sz val="8"/>
        <rFont val="Verdana"/>
        <family val="2"/>
      </rPr>
      <t>Incluye solo emisoras independientes: emisoras que generan su propia programación y que respondieron la encuesta anual de radios 2013.</t>
    </r>
  </si>
  <si>
    <r>
      <rPr>
        <b/>
        <sz val="8"/>
        <rFont val="Verdana"/>
        <family val="2"/>
      </rPr>
      <t xml:space="preserve">1 </t>
    </r>
    <r>
      <rPr>
        <sz val="8"/>
        <rFont val="Verdana"/>
        <family val="2"/>
      </rPr>
      <t xml:space="preserve">Las radioemisoras de Mínima Cobertura (MC) presentaron una disminución, en comparación con años anteriores, a raíz de que este tipo de emisoras debió acogerse a la nueva Ley 20.433 de radios comunitarias, la que entró en vigencia en el año 2010. </t>
    </r>
  </si>
  <si>
    <r>
      <t>CUADRO 3.7.1-07: NÚMERO DE RADIOEMISORAS, POR BANDA DE TRANSMISIÓN, SEGÚN GRUPO DE EDAD DEL PÚBLICO AL QUE LE DAN PRIMERA PRIORIDAD. 2013</t>
    </r>
    <r>
      <rPr>
        <b/>
        <vertAlign val="superscript"/>
        <sz val="8"/>
        <rFont val="Verdana"/>
        <family val="2"/>
      </rPr>
      <t>/a/b</t>
    </r>
  </si>
  <si>
    <t>GRUPO DE EDAD DEL PÚBLICO AL QUE LE DAN PRIMERA PRIORIDAD</t>
  </si>
  <si>
    <t xml:space="preserve">Número de radioemisoras </t>
  </si>
  <si>
    <t>Menos de 15</t>
  </si>
  <si>
    <t>15 - 19</t>
  </si>
  <si>
    <t>20 - 24</t>
  </si>
  <si>
    <t>25 - 34</t>
  </si>
  <si>
    <t>35 - 44</t>
  </si>
  <si>
    <t>45 - 59</t>
  </si>
  <si>
    <t>60 y más</t>
  </si>
  <si>
    <r>
      <rPr>
        <b/>
        <sz val="8"/>
        <rFont val="Verdana"/>
        <family val="2"/>
      </rPr>
      <t xml:space="preserve">a </t>
    </r>
    <r>
      <rPr>
        <sz val="8"/>
        <rFont val="Verdana"/>
        <family val="2"/>
      </rPr>
      <t xml:space="preserve">El total de  radioemisoras de Onda Corta (OC) que operaban en años anteriores, devolvieron la concesión a Subtel, por tanto no están contemplados en los tabulados año 2013. </t>
    </r>
  </si>
  <si>
    <r>
      <rPr>
        <b/>
        <sz val="8"/>
        <rFont val="Verdana"/>
        <family val="2"/>
      </rPr>
      <t>b</t>
    </r>
    <r>
      <rPr>
        <sz val="8"/>
        <rFont val="Verdana"/>
        <family val="2"/>
      </rPr>
      <t xml:space="preserve"> Incluye solo emisoras independientes: emisoras que generan su propia programación y que respondieron la encuesta anual de radios 2013.</t>
    </r>
  </si>
  <si>
    <r>
      <rPr>
        <b/>
        <sz val="8"/>
        <rFont val="Verdana"/>
        <family val="2"/>
      </rPr>
      <t>1</t>
    </r>
    <r>
      <rPr>
        <sz val="8"/>
        <rFont val="Verdana"/>
        <family val="2"/>
      </rPr>
      <t xml:space="preserve">  Las radioemisoras de Mínima Cobertura (MC) presentaron una disminución, en comparación con años anteriores, a raíz de que este tipo de emisoras debió acogerse a la nueva Ley 20.433 de radios comunitarias, la que entró en vigencia en el año 2010. </t>
    </r>
  </si>
  <si>
    <r>
      <t>CUADRO 3.7.1-08: NÚMERO DE CONCESIONES</t>
    </r>
    <r>
      <rPr>
        <b/>
        <vertAlign val="superscript"/>
        <sz val="8"/>
        <rFont val="Verdana"/>
        <family val="2"/>
      </rPr>
      <t>/1</t>
    </r>
    <r>
      <rPr>
        <b/>
        <sz val="8"/>
        <rFont val="Verdana"/>
        <family val="2"/>
      </rPr>
      <t xml:space="preserve"> DE RADIODIFUSIÓN, SEGÚN TRANSMISIÓN VIA INTERNET. 2013</t>
    </r>
    <r>
      <rPr>
        <b/>
        <vertAlign val="superscript"/>
        <sz val="8"/>
        <rFont val="Verdana"/>
        <family val="2"/>
      </rPr>
      <t>/a/b</t>
    </r>
  </si>
  <si>
    <t>Concesiones de radiodifusión</t>
  </si>
  <si>
    <t>Porcentaje (%)</t>
  </si>
  <si>
    <t>Transmisión directa por internet (en vivo)</t>
  </si>
  <si>
    <t>Programas descargables desde internet</t>
  </si>
  <si>
    <t>No transmite por internet</t>
  </si>
  <si>
    <r>
      <rPr>
        <b/>
        <sz val="8"/>
        <rFont val="Verdana"/>
        <family val="2"/>
      </rPr>
      <t xml:space="preserve">b </t>
    </r>
    <r>
      <rPr>
        <sz val="8"/>
        <rFont val="Verdana"/>
        <family val="2"/>
      </rPr>
      <t>Incluye emisoras independientes: emisoras que generan su propia programación y emisoras de tipo repetidoras:  emisoras que retransmiten la programación de una emisora independiente o casa matriz.</t>
    </r>
  </si>
  <si>
    <r>
      <t>2011</t>
    </r>
    <r>
      <rPr>
        <b/>
        <vertAlign val="superscript"/>
        <sz val="8"/>
        <color theme="1"/>
        <rFont val="Verdana"/>
        <family val="2"/>
      </rPr>
      <t>/a</t>
    </r>
  </si>
  <si>
    <r>
      <t>Arica y Parinacota</t>
    </r>
    <r>
      <rPr>
        <vertAlign val="superscript"/>
        <sz val="8"/>
        <rFont val="Verdana"/>
        <family val="2"/>
      </rPr>
      <t>/R</t>
    </r>
  </si>
  <si>
    <r>
      <t xml:space="preserve">Los Ríos </t>
    </r>
    <r>
      <rPr>
        <vertAlign val="superscript"/>
        <sz val="8"/>
        <rFont val="Verdana"/>
        <family val="2"/>
      </rPr>
      <t>/R</t>
    </r>
  </si>
  <si>
    <r>
      <rPr>
        <b/>
        <sz val="8"/>
        <color theme="1"/>
        <rFont val="Verdana"/>
        <family val="2"/>
      </rPr>
      <t xml:space="preserve">a </t>
    </r>
    <r>
      <rPr>
        <sz val="8"/>
        <color theme="1"/>
        <rFont val="Verdana"/>
        <family val="2"/>
      </rPr>
      <t>Información a noviembre de 2011.</t>
    </r>
  </si>
  <si>
    <r>
      <t xml:space="preserve">R </t>
    </r>
    <r>
      <rPr>
        <sz val="8"/>
        <color theme="1"/>
        <rFont val="Verdana"/>
        <family val="2"/>
      </rPr>
      <t>Cifras rectificadas por el informante para el año 2012.</t>
    </r>
  </si>
  <si>
    <t>FUENTE: Subsecretaría de Telecomunicaciones (Subtel).</t>
  </si>
  <si>
    <t>N° RADIOEMISORAS Y SITIOS VENTA ONLINE</t>
  </si>
  <si>
    <t>N° de radios con transmisión exclusiva online</t>
  </si>
  <si>
    <t>N° de radios de frecuencia AM/FM con señal online</t>
  </si>
  <si>
    <t>N° de sitios de venta de música online</t>
  </si>
  <si>
    <r>
      <t>CUADRO 3.7.1-11: PERSONAL DE LAS RADIOEMISORAS, POR TIPO DE JORNADA, SEGÚN SEXO Y TIPO DE PERSONAL. 2013</t>
    </r>
    <r>
      <rPr>
        <b/>
        <vertAlign val="superscript"/>
        <sz val="8"/>
        <rFont val="Verdana"/>
        <family val="2"/>
      </rPr>
      <t>/a/b</t>
    </r>
  </si>
  <si>
    <t>SEXO Y TIPO DE PERSONAL</t>
  </si>
  <si>
    <t>Personal de las radioemisoras</t>
  </si>
  <si>
    <t>Tipo de jornada</t>
  </si>
  <si>
    <t>Completa</t>
  </si>
  <si>
    <t>Parcial</t>
  </si>
  <si>
    <t>Directivos (gerentes y ejecutivos)</t>
  </si>
  <si>
    <t>Otros funcionarios</t>
  </si>
  <si>
    <r>
      <rPr>
        <b/>
        <sz val="8"/>
        <rFont val="Verdana"/>
        <family val="2"/>
      </rPr>
      <t>a</t>
    </r>
    <r>
      <rPr>
        <sz val="8"/>
        <rFont val="Verdana"/>
        <family val="2"/>
      </rPr>
      <t xml:space="preserve"> Corresponde a las radioemisoras que respondieron la encuesta anual de radios, declarando haber transmitido en el año 2013.</t>
    </r>
  </si>
  <si>
    <r>
      <rPr>
        <b/>
        <sz val="8"/>
        <rFont val="Verdana"/>
        <family val="2"/>
      </rPr>
      <t>b</t>
    </r>
    <r>
      <rPr>
        <sz val="8"/>
        <rFont val="Verdana"/>
        <family val="2"/>
      </rPr>
      <t xml:space="preserve"> Incluye solo emisoras independientes: emisoras que generan su propia programación.</t>
    </r>
  </si>
  <si>
    <r>
      <t>CUADRO 3.7.1-12: INGRESOS DE LAS RADIOEMISORAS, SEGÚN FUENTE. 2013</t>
    </r>
    <r>
      <rPr>
        <b/>
        <vertAlign val="superscript"/>
        <sz val="8"/>
        <rFont val="Verdana"/>
        <family val="2"/>
      </rPr>
      <t>/a/b</t>
    </r>
  </si>
  <si>
    <t>FUENTE</t>
  </si>
  <si>
    <t>Ingresos de las radioemisoras</t>
  </si>
  <si>
    <t>(en pesos $)</t>
  </si>
  <si>
    <t>Arriendo de espacios</t>
  </si>
  <si>
    <t>Otros fondos</t>
  </si>
  <si>
    <r>
      <t>CUADRO 3.7.1-13: GASTOS DE LAS RADIOEMISORAS, SEGÚN ORIGEN. 2013</t>
    </r>
    <r>
      <rPr>
        <b/>
        <vertAlign val="superscript"/>
        <sz val="8"/>
        <rFont val="Verdana"/>
        <family val="2"/>
      </rPr>
      <t>/a/b</t>
    </r>
  </si>
  <si>
    <t>ORIGEN</t>
  </si>
  <si>
    <t>Gastos de las radioemisoras</t>
  </si>
  <si>
    <t>Personal</t>
  </si>
  <si>
    <t>Producción de programas</t>
  </si>
  <si>
    <t>Adquisición de programas</t>
  </si>
  <si>
    <t>Medios de producción</t>
  </si>
  <si>
    <t>Medios de difusión</t>
  </si>
  <si>
    <t>Gestión y administración</t>
  </si>
  <si>
    <r>
      <t>CUADRO 3.7.1-14: INGRESOS Y GASTOS DE LAS RADIOEMISORAS, SEGÚN TAMAÑO DE LA EMPRESA. 2013</t>
    </r>
    <r>
      <rPr>
        <b/>
        <vertAlign val="superscript"/>
        <sz val="8"/>
        <rFont val="Verdana"/>
        <family val="2"/>
      </rPr>
      <t>/a</t>
    </r>
  </si>
  <si>
    <r>
      <t>TAMAÑO DE LA EMPRESA</t>
    </r>
    <r>
      <rPr>
        <b/>
        <vertAlign val="superscript"/>
        <sz val="8"/>
        <rFont val="Verdana"/>
        <family val="2"/>
      </rPr>
      <t>/1</t>
    </r>
  </si>
  <si>
    <t>Total de empresas</t>
  </si>
  <si>
    <t>Total ingresos</t>
  </si>
  <si>
    <t>Total  Gastos</t>
  </si>
  <si>
    <t>menos de 5</t>
  </si>
  <si>
    <t xml:space="preserve"> 5 - 9</t>
  </si>
  <si>
    <t xml:space="preserve"> 10 - 49</t>
  </si>
  <si>
    <t xml:space="preserve"> 50 y más</t>
  </si>
  <si>
    <r>
      <t>Casos Especiales</t>
    </r>
    <r>
      <rPr>
        <vertAlign val="superscript"/>
        <sz val="8"/>
        <rFont val="Verdana"/>
        <family val="2"/>
      </rPr>
      <t>/2</t>
    </r>
  </si>
  <si>
    <r>
      <rPr>
        <b/>
        <sz val="8"/>
        <rFont val="Verdana"/>
        <family val="2"/>
      </rPr>
      <t>a</t>
    </r>
    <r>
      <rPr>
        <sz val="8"/>
        <rFont val="Verdana"/>
        <family val="2"/>
      </rPr>
      <t xml:space="preserve"> Incluye solo emisoras independientes: emisoras que generan su propia programación.</t>
    </r>
  </si>
  <si>
    <r>
      <rPr>
        <b/>
        <sz val="8"/>
        <rFont val="Verdana"/>
        <family val="2"/>
      </rPr>
      <t xml:space="preserve">1 </t>
    </r>
    <r>
      <rPr>
        <sz val="8"/>
        <rFont val="Verdana"/>
        <family val="2"/>
      </rPr>
      <t>Clasificación adaptada por el INE, en función del número de trabajadores declarados en la encuesta.</t>
    </r>
  </si>
  <si>
    <r>
      <rPr>
        <b/>
        <sz val="8"/>
        <rFont val="Verdana"/>
        <family val="2"/>
      </rPr>
      <t xml:space="preserve">2 </t>
    </r>
    <r>
      <rPr>
        <sz val="8"/>
        <rFont val="Verdana"/>
        <family val="2"/>
      </rPr>
      <t>Corresponde a radioemisoras que forman parte de conglomerados radiales.</t>
    </r>
  </si>
  <si>
    <r>
      <t>CUADRO 3.7.1-15: HORAS ANUALES Y PORCENTAJES DE TRANSMISIÓN DE LAS RADIOEMISORAS, SEGÚN TIPO DE PROGRAMA. 2013</t>
    </r>
    <r>
      <rPr>
        <b/>
        <vertAlign val="superscript"/>
        <sz val="8"/>
        <rFont val="Verdana"/>
        <family val="2"/>
      </rPr>
      <t>/a/b</t>
    </r>
  </si>
  <si>
    <t>TIPO DE PROGRAMA</t>
  </si>
  <si>
    <t>Horas</t>
  </si>
  <si>
    <r>
      <rPr>
        <b/>
        <sz val="8"/>
        <rFont val="Verdana"/>
        <family val="2"/>
      </rPr>
      <t xml:space="preserve">a </t>
    </r>
    <r>
      <rPr>
        <sz val="8"/>
        <rFont val="Verdana"/>
        <family val="2"/>
      </rPr>
      <t>Corresponde a las radioemisoras que respondieron la encuesta anual de radios, declarando haber transmitido en el año 2013.</t>
    </r>
  </si>
  <si>
    <r>
      <t>CUADRO 3.7.2-01: NÚMERO DE CANALES DE TELEVISIÓN ABIERTA, SEGÚN COBERTURA. 2013</t>
    </r>
    <r>
      <rPr>
        <b/>
        <vertAlign val="superscript"/>
        <sz val="8"/>
        <rFont val="Verdana"/>
        <family val="2"/>
      </rPr>
      <t>/1</t>
    </r>
  </si>
  <si>
    <t>COBERTURA</t>
  </si>
  <si>
    <t>Frecuencia</t>
  </si>
  <si>
    <t>Número de canales</t>
  </si>
  <si>
    <t xml:space="preserve">Frecuencia VHF </t>
  </si>
  <si>
    <r>
      <t>Frecuencia UHF</t>
    </r>
    <r>
      <rPr>
        <vertAlign val="superscript"/>
        <sz val="8"/>
        <rFont val="Verdana"/>
        <family val="2"/>
      </rPr>
      <t>/2</t>
    </r>
  </si>
  <si>
    <r>
      <rPr>
        <b/>
        <sz val="8"/>
        <rFont val="Verdana"/>
        <family val="2"/>
      </rPr>
      <t>1</t>
    </r>
    <r>
      <rPr>
        <sz val="8"/>
        <rFont val="Verdana"/>
        <family val="2"/>
      </rPr>
      <t xml:space="preserve"> La Ley vigente no contempla la distinción de coberturas geográficas para efectos de otorgar la concesión por lo que la categorización aquí presentada, no representa un criterio determinante, ya que solo responde al establecimiento de un orden interno para la categorización de las actuales concesiones.</t>
    </r>
  </si>
  <si>
    <r>
      <rPr>
        <b/>
        <sz val="8"/>
        <rFont val="Verdana"/>
        <family val="2"/>
      </rPr>
      <t xml:space="preserve">2 </t>
    </r>
    <r>
      <rPr>
        <sz val="8"/>
        <rFont val="Verdana"/>
        <family val="2"/>
      </rPr>
      <t>Solo tiene cobertura regional.</t>
    </r>
  </si>
  <si>
    <t xml:space="preserve">FUENTE: Consejo Nacional de Televisión (CNTV). </t>
  </si>
  <si>
    <r>
      <t xml:space="preserve">CUADRO 3.7.2-02: NÚMERO DE </t>
    </r>
    <r>
      <rPr>
        <b/>
        <sz val="8"/>
        <rFont val="Verdana"/>
        <family val="2"/>
      </rPr>
      <t>PERMISIONARIOS</t>
    </r>
    <r>
      <rPr>
        <b/>
        <sz val="8"/>
        <color theme="1"/>
        <rFont val="Verdana"/>
        <family val="2"/>
      </rPr>
      <t xml:space="preserve"> DE CANALES DE TELEVISIÓN POR CABLE. 2009-2013</t>
    </r>
  </si>
  <si>
    <t>PERMISIONARIOS</t>
  </si>
  <si>
    <t>N° de permisionarios TV Cable 2013</t>
  </si>
  <si>
    <r>
      <rPr>
        <b/>
        <sz val="8"/>
        <color theme="1"/>
        <rFont val="Verdana"/>
        <family val="2"/>
      </rPr>
      <t xml:space="preserve">1 </t>
    </r>
    <r>
      <rPr>
        <sz val="8"/>
        <color theme="1"/>
        <rFont val="Verdana"/>
        <family val="2"/>
      </rPr>
      <t>No existe información de número de canales de TV Cable, por cuanto en la tabla se informa el número de permisionarios.</t>
    </r>
  </si>
  <si>
    <t>PÚBLICO OBJETIVO</t>
  </si>
  <si>
    <r>
      <t>Oferta</t>
    </r>
    <r>
      <rPr>
        <b/>
        <vertAlign val="superscript"/>
        <sz val="8"/>
        <rFont val="Verdana"/>
        <family val="2"/>
      </rPr>
      <t>/1</t>
    </r>
  </si>
  <si>
    <r>
      <t>Consumo</t>
    </r>
    <r>
      <rPr>
        <b/>
        <vertAlign val="superscript"/>
        <sz val="8"/>
        <rFont val="Verdana"/>
        <family val="2"/>
      </rPr>
      <t>/2</t>
    </r>
  </si>
  <si>
    <t>Infantil 0-5</t>
  </si>
  <si>
    <t>Infantil 6-12</t>
  </si>
  <si>
    <t>Adolescente</t>
  </si>
  <si>
    <t>Otro (familiar/adulto)</t>
  </si>
  <si>
    <r>
      <rPr>
        <b/>
        <sz val="8"/>
        <rFont val="Verdana"/>
        <family val="2"/>
      </rPr>
      <t>1</t>
    </r>
    <r>
      <rPr>
        <sz val="8"/>
        <rFont val="Verdana"/>
        <family val="2"/>
      </rPr>
      <t xml:space="preserve"> Número de horas anuales emitidas. Este valor no incluye la categoría de género denominada “Continuidad”.</t>
    </r>
  </si>
  <si>
    <r>
      <rPr>
        <b/>
        <sz val="8"/>
        <rFont val="Verdana"/>
        <family val="2"/>
      </rPr>
      <t xml:space="preserve">2 </t>
    </r>
    <r>
      <rPr>
        <sz val="8"/>
        <rFont val="Verdana"/>
        <family val="2"/>
      </rPr>
      <t>Número de horas promedio de consumo anual.</t>
    </r>
  </si>
  <si>
    <t>GÉNERO TELEVISIVO</t>
  </si>
  <si>
    <t>Conversación</t>
  </si>
  <si>
    <t>Documentales</t>
  </si>
  <si>
    <t>Informativos</t>
  </si>
  <si>
    <t>Instruccional-formativo</t>
  </si>
  <si>
    <t>Películas</t>
  </si>
  <si>
    <t>Reportajes</t>
  </si>
  <si>
    <t>Telerrealidad</t>
  </si>
  <si>
    <t>Series y miniseries</t>
  </si>
  <si>
    <t>Telenovelas</t>
  </si>
  <si>
    <t>Videoclips</t>
  </si>
  <si>
    <r>
      <t>Continuidad</t>
    </r>
    <r>
      <rPr>
        <vertAlign val="superscript"/>
        <sz val="8"/>
        <rFont val="Verdana"/>
        <family val="2"/>
      </rPr>
      <t>/3</t>
    </r>
  </si>
  <si>
    <r>
      <t>Infomerciales</t>
    </r>
    <r>
      <rPr>
        <vertAlign val="superscript"/>
        <sz val="8"/>
        <rFont val="Verdana"/>
        <family val="2"/>
      </rPr>
      <t>/4</t>
    </r>
  </si>
  <si>
    <r>
      <rPr>
        <b/>
        <sz val="8"/>
        <rFont val="Verdana"/>
        <family val="2"/>
      </rPr>
      <t>1</t>
    </r>
    <r>
      <rPr>
        <sz val="8"/>
        <rFont val="Verdana"/>
        <family val="2"/>
      </rPr>
      <t xml:space="preserve"> Corresponde al número total de horas anuales emitidas de acuerdo a cada género televisivo.</t>
    </r>
  </si>
  <si>
    <r>
      <rPr>
        <b/>
        <sz val="8"/>
        <rFont val="Verdana"/>
        <family val="2"/>
      </rPr>
      <t>2</t>
    </r>
    <r>
      <rPr>
        <sz val="8"/>
        <rFont val="Verdana"/>
        <family val="2"/>
      </rPr>
      <t xml:space="preserve"> Se define como el número de horas promedio de consumo anual. La cantidad de horas de consumo de las audiencias son entregadas por la empresa Time Ibope a través del estudio People meter.</t>
    </r>
  </si>
  <si>
    <r>
      <rPr>
        <b/>
        <sz val="8"/>
        <rFont val="Verdana"/>
        <family val="2"/>
      </rPr>
      <t xml:space="preserve">3 </t>
    </r>
    <r>
      <rPr>
        <sz val="8"/>
        <rFont val="Verdana"/>
        <family val="2"/>
      </rPr>
      <t>Durante el año 2013 no se midió la programación de continuidad.</t>
    </r>
  </si>
  <si>
    <r>
      <rPr>
        <b/>
        <sz val="8"/>
        <rFont val="Verdana"/>
        <family val="2"/>
      </rPr>
      <t xml:space="preserve">4 </t>
    </r>
    <r>
      <rPr>
        <sz val="8"/>
        <rFont val="Verdana"/>
        <family val="2"/>
      </rPr>
      <t>Para el año 2013 el género Infomerciales se encuentra contenida en la categoría de publicidad.</t>
    </r>
  </si>
  <si>
    <t>PROCEDENCIA</t>
  </si>
  <si>
    <r>
      <t xml:space="preserve">Consumo </t>
    </r>
    <r>
      <rPr>
        <b/>
        <vertAlign val="superscript"/>
        <sz val="8"/>
        <rFont val="Verdana"/>
        <family val="2"/>
      </rPr>
      <t>/2</t>
    </r>
  </si>
  <si>
    <r>
      <rPr>
        <b/>
        <sz val="8"/>
        <rFont val="Verdana"/>
        <family val="2"/>
      </rPr>
      <t xml:space="preserve">1 </t>
    </r>
    <r>
      <rPr>
        <sz val="8"/>
        <rFont val="Verdana"/>
        <family val="2"/>
      </rPr>
      <t>Número de horas anuales emitidas. Este valor no incluye la categoría de género denominada “Continuidad”.</t>
    </r>
  </si>
  <si>
    <t>FUENTE: Consejo Nacional de Televisión (CNTV).</t>
  </si>
  <si>
    <t>Continuidad</t>
  </si>
  <si>
    <r>
      <rPr>
        <b/>
        <sz val="8"/>
        <rFont val="Verdana"/>
        <family val="2"/>
      </rPr>
      <t xml:space="preserve">1 </t>
    </r>
    <r>
      <rPr>
        <sz val="8"/>
        <rFont val="Verdana"/>
        <family val="2"/>
      </rPr>
      <t>Número de horas anuales emitidas.</t>
    </r>
  </si>
  <si>
    <r>
      <rPr>
        <b/>
        <sz val="8"/>
        <rFont val="Verdana"/>
        <family val="2"/>
      </rPr>
      <t>2</t>
    </r>
    <r>
      <rPr>
        <sz val="8"/>
        <rFont val="Verdana"/>
        <family val="2"/>
      </rPr>
      <t xml:space="preserve"> Número de horas promedio de consumo anual.</t>
    </r>
  </si>
  <si>
    <r>
      <rPr>
        <b/>
        <sz val="8"/>
        <rFont val="Verdana"/>
        <family val="2"/>
      </rPr>
      <t>1</t>
    </r>
    <r>
      <rPr>
        <sz val="8"/>
        <rFont val="Verdana"/>
        <family val="2"/>
      </rPr>
      <t xml:space="preserve"> Número de horas anuales emitidas.</t>
    </r>
  </si>
  <si>
    <t>RANGO ETARIO</t>
  </si>
  <si>
    <r>
      <t>Horas</t>
    </r>
    <r>
      <rPr>
        <b/>
        <vertAlign val="superscript"/>
        <sz val="8"/>
        <rFont val="Verdana"/>
        <family val="2"/>
      </rPr>
      <t>/1</t>
    </r>
  </si>
  <si>
    <t>4 - 12</t>
  </si>
  <si>
    <t>13 - 17</t>
  </si>
  <si>
    <t>18 - 24</t>
  </si>
  <si>
    <t xml:space="preserve">25 - 34 </t>
  </si>
  <si>
    <t>35 - 49</t>
  </si>
  <si>
    <t>50 - 64</t>
  </si>
  <si>
    <t>65 y más</t>
  </si>
  <si>
    <r>
      <rPr>
        <b/>
        <sz val="8"/>
        <color theme="1"/>
        <rFont val="Verdana"/>
        <family val="2"/>
      </rPr>
      <t xml:space="preserve">1 </t>
    </r>
    <r>
      <rPr>
        <sz val="8"/>
        <color theme="1"/>
        <rFont val="Verdana"/>
        <family val="2"/>
      </rPr>
      <t>Cantidad de horas promedio de consumo anual.</t>
    </r>
  </si>
  <si>
    <r>
      <t>Consumo infantil 4 - 12 años</t>
    </r>
    <r>
      <rPr>
        <b/>
        <vertAlign val="superscript"/>
        <sz val="8"/>
        <color theme="1"/>
        <rFont val="Verdana"/>
        <family val="2"/>
      </rPr>
      <t>/1</t>
    </r>
  </si>
  <si>
    <t>Sólo programación para niños entre 0 y 12 años</t>
  </si>
  <si>
    <r>
      <t>Oferta</t>
    </r>
    <r>
      <rPr>
        <b/>
        <vertAlign val="superscript"/>
        <sz val="8"/>
        <color indexed="8"/>
        <rFont val="Verdana"/>
        <family val="2"/>
      </rPr>
      <t>/1</t>
    </r>
  </si>
  <si>
    <r>
      <t>Consumo</t>
    </r>
    <r>
      <rPr>
        <b/>
        <vertAlign val="superscript"/>
        <sz val="8"/>
        <color indexed="8"/>
        <rFont val="Verdana"/>
        <family val="2"/>
      </rPr>
      <t>/2</t>
    </r>
  </si>
  <si>
    <t xml:space="preserve">Horas </t>
  </si>
  <si>
    <r>
      <rPr>
        <b/>
        <sz val="8"/>
        <color theme="1"/>
        <rFont val="Verdana"/>
        <family val="2"/>
      </rPr>
      <t xml:space="preserve">1 </t>
    </r>
    <r>
      <rPr>
        <sz val="8"/>
        <color theme="1"/>
        <rFont val="Verdana"/>
        <family val="2"/>
      </rPr>
      <t>Cantidad de horas anuales emitidas.</t>
    </r>
  </si>
  <si>
    <r>
      <rPr>
        <b/>
        <sz val="8"/>
        <color theme="1"/>
        <rFont val="Verdana"/>
        <family val="2"/>
      </rPr>
      <t>2</t>
    </r>
    <r>
      <rPr>
        <sz val="8"/>
        <color theme="1"/>
        <rFont val="Verdana"/>
        <family val="2"/>
      </rPr>
      <t xml:space="preserve"> Cantidad de horas promedio de consumo anual.</t>
    </r>
  </si>
  <si>
    <t>CATEGORÍA</t>
  </si>
  <si>
    <t>Programación para menores de 12 años</t>
  </si>
  <si>
    <t xml:space="preserve">Infantil </t>
  </si>
  <si>
    <r>
      <t>CUADRO 3.7.2-12: HORAS DE EMISIÓN DE PROGRAMACIÓN CULTURAL</t>
    </r>
    <r>
      <rPr>
        <b/>
        <vertAlign val="superscript"/>
        <sz val="8"/>
        <rFont val="Verdana"/>
        <family val="2"/>
      </rPr>
      <t>/1</t>
    </r>
    <r>
      <rPr>
        <b/>
        <sz val="8"/>
        <rFont val="Verdana"/>
        <family val="2"/>
      </rPr>
      <t xml:space="preserve"> EN TELEVISIÓN ABIERTA, SEGÚN GÉNERO TELEVISIVO. 2010-2013</t>
    </r>
  </si>
  <si>
    <r>
      <t>Oferta</t>
    </r>
    <r>
      <rPr>
        <b/>
        <vertAlign val="superscript"/>
        <sz val="8"/>
        <color theme="1"/>
        <rFont val="Verdana"/>
        <family val="2"/>
      </rPr>
      <t>/2</t>
    </r>
  </si>
  <si>
    <t>Otro tipo de programas</t>
  </si>
  <si>
    <r>
      <t>Consumo</t>
    </r>
    <r>
      <rPr>
        <b/>
        <vertAlign val="superscript"/>
        <sz val="8"/>
        <color theme="1"/>
        <rFont val="Verdana"/>
        <family val="2"/>
      </rPr>
      <t>/3</t>
    </r>
  </si>
  <si>
    <r>
      <rPr>
        <b/>
        <sz val="8"/>
        <rFont val="Verdana"/>
        <family val="2"/>
      </rPr>
      <t xml:space="preserve">1 </t>
    </r>
    <r>
      <rPr>
        <sz val="8"/>
        <rFont val="Verdana"/>
        <family val="2"/>
      </rPr>
      <t xml:space="preserve">La definición de lo que se entiende como programación cultural está dada por la norma referida a dicha programación:
</t>
    </r>
    <r>
      <rPr>
        <b/>
        <sz val="8"/>
        <rFont val="Verdana"/>
        <family val="2"/>
      </rPr>
      <t xml:space="preserve">Normas sobre la obligación de las concesionarias de radiodifusión televisiva de libre recepción de transmitir un mínimo de programas culturales a la semana: </t>
    </r>
    <r>
      <rPr>
        <sz val="8"/>
        <rFont val="Verdana"/>
        <family val="2"/>
      </rPr>
      <t>[…] Para los efectos de dar cumplimiento a esta norma, serán considerados culturales los programas de alta calidad que se refieran a las artes y las ciencias, así como aquellos destinados a promover y difundir el patrimonio universal, y en particular nuestro patrimonio e identidad nacional.
a. Por arte se entenderán todas las expresiones literarias, plásticas, audiovisuales, musicales y arquitectónicas, así como sus combinaciones.
b. Por ciencia se entenderán todos aquellos cuerpos de ideas y conocimientos contenidos en las llamadas ciencias exactas, naturales y sociales, incluyendo disciplinas como la historia, el derecho y la filosofía, tanto en sus expresiones propiamente científicas como tecnológicas.
c. Por patrimonio -como expresión de nuestra identidad- se entenderá el conjunto de bienes materiales, inmateriales y naturales valorados socialmente, por lo que ameritan ser conocidos, apreciados y transmitidos de una generación a otra. Comprende bienes muebles e inmuebles que son testimonio del talento creativo de intelectuales, artistas y científicos; edificaciones y conjuntos urbanos y sitios de valor histórico, paisajístico y artístico; los modos de vida propios de las diversas identidades vivas y pasadas, con sus tradiciones y expresiones, como también las evidencias geológicas y de la diversidad geográfica y biológica.</t>
    </r>
  </si>
  <si>
    <r>
      <rPr>
        <b/>
        <sz val="8"/>
        <color theme="1"/>
        <rFont val="Verdana"/>
        <family val="2"/>
      </rPr>
      <t xml:space="preserve">2 </t>
    </r>
    <r>
      <rPr>
        <sz val="8"/>
        <color theme="1"/>
        <rFont val="Verdana"/>
        <family val="2"/>
      </rPr>
      <t>Número de horas anuales emitidas.</t>
    </r>
  </si>
  <si>
    <r>
      <rPr>
        <b/>
        <sz val="8"/>
        <color theme="1"/>
        <rFont val="Verdana"/>
        <family val="2"/>
      </rPr>
      <t xml:space="preserve">3 </t>
    </r>
    <r>
      <rPr>
        <sz val="8"/>
        <color theme="1"/>
        <rFont val="Verdana"/>
        <family val="2"/>
      </rPr>
      <t>Número de horas promedio de consumo anual.</t>
    </r>
  </si>
  <si>
    <t>PROGRAMACIÓN DEL FONDO-CNTV</t>
  </si>
  <si>
    <r>
      <t>Consumo</t>
    </r>
    <r>
      <rPr>
        <b/>
        <vertAlign val="superscript"/>
        <sz val="8"/>
        <color theme="1"/>
        <rFont val="Verdana"/>
        <family val="2"/>
      </rPr>
      <t>/2</t>
    </r>
  </si>
  <si>
    <t>Programación general</t>
  </si>
  <si>
    <t>Programación con fondos CNTV</t>
  </si>
  <si>
    <r>
      <rPr>
        <b/>
        <sz val="8"/>
        <color theme="1"/>
        <rFont val="Verdana"/>
        <family val="2"/>
      </rPr>
      <t xml:space="preserve">2 </t>
    </r>
    <r>
      <rPr>
        <sz val="8"/>
        <color theme="1"/>
        <rFont val="Verdana"/>
        <family val="2"/>
      </rPr>
      <t>Cantidad de horas promedio de consumo anual.</t>
    </r>
  </si>
  <si>
    <r>
      <t>CUADRO 3.7.2-14: NÚMERO DE ACTORES FAVORECIDOS POR LA DISTRIBUCIÓN DE DERECHOS DE COMUNICACIÓN PÚBLICA DE LA CORPORACIÓN DE ACTORES DE CHILE (CHILEACTORES) POR TIPO DE REPARTO Y SEXO, SEGÚN AFILIACIÓN. 2013</t>
    </r>
    <r>
      <rPr>
        <b/>
        <vertAlign val="superscript"/>
        <sz val="8"/>
        <rFont val="Verdana"/>
        <family val="2"/>
      </rPr>
      <t>/a</t>
    </r>
  </si>
  <si>
    <t>AFILIACIÓN</t>
  </si>
  <si>
    <t>Primer reparto 2009-2011</t>
  </si>
  <si>
    <t>Segundo reparto año 2012</t>
  </si>
  <si>
    <t>No socios</t>
  </si>
  <si>
    <r>
      <rPr>
        <b/>
        <sz val="8"/>
        <rFont val="Verdana"/>
        <family val="2"/>
      </rPr>
      <t xml:space="preserve">a </t>
    </r>
    <r>
      <rPr>
        <sz val="8"/>
        <rFont val="Verdana"/>
        <family val="2"/>
      </rPr>
      <t>Durante el año 2013 se efectuaron dos repartos.</t>
    </r>
  </si>
  <si>
    <r>
      <t>CUADRO 3.7.2-15: NÚMERO DE EXPLOTACIONES DE PRODUCCIONES NACIONALES Y EXTRANJERAS DE LA CORPORACIÓN DE ACTORES DE CHILE (CHILEACTORES), SEGÚN TIPO DE PRODUCCIÓN. 2009-2013</t>
    </r>
    <r>
      <rPr>
        <b/>
        <vertAlign val="superscript"/>
        <sz val="8"/>
        <rFont val="Verdana"/>
        <family val="2"/>
      </rPr>
      <t>/a</t>
    </r>
  </si>
  <si>
    <t>TIPO DE PRODUCCIÓN</t>
  </si>
  <si>
    <r>
      <t>2009</t>
    </r>
    <r>
      <rPr>
        <b/>
        <vertAlign val="superscript"/>
        <sz val="8"/>
        <rFont val="Verdana"/>
        <family val="2"/>
      </rPr>
      <t>/b</t>
    </r>
  </si>
  <si>
    <r>
      <t>2010</t>
    </r>
    <r>
      <rPr>
        <b/>
        <vertAlign val="superscript"/>
        <sz val="8"/>
        <rFont val="Verdana"/>
        <family val="2"/>
      </rPr>
      <t>/b</t>
    </r>
  </si>
  <si>
    <r>
      <t>2011</t>
    </r>
    <r>
      <rPr>
        <b/>
        <vertAlign val="superscript"/>
        <sz val="8"/>
        <rFont val="Verdana"/>
        <family val="2"/>
      </rPr>
      <t>/b</t>
    </r>
  </si>
  <si>
    <t>Nacionales/extranjeras</t>
  </si>
  <si>
    <t>Extranjeras</t>
  </si>
  <si>
    <t xml:space="preserve">Teleseries </t>
  </si>
  <si>
    <t>Series</t>
  </si>
  <si>
    <t>Concurso</t>
    <phoneticPr fontId="0" type="noConversion"/>
  </si>
  <si>
    <t>D. animados</t>
  </si>
  <si>
    <t>Documental</t>
    <phoneticPr fontId="0" type="noConversion"/>
  </si>
  <si>
    <t>Magazine</t>
    <phoneticPr fontId="0" type="noConversion"/>
  </si>
  <si>
    <t>P. humor</t>
  </si>
  <si>
    <t>P. musical</t>
  </si>
  <si>
    <r>
      <rPr>
        <b/>
        <sz val="8"/>
        <rFont val="Verdana"/>
        <family val="2"/>
      </rPr>
      <t xml:space="preserve">a </t>
    </r>
    <r>
      <rPr>
        <sz val="8"/>
        <rFont val="Verdana"/>
        <family val="2"/>
      </rPr>
      <t>Dependiendo de la información obtenida, las explotaciones son consideradas por capítulos o como una sola explotación.</t>
    </r>
  </si>
  <si>
    <r>
      <rPr>
        <b/>
        <sz val="8"/>
        <rFont val="Verdana"/>
        <family val="2"/>
      </rPr>
      <t xml:space="preserve">b </t>
    </r>
    <r>
      <rPr>
        <sz val="8"/>
        <rFont val="Verdana"/>
        <family val="2"/>
      </rPr>
      <t>Para los años 2009, 2010 y 2011 no se dispone de información desagregada para diferenciar las producciones entre nacionales y extranjeras.</t>
    </r>
  </si>
  <si>
    <t>TIPO DE SERIE</t>
  </si>
  <si>
    <t>PRODUCCIONES NACIONALES Y EXTRANJERAS</t>
  </si>
  <si>
    <t>Teleseries</t>
  </si>
  <si>
    <t>Miniseries</t>
  </si>
  <si>
    <r>
      <t>CUADRO 3.7.3-01: NÚMERO DE SALAS DE EXHIBICIÓN Y CAPACIDAD, SEGÚN REGIÓN. 2013</t>
    </r>
    <r>
      <rPr>
        <b/>
        <vertAlign val="superscript"/>
        <sz val="8"/>
        <rFont val="Verdana"/>
        <family val="2"/>
      </rPr>
      <t>/a</t>
    </r>
  </si>
  <si>
    <t>Número de salas</t>
  </si>
  <si>
    <t>Capacidad (butacas)</t>
  </si>
  <si>
    <r>
      <rPr>
        <b/>
        <sz val="8"/>
        <rFont val="Verdana"/>
        <family val="2"/>
      </rPr>
      <t>a</t>
    </r>
    <r>
      <rPr>
        <sz val="8"/>
        <rFont val="Verdana"/>
        <family val="2"/>
      </rPr>
      <t xml:space="preserve"> Los datos se refieren a los cines que informaron a Cadic haber tenido movimiento al menos una vez en el año.</t>
    </r>
  </si>
  <si>
    <t>FUENTE: Cámara de Distribuidores Cinematográficos (Cadic).</t>
  </si>
  <si>
    <t>Distribuidora</t>
  </si>
  <si>
    <t>Extranjera</t>
  </si>
  <si>
    <t>Número de trabajadores</t>
  </si>
  <si>
    <t xml:space="preserve">Hombres </t>
  </si>
  <si>
    <t xml:space="preserve">Mujeres </t>
  </si>
  <si>
    <t>FUENTE: Asociación de Distribuidores de Videogramas A.G. (ADV).</t>
  </si>
  <si>
    <t>ORÍGEN DE LA PELÍCULA</t>
  </si>
  <si>
    <t xml:space="preserve">Número de películas </t>
  </si>
  <si>
    <t>Chile</t>
  </si>
  <si>
    <t>Central América</t>
  </si>
  <si>
    <t>BLURAY</t>
  </si>
  <si>
    <t>Películas extranjeras</t>
  </si>
  <si>
    <t>Películas chilenas</t>
  </si>
  <si>
    <t>Latinoamérica</t>
  </si>
  <si>
    <r>
      <t>Coproducciones</t>
    </r>
    <r>
      <rPr>
        <vertAlign val="superscript"/>
        <sz val="8"/>
        <rFont val="Verdana"/>
        <family val="2"/>
      </rPr>
      <t>/1</t>
    </r>
  </si>
  <si>
    <t>Otros Países</t>
  </si>
  <si>
    <r>
      <rPr>
        <b/>
        <sz val="8"/>
        <rFont val="Verdana"/>
        <family val="2"/>
      </rPr>
      <t>1</t>
    </r>
    <r>
      <rPr>
        <sz val="8"/>
        <rFont val="Verdana"/>
        <family val="2"/>
      </rPr>
      <t xml:space="preserve"> No se dispone de información de coproducciones en el año 2013, debido a que aquellas en las que intervino Chile, fueron clasificadas en la categoría "Chile".</t>
    </r>
  </si>
  <si>
    <r>
      <t>CUADRO 3.7.3-08: DISTRIBUCIÓN PORCENTUAL DE LAS UNIDADES VENDIDAS POR LA ASOCIACIÓN DE DISTRIBUIDORES DE VIDEOGRAMAS A.G (ADV) POR FORMATO (DVD Y BLURAY), SEGÚN NACIONALIDAD DE LA PELÍCULA. 2009-2013</t>
    </r>
    <r>
      <rPr>
        <b/>
        <vertAlign val="superscript"/>
        <sz val="8"/>
        <rFont val="Verdana"/>
        <family val="2"/>
      </rPr>
      <t>/a</t>
    </r>
  </si>
  <si>
    <t>NACIONALIDAD DE LA PELÍCULA</t>
  </si>
  <si>
    <r>
      <rPr>
        <b/>
        <sz val="8"/>
        <rFont val="Verdana"/>
        <family val="2"/>
      </rPr>
      <t>a</t>
    </r>
    <r>
      <rPr>
        <sz val="8"/>
        <rFont val="Verdana"/>
        <family val="2"/>
      </rPr>
      <t xml:space="preserve"> Las unidades vendidas corresponden a películas en formato DVD, dado que ya no se comercializan formatos VHS.</t>
    </r>
  </si>
  <si>
    <t>Número de películas</t>
  </si>
  <si>
    <t>Origen</t>
  </si>
  <si>
    <r>
      <t>Aysén</t>
    </r>
    <r>
      <rPr>
        <vertAlign val="superscript"/>
        <sz val="8"/>
        <rFont val="Verdana"/>
        <family val="2"/>
      </rPr>
      <t>/1</t>
    </r>
  </si>
  <si>
    <r>
      <rPr>
        <b/>
        <sz val="8"/>
        <rFont val="Verdana"/>
        <family val="2"/>
      </rPr>
      <t xml:space="preserve">1 </t>
    </r>
    <r>
      <rPr>
        <sz val="8"/>
        <rFont val="Verdana"/>
        <family val="2"/>
      </rPr>
      <t>El informante no dispone de antecedentes para la Región de Aysén.</t>
    </r>
  </si>
  <si>
    <r>
      <rPr>
        <b/>
        <sz val="8"/>
        <rFont val="Verdana"/>
        <family val="2"/>
      </rPr>
      <t xml:space="preserve">1 </t>
    </r>
    <r>
      <rPr>
        <sz val="8"/>
        <rFont val="Verdana"/>
        <family val="2"/>
      </rPr>
      <t>Los datos se refieren exclusivamente al movimiento registrado por los teatros, centros culturales y similares que respondieron la Encuesta de Espectáculos Públicos (EEP) realizada por el INE, declarando haber presentado espectáculos de funciones de video por lo menos una vez en el año.</t>
    </r>
  </si>
  <si>
    <r>
      <t>CUADRO 3.7.3-11: NÚMERO DE ESPECTADORES POR ORÍGEN DE LA PELÍCULA, SEGÚN REGIÓN. 2013</t>
    </r>
    <r>
      <rPr>
        <b/>
        <vertAlign val="superscript"/>
        <sz val="8"/>
        <rFont val="Verdana"/>
        <family val="2"/>
      </rPr>
      <t>/a</t>
    </r>
  </si>
  <si>
    <t>Espectadores</t>
  </si>
  <si>
    <t xml:space="preserve"> EE.UU.</t>
  </si>
  <si>
    <r>
      <t>Coproducciones</t>
    </r>
    <r>
      <rPr>
        <b/>
        <vertAlign val="superscript"/>
        <sz val="8"/>
        <rFont val="Verdana"/>
        <family val="2"/>
      </rPr>
      <t>/1</t>
    </r>
  </si>
  <si>
    <t>Otros países</t>
  </si>
  <si>
    <r>
      <rPr>
        <b/>
        <sz val="8"/>
        <rFont val="Verdana"/>
        <family val="2"/>
      </rPr>
      <t>1</t>
    </r>
    <r>
      <rPr>
        <sz val="8"/>
        <rFont val="Verdana"/>
        <family val="2"/>
      </rPr>
      <t xml:space="preserve"> Para el año 2013 no se dispuso de información respecto a coproducciones, debido a que aquellas en las que intervino Chile, fueron clasificadas en la categoría "Chile".</t>
    </r>
  </si>
  <si>
    <r>
      <t>CUADRO 3.7.3-12: NÚMERO DE ESPECTADORES, POR ORIGEN DE LA PELÍCULA. 2009-2013</t>
    </r>
    <r>
      <rPr>
        <b/>
        <vertAlign val="superscript"/>
        <sz val="8"/>
        <rFont val="Verdana"/>
        <family val="2"/>
      </rPr>
      <t>/a</t>
    </r>
  </si>
  <si>
    <t>Lugar de origen de la película</t>
  </si>
  <si>
    <t xml:space="preserve"> EEUU</t>
  </si>
  <si>
    <r>
      <t>2013</t>
    </r>
    <r>
      <rPr>
        <vertAlign val="superscript"/>
        <sz val="8"/>
        <rFont val="Verdana"/>
        <family val="2"/>
      </rPr>
      <t>/b</t>
    </r>
  </si>
  <si>
    <r>
      <rPr>
        <b/>
        <sz val="8"/>
        <rFont val="Verdana"/>
        <family val="2"/>
      </rPr>
      <t xml:space="preserve">a </t>
    </r>
    <r>
      <rPr>
        <sz val="8"/>
        <rFont val="Verdana"/>
        <family val="2"/>
      </rPr>
      <t>Cadic no dispone de información respecto a los factores que pudieron incidir en la variación de cifras desde el año 2009 a 2010.</t>
    </r>
  </si>
  <si>
    <r>
      <rPr>
        <b/>
        <sz val="8"/>
        <rFont val="Verdana"/>
        <family val="2"/>
      </rPr>
      <t>b</t>
    </r>
    <r>
      <rPr>
        <sz val="8"/>
        <rFont val="Verdana"/>
        <family val="2"/>
      </rPr>
      <t xml:space="preserve"> Las coproducciones en que intervino Chile durante el año 2013, fueron clasificadas en la categoría "Chile".</t>
    </r>
  </si>
  <si>
    <r>
      <t>CUADRO 3.7.3-13: NÚMERO DE ESPECTADORES POR CALIFICACIÓN CINEMATOGRÁFICA DE LA PELÍCULA, SEGÚN REGIÓN. 2013</t>
    </r>
    <r>
      <rPr>
        <b/>
        <vertAlign val="superscript"/>
        <sz val="8"/>
        <rFont val="Verdana"/>
        <family val="2"/>
      </rPr>
      <t>/a</t>
    </r>
  </si>
  <si>
    <t>Calificación cinematográfica</t>
  </si>
  <si>
    <t>Mayores de 7 años</t>
  </si>
  <si>
    <t>Mayores de 14 años</t>
  </si>
  <si>
    <t>Mayores de 18 años</t>
  </si>
  <si>
    <t>Todo espectador</t>
  </si>
  <si>
    <r>
      <t>Atacama</t>
    </r>
    <r>
      <rPr>
        <vertAlign val="superscript"/>
        <sz val="8"/>
        <rFont val="Verdana"/>
        <family val="2"/>
      </rPr>
      <t>/1</t>
    </r>
  </si>
  <si>
    <r>
      <rPr>
        <b/>
        <sz val="8"/>
        <rFont val="Verdana"/>
        <family val="2"/>
      </rPr>
      <t xml:space="preserve">1 </t>
    </r>
    <r>
      <rPr>
        <sz val="8"/>
        <rFont val="Verdana"/>
        <family val="2"/>
      </rPr>
      <t>No se dispone de mayor desagregación de información para estas regiones debido a que los registros son proporcionados por una empresa externa a Cadic.</t>
    </r>
  </si>
  <si>
    <r>
      <t>CUADRO 3.7.3-14: NÚMERO DE ESPECTADORES ANUALES POR MES, SEGÚN REGIÓN. 2013</t>
    </r>
    <r>
      <rPr>
        <b/>
        <vertAlign val="superscript"/>
        <sz val="8"/>
        <rFont val="Verdana"/>
        <family val="2"/>
      </rPr>
      <t>/a</t>
    </r>
  </si>
  <si>
    <t>Mes</t>
  </si>
  <si>
    <r>
      <rPr>
        <b/>
        <sz val="8"/>
        <rFont val="Verdana"/>
        <family val="2"/>
      </rPr>
      <t>1</t>
    </r>
    <r>
      <rPr>
        <sz val="8"/>
        <rFont val="Verdana"/>
        <family val="2"/>
      </rPr>
      <t xml:space="preserve"> La región de Aysén no dispone de información exahustiva, debido a que sólo se consideraron eventos especiales donde se proyectaron películas, sin mayor información.</t>
    </r>
  </si>
  <si>
    <r>
      <t>Género</t>
    </r>
    <r>
      <rPr>
        <b/>
        <vertAlign val="superscript"/>
        <sz val="8"/>
        <rFont val="Verdana"/>
        <family val="2"/>
      </rPr>
      <t>/1</t>
    </r>
  </si>
  <si>
    <t>Comedia</t>
  </si>
  <si>
    <t>Drama</t>
  </si>
  <si>
    <t>Fantástico</t>
  </si>
  <si>
    <t>Acción</t>
  </si>
  <si>
    <t>Suspenso/Terror</t>
  </si>
  <si>
    <t>Musical</t>
  </si>
  <si>
    <t>Infantil</t>
  </si>
  <si>
    <t>Documental</t>
  </si>
  <si>
    <t>Romantica</t>
  </si>
  <si>
    <t>Aventura</t>
  </si>
  <si>
    <r>
      <rPr>
        <b/>
        <sz val="8"/>
        <rFont val="Verdana"/>
        <family val="2"/>
      </rPr>
      <t xml:space="preserve">1 </t>
    </r>
    <r>
      <rPr>
        <sz val="8"/>
        <rFont val="Verdana"/>
        <family val="2"/>
      </rPr>
      <t>Los géneros indicados corresponden a datos entregados por Cadic en el Informe Anual de Cultura y Tiempo Libre 2004.</t>
    </r>
  </si>
  <si>
    <t>TÍTULO DE LA PELÍCULA</t>
  </si>
  <si>
    <r>
      <t>Ranking de ventas</t>
    </r>
    <r>
      <rPr>
        <b/>
        <vertAlign val="superscript"/>
        <sz val="8"/>
        <rFont val="Verdana"/>
        <family val="2"/>
      </rPr>
      <t>/1</t>
    </r>
  </si>
  <si>
    <t>Número de espectadores</t>
  </si>
  <si>
    <t>Fecha de estreno</t>
  </si>
  <si>
    <t>Género</t>
  </si>
  <si>
    <r>
      <t>Calificación</t>
    </r>
    <r>
      <rPr>
        <b/>
        <vertAlign val="superscript"/>
        <sz val="8"/>
        <rFont val="Verdana"/>
        <family val="2"/>
      </rPr>
      <t>/2</t>
    </r>
  </si>
  <si>
    <t>Número de copias vendidas</t>
  </si>
  <si>
    <t>Semanas en cartelera</t>
  </si>
  <si>
    <t xml:space="preserve">Monsters University                </t>
  </si>
  <si>
    <t>Animación</t>
  </si>
  <si>
    <t>TE</t>
  </si>
  <si>
    <t xml:space="preserve">Iron Man 3                         </t>
  </si>
  <si>
    <t>Acción/Aventura</t>
  </si>
  <si>
    <t xml:space="preserve">El Ciudadano Kramer                     </t>
  </si>
  <si>
    <t>Mi Villano Favorito 2</t>
  </si>
  <si>
    <t>Animación/Comedia</t>
  </si>
  <si>
    <t xml:space="preserve">Rápido y Furioso 6  </t>
  </si>
  <si>
    <t>Acción/Thriller</t>
  </si>
  <si>
    <t>M 14</t>
  </si>
  <si>
    <t xml:space="preserve">Los Croods                      </t>
  </si>
  <si>
    <t>Aventura/Animación/Comedia/Familiar</t>
  </si>
  <si>
    <t xml:space="preserve">El Conjuro                 </t>
  </si>
  <si>
    <t>Horror/Thriller</t>
  </si>
  <si>
    <t xml:space="preserve">El Hobbit: La Desolacion de Smaug        </t>
  </si>
  <si>
    <t>Aventura/Fantasia</t>
  </si>
  <si>
    <t>TE + 7</t>
  </si>
  <si>
    <t xml:space="preserve">World War Z        </t>
  </si>
  <si>
    <t>Drama/Horror</t>
  </si>
  <si>
    <t xml:space="preserve">Thor: El Mundo Oscuro           </t>
  </si>
  <si>
    <t>Una Aventura Extraordinaria</t>
  </si>
  <si>
    <t>Aventura/Drama</t>
  </si>
  <si>
    <t xml:space="preserve">Turbo                              </t>
  </si>
  <si>
    <t xml:space="preserve">Los Juegos del Hambre en Llamas </t>
  </si>
  <si>
    <t>Acción/Drama</t>
  </si>
  <si>
    <t xml:space="preserve">Man of Steel                       </t>
  </si>
  <si>
    <t xml:space="preserve">Cloudy With Chance of Meatballs 2  </t>
  </si>
  <si>
    <t>Animación/Familia</t>
  </si>
  <si>
    <t xml:space="preserve">Los Pitufos 2                           </t>
  </si>
  <si>
    <t>Gravedad</t>
  </si>
  <si>
    <t>Titanes de Pacífico</t>
  </si>
  <si>
    <t>Acción/Ciencia Ficción</t>
  </si>
  <si>
    <t xml:space="preserve">Wolverine                  </t>
  </si>
  <si>
    <t>El reino Secreto</t>
  </si>
  <si>
    <r>
      <rPr>
        <b/>
        <sz val="8"/>
        <rFont val="Verdana"/>
        <family val="2"/>
      </rPr>
      <t xml:space="preserve">1 </t>
    </r>
    <r>
      <rPr>
        <sz val="8"/>
        <rFont val="Verdana"/>
        <family val="2"/>
      </rPr>
      <t>Ranking de venta de entradas en orden descendente</t>
    </r>
  </si>
  <si>
    <r>
      <rPr>
        <b/>
        <sz val="8"/>
        <rFont val="Verdana"/>
        <family val="2"/>
      </rPr>
      <t xml:space="preserve">2 </t>
    </r>
    <r>
      <rPr>
        <sz val="8"/>
        <rFont val="Verdana"/>
        <family val="2"/>
      </rPr>
      <t>Calificación de películas, según edades: TE "Todo Espectador", M14 "Mayores de 14 años", TE+7 "Todo Espectador y mayores de 7 años".</t>
    </r>
  </si>
  <si>
    <t>COMEDIA</t>
  </si>
  <si>
    <t>Barrio Universitario</t>
  </si>
  <si>
    <t xml:space="preserve">Que Pena tu Familia                </t>
  </si>
  <si>
    <r>
      <rPr>
        <b/>
        <sz val="8"/>
        <rFont val="Verdana"/>
        <family val="2"/>
      </rPr>
      <t xml:space="preserve">1 </t>
    </r>
    <r>
      <rPr>
        <sz val="8"/>
        <rFont val="Verdana"/>
        <family val="2"/>
      </rPr>
      <t>Ranking de venta de entradas de películas nacionales en orden descendente.</t>
    </r>
  </si>
  <si>
    <r>
      <rPr>
        <b/>
        <sz val="8"/>
        <rFont val="Verdana"/>
        <family val="2"/>
      </rPr>
      <t>2</t>
    </r>
    <r>
      <rPr>
        <sz val="8"/>
        <rFont val="Verdana"/>
        <family val="2"/>
      </rPr>
      <t xml:space="preserve"> Calificación de clasificación por edades para cine: TE "Todo Espectador", M14 "Mayores de 14 años", TE+7 "Todo Espectador y mayores de 7 años".</t>
    </r>
  </si>
  <si>
    <t>3.8 INFRAESTRUCTURA</t>
  </si>
  <si>
    <t>3.8.1 EQUIPAMIENTO Y TECNOLOGÍA</t>
  </si>
  <si>
    <t>CUADRO 3.8.1-01: NÚMERO DE EMPRESAS PROVEEDORAS DE CONEXIÓN A INTERNET POR MODALIDAD, SEGÚN REGIÓN. 2009-2013/1</t>
  </si>
  <si>
    <t>CUADRO 3.8.1-02: NÚMERO DE CONEXIONES A INTERNET POR TIPO DE ACCESO, SEGÚN REGIÓN. 2013</t>
  </si>
  <si>
    <t>CUADRO 3.8.1-03: NÚMERO DE CONEXIONES DEDICADAS FIJAS, SEGÚN TIPO DE SUSCRIPTOR. 2009-2013</t>
  </si>
  <si>
    <t>CUADRO 3.8.1-04: TASA DE CONEXIONES RESIDENCIALES DEDICADAS POR CADA CIEN HABITANTES. 2009-2013</t>
  </si>
  <si>
    <t>CUADRO 3.8.1-05:  NÚMERO DE CONEXIONES RESIDENCIALES DE BANDA ANCHA A INTERNET. 2009-2013</t>
  </si>
  <si>
    <t>CUADRO 3.8.1-06: TRÁFICO CONMUTADO DE INTERNET. 2013</t>
  </si>
  <si>
    <t>CUADRO 3.8.1-07: PENETRACIÓN DE INTERNET EN LA POBLACIÓN EN PORCENTAJE, SEGÚN LA UNIÓN INTERNACIONAL DE TELECOMNICACIONES DE LAS NACIONES UNIDAS (UIT). 2009-2013</t>
  </si>
  <si>
    <t>CUADRO 3.8.1-08: PENETRACIÓN MUNDIAL DE INTERNET POR CADA CIEN HABITANTES, COMPARACIÓN DE VARIOS PAÍSES. 2013</t>
  </si>
  <si>
    <r>
      <t>CUADRO 3.8.1-01: NÚMERO DE EMPRESAS PROVEEDORAS DE CONEXIÓN A INTERNET POR MODALIDAD, SEGÚN REGIÓN. 2009-2013</t>
    </r>
    <r>
      <rPr>
        <b/>
        <vertAlign val="superscript"/>
        <sz val="8"/>
        <rFont val="Verdana"/>
        <family val="2"/>
      </rPr>
      <t>/1</t>
    </r>
  </si>
  <si>
    <r>
      <t>Modalidad conmutada</t>
    </r>
    <r>
      <rPr>
        <b/>
        <vertAlign val="superscript"/>
        <sz val="8"/>
        <rFont val="Verdana"/>
        <family val="2"/>
      </rPr>
      <t>/2</t>
    </r>
  </si>
  <si>
    <r>
      <t>Modalidad dedicada</t>
    </r>
    <r>
      <rPr>
        <b/>
        <vertAlign val="superscript"/>
        <sz val="8"/>
        <rFont val="Verdana"/>
        <family val="2"/>
      </rPr>
      <t>/3</t>
    </r>
  </si>
  <si>
    <r>
      <t>Modalidad dedicada fija</t>
    </r>
    <r>
      <rPr>
        <b/>
        <vertAlign val="superscript"/>
        <sz val="8"/>
        <rFont val="Verdana"/>
        <family val="2"/>
      </rPr>
      <t>/3</t>
    </r>
  </si>
  <si>
    <r>
      <t>Modalidad dedicada móvil</t>
    </r>
    <r>
      <rPr>
        <b/>
        <vertAlign val="superscript"/>
        <sz val="8"/>
        <rFont val="Verdana"/>
        <family val="2"/>
      </rPr>
      <t>/4</t>
    </r>
  </si>
  <si>
    <r>
      <t xml:space="preserve">Modalidad dedicada móvil </t>
    </r>
    <r>
      <rPr>
        <b/>
        <vertAlign val="superscript"/>
        <sz val="8"/>
        <rFont val="Verdana"/>
        <family val="2"/>
      </rPr>
      <t>/4</t>
    </r>
  </si>
  <si>
    <r>
      <t>TOTAL</t>
    </r>
    <r>
      <rPr>
        <b/>
        <vertAlign val="superscript"/>
        <sz val="8"/>
        <rFont val="Verdana"/>
        <family val="2"/>
      </rPr>
      <t>/5</t>
    </r>
  </si>
  <si>
    <r>
      <rPr>
        <b/>
        <sz val="8"/>
        <rFont val="Verdana"/>
        <family val="2"/>
      </rPr>
      <t xml:space="preserve">1 </t>
    </r>
    <r>
      <rPr>
        <sz val="8"/>
        <rFont val="Verdana"/>
        <family val="2"/>
      </rPr>
      <t xml:space="preserve">Total de empresas que informaron a Subtel al mes de diciembre a cada año.
</t>
    </r>
  </si>
  <si>
    <r>
      <rPr>
        <b/>
        <sz val="8"/>
        <rFont val="Verdana"/>
        <family val="2"/>
      </rPr>
      <t>2</t>
    </r>
    <r>
      <rPr>
        <sz val="8"/>
        <rFont val="Verdana"/>
        <family val="2"/>
      </rPr>
      <t xml:space="preserve"> La cifra respecto de la modalidad conmutada refiere número de conexiones distintas que se detectaron dentro del período informado. Durante el año 2013 no se observó este tipo de  conexiones a internet, debido al nivel de obsolecencia de la misma.</t>
    </r>
  </si>
  <si>
    <r>
      <rPr>
        <b/>
        <sz val="8"/>
        <rFont val="Verdana"/>
        <family val="2"/>
      </rPr>
      <t xml:space="preserve">3 </t>
    </r>
    <r>
      <rPr>
        <sz val="8"/>
        <rFont val="Verdana"/>
        <family val="2"/>
      </rPr>
      <t>La modalidad dedicada corresponde al número de clientes con conexión punto a punto y las tecnologías de acceso por DLS, cable móden y WLL, entre otros. Las empresas identificadas a nivel nacional no están presentes en todas las regiones.</t>
    </r>
  </si>
  <si>
    <r>
      <rPr>
        <b/>
        <sz val="8"/>
        <rFont val="Verdana"/>
        <family val="2"/>
      </rPr>
      <t xml:space="preserve">4 </t>
    </r>
    <r>
      <rPr>
        <sz val="8"/>
        <rFont val="Verdana"/>
        <family val="2"/>
      </rPr>
      <t>Las conexiones móviles dedicadas (3G) se encuentran disponibles sólo a nivel nacional, sin apertura por región.</t>
    </r>
  </si>
  <si>
    <r>
      <rPr>
        <b/>
        <sz val="8"/>
        <rFont val="Verdana"/>
        <family val="2"/>
      </rPr>
      <t>5</t>
    </r>
    <r>
      <rPr>
        <sz val="8"/>
        <rFont val="Verdana"/>
        <family val="2"/>
      </rPr>
      <t xml:space="preserve"> Los totales presentados por cada modalidad, no responden a la totalización individual de cada región sino más bien al total nacional respecto a cada categoría. Esto se debe a que una misma empresa puede prestar servicios en más de una región, contabilizandose por separado.</t>
    </r>
  </si>
  <si>
    <t>Número de conexiones a internet</t>
  </si>
  <si>
    <t>Tipo de acceso</t>
  </si>
  <si>
    <r>
      <t>Modalidad conmutada</t>
    </r>
    <r>
      <rPr>
        <b/>
        <vertAlign val="superscript"/>
        <sz val="8"/>
        <rFont val="Verdana"/>
        <family val="2"/>
      </rPr>
      <t>/1</t>
    </r>
  </si>
  <si>
    <r>
      <t>Modalidad dedicada fija</t>
    </r>
    <r>
      <rPr>
        <b/>
        <vertAlign val="superscript"/>
        <sz val="8"/>
        <rFont val="Verdana"/>
        <family val="2"/>
      </rPr>
      <t>/2</t>
    </r>
  </si>
  <si>
    <r>
      <t>Modalidad 3G</t>
    </r>
    <r>
      <rPr>
        <b/>
        <vertAlign val="superscript"/>
        <sz val="8"/>
        <rFont val="Verdana"/>
        <family val="2"/>
      </rPr>
      <t>/3</t>
    </r>
  </si>
  <si>
    <r>
      <rPr>
        <b/>
        <sz val="8"/>
        <rFont val="Verdana"/>
        <family val="2"/>
      </rPr>
      <t>1</t>
    </r>
    <r>
      <rPr>
        <sz val="8"/>
        <rFont val="Verdana"/>
        <family val="2"/>
      </rPr>
      <t xml:space="preserve"> La cifra respecto de la modalidad conmutada se refiere al número de conexiones distintas que se detectaron dentro del período informado.</t>
    </r>
  </si>
  <si>
    <r>
      <rPr>
        <b/>
        <sz val="8"/>
        <rFont val="Verdana"/>
        <family val="2"/>
      </rPr>
      <t xml:space="preserve">2 </t>
    </r>
    <r>
      <rPr>
        <sz val="8"/>
        <rFont val="Verdana"/>
        <family val="2"/>
      </rPr>
      <t>La modalidad dedicada corresponde al número de clientes con conexión punto a punto y las tecnologías de acceso x DLS, cable móden y WLL, entre otros.</t>
    </r>
  </si>
  <si>
    <r>
      <rPr>
        <b/>
        <sz val="8"/>
        <rFont val="Verdana"/>
        <family val="2"/>
      </rPr>
      <t xml:space="preserve">3 </t>
    </r>
    <r>
      <rPr>
        <sz val="8"/>
        <rFont val="Verdana"/>
        <family val="2"/>
      </rPr>
      <t>Las conexiones móviles dedicadas (3G) se encuentran disponibles sólo a nivel nacional, sin apertura por región.</t>
    </r>
  </si>
  <si>
    <r>
      <rPr>
        <b/>
        <sz val="8"/>
        <rFont val="Verdana"/>
        <family val="2"/>
      </rPr>
      <t>4</t>
    </r>
    <r>
      <rPr>
        <sz val="8"/>
        <rFont val="Verdana"/>
        <family val="2"/>
      </rPr>
      <t xml:space="preserve"> El total vertical general no cuadra porque en él se incluyen las conexiones móviles dedicadas (3G), sin apertura por región.</t>
    </r>
  </si>
  <si>
    <t>FUENTE: Subsecretaría de Telecomunicaciones (Subtel). Series estadísticas.</t>
  </si>
  <si>
    <t>TIPO DE SUSCRIPTOR</t>
  </si>
  <si>
    <t>Residenciales</t>
  </si>
  <si>
    <t>Comerciales</t>
  </si>
  <si>
    <t>Sin segmento</t>
  </si>
  <si>
    <t>FUENTE: Subsecretaría de Telecomunicaciones (Subtel) Series estadísticas.</t>
  </si>
  <si>
    <t>País</t>
  </si>
  <si>
    <r>
      <t>Modalidad dedicada</t>
    </r>
    <r>
      <rPr>
        <b/>
        <vertAlign val="superscript"/>
        <sz val="8"/>
        <rFont val="Verdana"/>
        <family val="2"/>
      </rPr>
      <t>/1</t>
    </r>
  </si>
  <si>
    <t>Tasa conexiones residenciales por cada 100 habitantes</t>
  </si>
  <si>
    <r>
      <rPr>
        <b/>
        <sz val="8"/>
        <rFont val="Verdana"/>
        <family val="2"/>
      </rPr>
      <t>1</t>
    </r>
    <r>
      <rPr>
        <sz val="8"/>
        <rFont val="Verdana"/>
        <family val="2"/>
      </rPr>
      <t xml:space="preserve"> La modalidad dedicada corresponde al número de clientes con conexión punto a punto y las tecnologías de acceso por DLS, cable móden y WLL, entre otros. Las empresas identificadas a nivel nacional no están presentes en todas las regiones.</t>
    </r>
  </si>
  <si>
    <t>Número de conexiones residenciales</t>
  </si>
  <si>
    <t>Residencial &gt; 256 KBPS</t>
  </si>
  <si>
    <t>FUENTE: Subsecretaría de Telecomunicaciones (SUBTEL).</t>
  </si>
  <si>
    <t>TRÁFICO</t>
  </si>
  <si>
    <t>Tráfico 2013 (miles min.)</t>
  </si>
  <si>
    <t>Porcentaje de usuarios con internet</t>
  </si>
  <si>
    <t>Penetración (fija/población)</t>
  </si>
  <si>
    <t>FUENTE: Unión Internacional de Telecomunicaciones de las Naciones Unidas (UIT). Subsecretaría de Telecomunicaciones (Subtel).</t>
  </si>
  <si>
    <t>PAÍS</t>
  </si>
  <si>
    <r>
      <t>PENETRACIÓN INTERNET (FIJO+MÓVIL)/POBL POR CADA 100 HABS.</t>
    </r>
    <r>
      <rPr>
        <b/>
        <vertAlign val="superscript"/>
        <sz val="8"/>
        <rFont val="Verdana"/>
        <family val="2"/>
      </rPr>
      <t>/1</t>
    </r>
  </si>
  <si>
    <r>
      <t>2013</t>
    </r>
    <r>
      <rPr>
        <b/>
        <vertAlign val="superscript"/>
        <sz val="8"/>
        <rFont val="Verdana"/>
        <family val="2"/>
      </rPr>
      <t>/2</t>
    </r>
  </si>
  <si>
    <t>Bolivia</t>
  </si>
  <si>
    <t>Alemania</t>
  </si>
  <si>
    <t>Australia</t>
  </si>
  <si>
    <t>Japón</t>
  </si>
  <si>
    <t>Inglaterra</t>
  </si>
  <si>
    <t>Francia</t>
  </si>
  <si>
    <t>Corea del Sur</t>
  </si>
  <si>
    <r>
      <rPr>
        <b/>
        <sz val="8"/>
        <rFont val="Verdana"/>
        <family val="2"/>
      </rPr>
      <t xml:space="preserve">1 </t>
    </r>
    <r>
      <rPr>
        <sz val="8"/>
        <rFont val="Verdana"/>
        <family val="2"/>
      </rPr>
      <t xml:space="preserve">Los datos de penetraciones UIT (fijo+móvil) provienen de la suma de los indicadores: Fixed (wired)-broadband subscriptions per 100 inhabitants  y Wireless-broadband subscriptions per 100 inhabitants. </t>
    </r>
  </si>
  <si>
    <r>
      <rPr>
        <b/>
        <sz val="8"/>
        <rFont val="Verdana"/>
        <family val="2"/>
      </rPr>
      <t xml:space="preserve">2 </t>
    </r>
    <r>
      <rPr>
        <sz val="8"/>
        <rFont val="Verdana"/>
        <family val="2"/>
      </rPr>
      <t>Se omitieron los datos en determinados años y países que no reportaron información para algún indicador. Los datos de Chile se encuentran actualizados de acuerdo a las series estadísticas existentes.</t>
    </r>
  </si>
  <si>
    <t>4.1 PUEBLOS ORIGINARIOS</t>
  </si>
  <si>
    <t>CUADRO 4.1-01: NÚMERO DE PERSONAS CON RECONOCIMIENTO DE CALIDAD INDÍGENA (LEY 19.253) POR SEXO Y UNIDAD OPERATIVA, SEGÚN REGIÓN. 2013</t>
  </si>
  <si>
    <t>CUADRO 4.1-02: DISTRIBUCIÓN DE POBLACIÓN POR PUEBLO ORIGINARIO, SEGÚN RECONOCIMIENTO DE PUEBLOS ORIGINARIOS (LEY N° 19.253). 2012-2013</t>
  </si>
  <si>
    <t>CUADRO 4.1-03: NÚMERO DE BECAS INDÍGENAS OTORGADAS POR NIVEL DE EDUCACIÓN Y SEXO SEGÚN REGIÓN. 2009-2013</t>
  </si>
  <si>
    <t>CUADRO 4.1-04: MONTO DE LA INVERSIÓN EN BECAS INDÍGENAS POR NIVEL DE EDUCACIÓN, SEGÚN REGIÓN. 2009-2013</t>
  </si>
  <si>
    <t>CUADRO 4.1-05: NÚMERO DE ALUMNOS INDÍGENAS BENEFICIARIOS DE BECAS INDÍGENAS POR NIVEL DE EDUCACIÓN, SEGÚN PUEBLO ORIGINARIO Y NIVEL DE EDUCACIÓN. 2009-2013</t>
  </si>
  <si>
    <t xml:space="preserve">CUADRO 4.1-06: NÚMERO DE BECAS OTORGADAS EN POST-GRADO POR SEXO, SEGÚN REGIÓN. 2009-2013 </t>
  </si>
  <si>
    <t>CUADRO 4.1-07: NÚMERO DE PROGRAMAS FONDO DE CULTURA POR UNIDAD OPERATIVA Y MONTO DE LA INVERSIÓN, SEGÚN REGIÓN. 2009-2013</t>
  </si>
  <si>
    <t>CUADRO 4.1-08: NÚMERO DE PROGRAMAS DE FONDO DE EDUCACIÓN POR UNIDAD OPERATIVA Y MONTO DE LA INVERSIÓN, SEGÚN REGIÓN. 2009-2013</t>
  </si>
  <si>
    <t>CUADRO 4.1-09: DISTRIBUCIÓN REGIONAL DE FONDOS CONCURSABLES PARA SUBSIDIOS DE CAPACITACIÓN Y ESPECIALIZACIÓN DE PROFESIONALES Y TÉCNICOS INDÍGENAS POR SEXO, SEGÚN REGIÓN. 2009-2013</t>
  </si>
  <si>
    <t>CUADRO 4.1-10: NÚMERO DE PROYECTOS DEL FONDO DE DESARROLLO INDÍGENA (FDI) Y MONTO DE LA INVERSIÓN, SEGÚN REGIÓN Y UNIDAD OPERATIVA. 2009-2013</t>
  </si>
  <si>
    <t>CUADRO 4.1-11: NÚMERO DE INSCRIPCIONES EN EL REGISTRO PÚBLICO DE TIERRAS INDÍGENAS EMITIDOS, SEGÚN REGISTRO PÚBLICO Y REGIÓN. 2009-2013</t>
  </si>
  <si>
    <t>N° Certificados</t>
  </si>
  <si>
    <t>Unidad operativa</t>
  </si>
  <si>
    <t xml:space="preserve">Hombre </t>
  </si>
  <si>
    <t xml:space="preserve">Mujer </t>
  </si>
  <si>
    <t>Dirección regional Arica y Parinacota</t>
  </si>
  <si>
    <t>Subdirección nacional Iquique</t>
  </si>
  <si>
    <t>Oficina de asuntos indígenas San Pedro de Atacama</t>
  </si>
  <si>
    <t>Oficina Conadi Copiapó</t>
  </si>
  <si>
    <t>Oficina de asuntos indígenas Santiago</t>
  </si>
  <si>
    <r>
      <t>Valparaíso (continental)</t>
    </r>
    <r>
      <rPr>
        <b/>
        <vertAlign val="superscript"/>
        <sz val="8"/>
        <rFont val="Verdana"/>
        <family val="2"/>
      </rPr>
      <t>/1</t>
    </r>
  </si>
  <si>
    <r>
      <t>Valparaíso (insular)</t>
    </r>
    <r>
      <rPr>
        <b/>
        <vertAlign val="superscript"/>
        <sz val="8"/>
        <rFont val="Verdana"/>
        <family val="2"/>
      </rPr>
      <t>/2</t>
    </r>
  </si>
  <si>
    <t>Oficina de asuntos indígenas Isla de Pascua</t>
  </si>
  <si>
    <t>Dirección regional Cañete</t>
  </si>
  <si>
    <t>Subdirección nacional Temuco</t>
  </si>
  <si>
    <t>Dirección regional Valdivia</t>
  </si>
  <si>
    <t>Dirección regional Osorno</t>
  </si>
  <si>
    <t>Oficina Conadi Cohyaique</t>
  </si>
  <si>
    <t>Oficina de asuntos indígenas Punta Arenas</t>
  </si>
  <si>
    <r>
      <rPr>
        <b/>
        <sz val="8"/>
        <rFont val="Verdana"/>
        <family val="2"/>
      </rPr>
      <t>1</t>
    </r>
    <r>
      <rPr>
        <sz val="8"/>
        <rFont val="Verdana"/>
        <family val="2"/>
      </rPr>
      <t xml:space="preserve"> Excluye la comuna de Isla de Pascua.</t>
    </r>
  </si>
  <si>
    <r>
      <rPr>
        <b/>
        <sz val="8"/>
        <rFont val="Verdana"/>
        <family val="2"/>
      </rPr>
      <t xml:space="preserve">2 </t>
    </r>
    <r>
      <rPr>
        <sz val="8"/>
        <rFont val="Verdana"/>
        <family val="2"/>
      </rPr>
      <t>Sólo considera la comuna de Isla de Pascua.</t>
    </r>
  </si>
  <si>
    <t>FUENTE: Corporación Nacional de Desarrollo Indígena (Conadi).</t>
  </si>
  <si>
    <t>PUEBLO INDÍGENA</t>
  </si>
  <si>
    <t>Población por pueblo</t>
  </si>
  <si>
    <t>Mapuche</t>
  </si>
  <si>
    <t>Atacameño</t>
  </si>
  <si>
    <t>Quechua</t>
  </si>
  <si>
    <t>Colla</t>
  </si>
  <si>
    <t>Diaguita</t>
  </si>
  <si>
    <t>Kawashkar</t>
  </si>
  <si>
    <t>Yagán</t>
  </si>
  <si>
    <t>Total regional 2009</t>
  </si>
  <si>
    <t>Educación básica</t>
  </si>
  <si>
    <t>Educación media</t>
  </si>
  <si>
    <t>Educación superior</t>
  </si>
  <si>
    <t>TOTAL REGIONAL 2010</t>
  </si>
  <si>
    <t>Cobertura</t>
  </si>
  <si>
    <t>FUENTE: Corporación Nacional de Desarrollo Indígena (Conadi) - Junta Nacional de Auxilio Escolar y Becas (Junaeb).</t>
  </si>
  <si>
    <t>(CONTINUACIÓN CUADRO 99)</t>
  </si>
  <si>
    <t>Total regional 2011</t>
  </si>
  <si>
    <t>TOTAL REGIONAL 2012</t>
  </si>
  <si>
    <t>FUENTE: Corporación Nacional de Desarrollo Indígena (Conadi). Junta Nacional de Auxilio Escolar y Becas (Junaeb).</t>
  </si>
  <si>
    <t>Total regional 2013</t>
  </si>
  <si>
    <t>Monto de la inversión</t>
  </si>
  <si>
    <t>Nivel de la educación</t>
  </si>
  <si>
    <t>Básica</t>
  </si>
  <si>
    <t>Media</t>
  </si>
  <si>
    <t>Superior</t>
  </si>
  <si>
    <t>PUEBLO ORIGINARIO</t>
  </si>
  <si>
    <t xml:space="preserve">Educación superior </t>
  </si>
  <si>
    <t>Kawhaskar</t>
  </si>
  <si>
    <t>Yagan</t>
  </si>
  <si>
    <r>
      <t>2009</t>
    </r>
    <r>
      <rPr>
        <b/>
        <vertAlign val="superscript"/>
        <sz val="8"/>
        <rFont val="Verdana"/>
        <family val="2"/>
      </rPr>
      <t>/1</t>
    </r>
  </si>
  <si>
    <r>
      <t>2010</t>
    </r>
    <r>
      <rPr>
        <b/>
        <vertAlign val="superscript"/>
        <sz val="8"/>
        <rFont val="Verdana"/>
        <family val="2"/>
      </rPr>
      <t>/1</t>
    </r>
  </si>
  <si>
    <r>
      <rPr>
        <b/>
        <sz val="8"/>
        <rFont val="Verdana"/>
        <family val="2"/>
      </rPr>
      <t xml:space="preserve">1 </t>
    </r>
    <r>
      <rPr>
        <sz val="8"/>
        <rFont val="Verdana"/>
        <family val="2"/>
      </rPr>
      <t>No se dispone de información desagregada por sexo para este año.</t>
    </r>
  </si>
  <si>
    <t>FUENTE: Corporación Nacional de Desarrollo Indígena (Conadi). Unidad de Cultura y Educación.</t>
  </si>
  <si>
    <t>CULTURA 2009</t>
  </si>
  <si>
    <t>CULTURA 2010</t>
  </si>
  <si>
    <r>
      <t>DIF</t>
    </r>
    <r>
      <rPr>
        <b/>
        <vertAlign val="superscript"/>
        <sz val="8"/>
        <color theme="1"/>
        <rFont val="Verdana"/>
        <family val="2"/>
      </rPr>
      <t>/1</t>
    </r>
  </si>
  <si>
    <r>
      <t>DIF</t>
    </r>
    <r>
      <rPr>
        <b/>
        <vertAlign val="superscript"/>
        <sz val="8"/>
        <color theme="1"/>
        <rFont val="Verdana"/>
        <family val="2"/>
      </rPr>
      <t>/1</t>
    </r>
    <r>
      <rPr>
        <b/>
        <sz val="8"/>
        <color theme="1"/>
        <rFont val="Verdana"/>
        <family val="2"/>
      </rPr>
      <t xml:space="preserve"> ($)</t>
    </r>
  </si>
  <si>
    <r>
      <t>LEN</t>
    </r>
    <r>
      <rPr>
        <b/>
        <vertAlign val="superscript"/>
        <sz val="8"/>
        <color theme="1"/>
        <rFont val="Verdana"/>
        <family val="2"/>
      </rPr>
      <t>/2</t>
    </r>
  </si>
  <si>
    <r>
      <t>LEN</t>
    </r>
    <r>
      <rPr>
        <b/>
        <vertAlign val="superscript"/>
        <sz val="8"/>
        <color theme="1"/>
        <rFont val="Verdana"/>
        <family val="2"/>
      </rPr>
      <t>/2</t>
    </r>
    <r>
      <rPr>
        <b/>
        <sz val="8"/>
        <color theme="1"/>
        <rFont val="Verdana"/>
        <family val="2"/>
      </rPr>
      <t xml:space="preserve"> ($)</t>
    </r>
  </si>
  <si>
    <r>
      <t>PAT</t>
    </r>
    <r>
      <rPr>
        <b/>
        <vertAlign val="superscript"/>
        <sz val="8"/>
        <color theme="1"/>
        <rFont val="Verdana"/>
        <family val="2"/>
      </rPr>
      <t>/3</t>
    </r>
  </si>
  <si>
    <r>
      <t>PAT</t>
    </r>
    <r>
      <rPr>
        <b/>
        <vertAlign val="superscript"/>
        <sz val="8"/>
        <color theme="1"/>
        <rFont val="Verdana"/>
        <family val="2"/>
      </rPr>
      <t>/3</t>
    </r>
    <r>
      <rPr>
        <b/>
        <sz val="8"/>
        <color theme="1"/>
        <rFont val="Verdana"/>
        <family val="2"/>
      </rPr>
      <t xml:space="preserve"> ($)</t>
    </r>
  </si>
  <si>
    <t>N° TOTAL</t>
  </si>
  <si>
    <t>Monto Total ($)</t>
  </si>
  <si>
    <t>Tarapacá / Atacama</t>
  </si>
  <si>
    <t>Coquimbo / Valparaíso cont. / Metropolitana / O'Higgins</t>
  </si>
  <si>
    <t>Bíobío</t>
  </si>
  <si>
    <t>Los Lagos / Aysén</t>
  </si>
  <si>
    <t>Varias</t>
  </si>
  <si>
    <t>Dirección nacional</t>
  </si>
  <si>
    <r>
      <rPr>
        <b/>
        <sz val="8"/>
        <color theme="1"/>
        <rFont val="Verdana"/>
        <family val="2"/>
      </rPr>
      <t>1</t>
    </r>
    <r>
      <rPr>
        <sz val="8"/>
        <color theme="1"/>
        <rFont val="Verdana"/>
        <family val="2"/>
      </rPr>
      <t xml:space="preserve"> DIF: Programa de Difusión y Fomento de las Culturas Indígenas.</t>
    </r>
  </si>
  <si>
    <r>
      <rPr>
        <b/>
        <sz val="8"/>
        <color theme="1"/>
        <rFont val="Verdana"/>
        <family val="2"/>
      </rPr>
      <t>2</t>
    </r>
    <r>
      <rPr>
        <sz val="8"/>
        <color theme="1"/>
        <rFont val="Verdana"/>
        <family val="2"/>
      </rPr>
      <t xml:space="preserve"> LEN: Programa de Recuperación y Revitalización de las Lenguas Indígenas.
</t>
    </r>
  </si>
  <si>
    <r>
      <rPr>
        <b/>
        <sz val="8"/>
        <color theme="1"/>
        <rFont val="Verdana"/>
        <family val="2"/>
      </rPr>
      <t>3</t>
    </r>
    <r>
      <rPr>
        <sz val="8"/>
        <color theme="1"/>
        <rFont val="Verdana"/>
        <family val="2"/>
      </rPr>
      <t xml:space="preserve"> PAT: Programa Manejo y Protección del Patrimonio Cultural Indígena.</t>
    </r>
  </si>
  <si>
    <t>(CONTINUACIÓN CUADRO 4.1-07: NÚMERO DE PROGRAMAS FONDO DE CULTURA POR UNIDAD OPERATIVA Y MONTO DE LA INVERSIÓN, SEGÚN REGIÓN. 2009-2013)</t>
  </si>
  <si>
    <t>CULTURA 2011</t>
  </si>
  <si>
    <t>CULTURA 2012</t>
  </si>
  <si>
    <t>Dirección Nacional</t>
  </si>
  <si>
    <t>CULTURA 2013</t>
  </si>
  <si>
    <t>EDUCACIÓN 2009</t>
  </si>
  <si>
    <t>EDUCACIÓN 2010</t>
  </si>
  <si>
    <r>
      <t>EIB</t>
    </r>
    <r>
      <rPr>
        <b/>
        <vertAlign val="superscript"/>
        <sz val="8"/>
        <color theme="1"/>
        <rFont val="Verdana"/>
        <family val="2"/>
      </rPr>
      <t>/1</t>
    </r>
  </si>
  <si>
    <r>
      <t>EIB</t>
    </r>
    <r>
      <rPr>
        <b/>
        <vertAlign val="superscript"/>
        <sz val="8"/>
        <color theme="1"/>
        <rFont val="Verdana"/>
        <family val="2"/>
      </rPr>
      <t>/1</t>
    </r>
    <r>
      <rPr>
        <b/>
        <sz val="8"/>
        <color theme="1"/>
        <rFont val="Verdana"/>
        <family val="2"/>
      </rPr>
      <t xml:space="preserve"> ($)</t>
    </r>
  </si>
  <si>
    <r>
      <t>CAP</t>
    </r>
    <r>
      <rPr>
        <b/>
        <vertAlign val="superscript"/>
        <sz val="8"/>
        <color theme="1"/>
        <rFont val="Verdana"/>
        <family val="2"/>
      </rPr>
      <t>/2</t>
    </r>
  </si>
  <si>
    <r>
      <t>CAP</t>
    </r>
    <r>
      <rPr>
        <b/>
        <vertAlign val="superscript"/>
        <sz val="8"/>
        <color theme="1"/>
        <rFont val="Verdana"/>
        <family val="2"/>
      </rPr>
      <t>/2</t>
    </r>
    <r>
      <rPr>
        <b/>
        <sz val="8"/>
        <color theme="1"/>
        <rFont val="Verdana"/>
        <family val="2"/>
      </rPr>
      <t xml:space="preserve"> ($)</t>
    </r>
  </si>
  <si>
    <r>
      <rPr>
        <b/>
        <sz val="8"/>
        <color theme="1"/>
        <rFont val="Verdana"/>
        <family val="2"/>
      </rPr>
      <t>1</t>
    </r>
    <r>
      <rPr>
        <sz val="8"/>
        <color theme="1"/>
        <rFont val="Verdana"/>
        <family val="2"/>
      </rPr>
      <t xml:space="preserve"> EIB: Programa de Aplicación del Diseño Curricular y pedagógico Intercultural Bilingüe (EIB).
</t>
    </r>
  </si>
  <si>
    <r>
      <rPr>
        <b/>
        <sz val="8"/>
        <color theme="1"/>
        <rFont val="Verdana"/>
        <family val="2"/>
      </rPr>
      <t>2</t>
    </r>
    <r>
      <rPr>
        <sz val="8"/>
        <color theme="1"/>
        <rFont val="Verdana"/>
        <family val="2"/>
      </rPr>
      <t xml:space="preserve"> CAP: Programa Subsidio a la Capacitación y Especialización de Indígenas.</t>
    </r>
  </si>
  <si>
    <t>(CONTINUACIÓN CUADRO 4.1-08: NÚMERO DE PROGRAMAS DE FONDO DE EDUCACIÓN POR UNIDAD OPERATIVA Y MONTO DE LA INVERSIÓN, SEGÚN REGIÓN. 2009-2013)</t>
  </si>
  <si>
    <t>EDUCACIÓN 2011</t>
  </si>
  <si>
    <t>EDUCACIÓN 2012</t>
  </si>
  <si>
    <t>EDUCACIÓN 2013</t>
  </si>
  <si>
    <t>Hombre</t>
  </si>
  <si>
    <t>Mujer</t>
  </si>
  <si>
    <t>Monto ($)</t>
  </si>
  <si>
    <r>
      <t>Hombre</t>
    </r>
    <r>
      <rPr>
        <b/>
        <vertAlign val="superscript"/>
        <sz val="8"/>
        <rFont val="Verdana"/>
        <family val="2"/>
      </rPr>
      <t>/1</t>
    </r>
  </si>
  <si>
    <r>
      <rPr>
        <b/>
        <sz val="8"/>
        <rFont val="Verdana"/>
        <family val="2"/>
      </rPr>
      <t xml:space="preserve">1  </t>
    </r>
    <r>
      <rPr>
        <sz val="8"/>
        <rFont val="Verdana"/>
        <family val="2"/>
      </rPr>
      <t xml:space="preserve">La institución no dispone del total de la información desagregada por sexo para el año 2013. </t>
    </r>
  </si>
  <si>
    <t>N° proyectos</t>
  </si>
  <si>
    <t>Tarapacá/Atacama</t>
  </si>
  <si>
    <t>Coquimbo/Valparaíso cont./Metropolitana/O'Higgins</t>
  </si>
  <si>
    <t>Los Lagos/Aysén</t>
  </si>
  <si>
    <t>REGISTRO PÚBLICO Y REGIÓN</t>
  </si>
  <si>
    <t>Norte</t>
  </si>
  <si>
    <t>Centro Sur</t>
  </si>
  <si>
    <t>Sur</t>
  </si>
  <si>
    <t>Magallanes y Aysén</t>
  </si>
  <si>
    <r>
      <t>Insular Rapa Nui</t>
    </r>
    <r>
      <rPr>
        <b/>
        <vertAlign val="superscript"/>
        <sz val="8"/>
        <color theme="1"/>
        <rFont val="Verdana"/>
        <family val="2"/>
      </rPr>
      <t>/1</t>
    </r>
  </si>
  <si>
    <r>
      <rPr>
        <b/>
        <sz val="8"/>
        <color indexed="8"/>
        <rFont val="Verdana"/>
        <family val="2"/>
      </rPr>
      <t xml:space="preserve">1 </t>
    </r>
    <r>
      <rPr>
        <sz val="8"/>
        <color indexed="8"/>
        <rFont val="Verdana"/>
        <family val="2"/>
      </rPr>
      <t>EL RPTI Insular Rapa Nui, comprende las tierras correspondientes a la provincia Isla de Pascua de la Región de Valparaíso.</t>
    </r>
  </si>
  <si>
    <t>4.2 DEPORTE</t>
  </si>
  <si>
    <t>CUADRO 4.2-01: NÚMERO DE ORGANIZACIONES DEPORTIVAS INSCRITAS EN EL REGISTRO, SEGÚN REGIÓN. 2009-2013</t>
  </si>
  <si>
    <t>CUADRO 4.2-02: NÚMERO DE PROYECTOS DEL FONDO NACIONAL DE FOMENTO PARA EL DEPORTE APROBADOS Y MONTOS, SEGÚN MODALIDAD DE ASIGNACIÓN. 2013</t>
  </si>
  <si>
    <t>CUADRO 4.2-03: NÚMERO DE PROYECTOS DEL FONDO NACIONAL DE FOMENTO PARA EL DEPORTE APROBADOS Y MONTO, SEGÚN CATEGORÍA DEPORTIVA. 2013</t>
  </si>
  <si>
    <t>CUADRO 4.2-04: NÚMERO DE PERSONAS BENEFICIADAS CON LOS PROYECTOS APROBADOS POR SEXO, SEGÚN MODALIDAD DE ASIGNACIÓN. 2013</t>
  </si>
  <si>
    <t>CUADRO 4.2-05: NÚMERO DE COMUNAS BENEFICIADAS CON LOS PROYECTOS APROBADOS, SEGÚN MODALIDAD DE ASIGNACIÓN. 2010-2013</t>
  </si>
  <si>
    <t>CUADRO 4.2-06: NÚMERO DE PROYECTOS APROBADOS POR EL REGISTRO NACIONAL DE DONACIONES CON FINES DEPORTIVOS A TRAVÉS DEL SISTEMA DE FRANQUICIA TRIBUTARIA Y MONTO TOTAL DEL FINANCIAMIENTO EJECUTADO. 2009-2013</t>
  </si>
  <si>
    <t>CUADRO 4.2-07: NÚMERO DE PERSONAS PARTICIPANTES EN PROGRAMAS DE DEPORTE MASIVO/1, SEGÚN TIPO DE COMPETENCIAS. 2011-2013</t>
  </si>
  <si>
    <t>CUADRO 4.2-08: NÚMERO DE COMPETENCIAS, SEGÚN PROGRAMA DE DEPORTE MASIVO/1</t>
  </si>
  <si>
    <t>CUADRO 4.2-09:  NÚMERO DE DEPORTISTAS EN PROGRAMAS DE ALTO RENDIMIENTO (PRODDAR), POR SEXO, SEGÚN REGIÓN Y DISCIPLINA. 2013</t>
  </si>
  <si>
    <t>CUADRO 4.2-10:  NÚMERO DE DEPORTISTAS EN PROGRAMAS PRE-PRODDAR, POR SEXO, SEGÚN REGIÓN Y DISCIPLINA. 2013</t>
  </si>
  <si>
    <t>CUADRO 4.2-11: NÚMERO DE RECINTOS ENTREGADOS POR ENCARGO DE GESTIÓN, SEGÚN REGIÓN 2012-2013</t>
  </si>
  <si>
    <t>CUADRO 4.2-12: FUNCIONES DE ESPECTÁCULOS PÚBLICOS DEPORTIVOS POR TIPO DE ESPECTÁCULO, SEGÚN REGIÓN. 2013</t>
  </si>
  <si>
    <t>CUADRO 4.2-13: NÚMERO DE FUNCIONES DE ESPECTÁCULOS PÚBLICOS DEPORTIVOS, POR TIPO DE ESPECTÁCULO. 2009-2013</t>
  </si>
  <si>
    <t>CUADRO 4.2-14: NÚMERO DE ESPECTADORES QUE ASISTEN A LA REALIZACIÓN DE ESPECTÁCULOS PÚBLICOS DEPORTIVOS PAGANDO ENTRADA POR TIPO DE ESPECTÁCULO DEPORTIVO, SEGÚN REGIÓN. 2013</t>
  </si>
  <si>
    <t>CUADRO 4.2-15: NÚMERO DE ASISTENTES A ESPECTÁCULOS PÚBLICOS DEPORTIVOS, PAGANDO ENTRADA, POR TIPO DE ESPECTÁCULO. 2009-2013</t>
  </si>
  <si>
    <t>CUADRO 4.2-16: NÚMERO DE ESPECTADORES  QUE ASISTEN A LA REALIZACIÓN DE ESPECTÁCULOS PÚBLICOS DEPORTIVOS CON ENTRADA GRATUITA POR TIPO DE ESPECTÁCULO DEPORTIVO, SEGÚN REGIÓN. 2013</t>
  </si>
  <si>
    <t>CUADRO 4.2-17: NÚMERO DE ASISTENTES A ESPECTÁCULOS PÚBLICOS DEPORTIVOS, ENTRADA GRATUITA, POR TIPO DE ESPECTÁCULO. 2009-2013</t>
  </si>
  <si>
    <t>CUADRO 4.2-18: NÚMERO DE ESPECTADORES ASISTENTES A ESPECTÁCULOS PÚBLICOS DEPORTIVOS CON ENTRADA GRATUITA Y PAGADA POR MES, SEGÚN REGIÓN. 2013</t>
  </si>
  <si>
    <t>Organizaciones deportivas inscritas</t>
  </si>
  <si>
    <r>
      <rPr>
        <b/>
        <sz val="8"/>
        <rFont val="Verdana"/>
        <family val="2"/>
      </rPr>
      <t xml:space="preserve">1 </t>
    </r>
    <r>
      <rPr>
        <sz val="8"/>
        <rFont val="Verdana"/>
        <family val="2"/>
      </rPr>
      <t>El año 2011 contiene información hasta el mes de junio del año 2012.</t>
    </r>
  </si>
  <si>
    <r>
      <rPr>
        <b/>
        <sz val="8"/>
        <rFont val="Verdana"/>
        <family val="2"/>
      </rPr>
      <t xml:space="preserve">2 </t>
    </r>
    <r>
      <rPr>
        <sz val="8"/>
        <rFont val="Verdana"/>
        <family val="2"/>
      </rPr>
      <t>El año 2012 contiene información hasta el mes de abril del año 2013.</t>
    </r>
  </si>
  <si>
    <t>FUENTE: Instituto Nacional de Deportes (IND). Departamento de organizaciones deportivas.</t>
  </si>
  <si>
    <t>MODALIDAD DE ASIGNACIÓN</t>
  </si>
  <si>
    <t>Inscritos</t>
  </si>
  <si>
    <t>Proyectos (N°)</t>
  </si>
  <si>
    <t>Monto (M$)</t>
  </si>
  <si>
    <t>Concurso</t>
  </si>
  <si>
    <t>Asignación directa</t>
  </si>
  <si>
    <t>Concurso artículo 48</t>
  </si>
  <si>
    <t>FUENTE: Instituto Nacional de Deportes (IND). Sistema de administración de proyectos (Sisap) 2013.</t>
  </si>
  <si>
    <t>CATEGORÍA DEPORTIVA</t>
  </si>
  <si>
    <t>Formación para el deporte</t>
  </si>
  <si>
    <t>Deporte recreativo</t>
  </si>
  <si>
    <t>Deporte de competición</t>
  </si>
  <si>
    <t>Infraestructura (obra menor)</t>
  </si>
  <si>
    <t>Ciencias del deporte</t>
  </si>
  <si>
    <t>Deporte de alto rendimiento</t>
  </si>
  <si>
    <t>FUENTE: Instituto Nacional de Deportes (IND). Sistema de administración de proyectos (Sisap) 2012.</t>
  </si>
  <si>
    <t>Personas beneficiadas</t>
  </si>
  <si>
    <t>Concurso art. 48</t>
  </si>
  <si>
    <t xml:space="preserve"> Número de comunas beneficiadas</t>
  </si>
  <si>
    <t>… No registró movimiento</t>
  </si>
  <si>
    <t>PROYECTOS FINANCIADOS Y MONTO EJECUTADO</t>
  </si>
  <si>
    <t>Número de proyectos aprobados</t>
  </si>
  <si>
    <t>N° de proyectos financiados</t>
  </si>
  <si>
    <t>Monto ejecutado MM$</t>
  </si>
  <si>
    <t xml:space="preserve">FUENTE: Instituto Nacional de Deportes (IND). </t>
  </si>
  <si>
    <r>
      <t>CUADRO 4.2-07: NÚMERO DE PERSONAS PARTICIPANTES EN PROGRAMAS DE DEPORTE MASIVO</t>
    </r>
    <r>
      <rPr>
        <b/>
        <vertAlign val="superscript"/>
        <sz val="8"/>
        <rFont val="Verdana"/>
        <family val="2"/>
      </rPr>
      <t>/1</t>
    </r>
    <r>
      <rPr>
        <b/>
        <sz val="8"/>
        <rFont val="Verdana"/>
        <family val="2"/>
      </rPr>
      <t>, SEGÚN TIPO DE COMPETENCIAS. 2011-2013</t>
    </r>
  </si>
  <si>
    <r>
      <t>TIPO DE COMPETENCIAS</t>
    </r>
    <r>
      <rPr>
        <b/>
        <vertAlign val="superscript"/>
        <sz val="8"/>
        <rFont val="Verdana"/>
        <family val="2"/>
      </rPr>
      <t>/2</t>
    </r>
  </si>
  <si>
    <t>Número de personas participantes</t>
  </si>
  <si>
    <t xml:space="preserve">Juegos de integración </t>
  </si>
  <si>
    <t>Juegos deportivos escolares</t>
  </si>
  <si>
    <t>Juegos sudamericanos</t>
  </si>
  <si>
    <t>Ligas deportivas de educación superior</t>
  </si>
  <si>
    <t>Ligas deportivas escolares</t>
  </si>
  <si>
    <t>Juegos deportivos nacionales</t>
  </si>
  <si>
    <t>Tour IND</t>
  </si>
  <si>
    <t>Hijos de mujeres temporeras</t>
  </si>
  <si>
    <t xml:space="preserve">Recintos nuestros </t>
  </si>
  <si>
    <t xml:space="preserve">Escuelas deportivas </t>
  </si>
  <si>
    <t>Seguridad en el agua</t>
  </si>
  <si>
    <t>Jóvenes en movimiento</t>
  </si>
  <si>
    <t>Parques públicos</t>
  </si>
  <si>
    <t>Recintos militares</t>
  </si>
  <si>
    <t>Senderismo</t>
  </si>
  <si>
    <t xml:space="preserve">Mujer y deportes </t>
  </si>
  <si>
    <t>Escuelas de fútbol</t>
  </si>
  <si>
    <t>Adulto mayor en movimiento</t>
  </si>
  <si>
    <t>Deporte en tu calle</t>
  </si>
  <si>
    <t>Encuentros deportivos de verano</t>
  </si>
  <si>
    <t>Interescolar de atletismo</t>
  </si>
  <si>
    <t>Competencias gestionadas por direcciones regionales</t>
  </si>
  <si>
    <t>Vuelta ciclística</t>
  </si>
  <si>
    <r>
      <rPr>
        <b/>
        <sz val="8"/>
        <rFont val="Verdana"/>
        <family val="2"/>
      </rPr>
      <t xml:space="preserve">1 </t>
    </r>
    <r>
      <rPr>
        <sz val="8"/>
        <rFont val="Verdana"/>
        <family val="2"/>
      </rPr>
      <t>En el año 2012 cambió de nombre de "deporte competitivo" a "deporte masivo", aumentando las categorías existentes al año 2011.</t>
    </r>
  </si>
  <si>
    <r>
      <rPr>
        <b/>
        <sz val="8"/>
        <rFont val="Verdana"/>
        <family val="2"/>
      </rPr>
      <t xml:space="preserve">2 </t>
    </r>
    <r>
      <rPr>
        <sz val="8"/>
        <rFont val="Verdana"/>
        <family val="2"/>
      </rPr>
      <t>En el año 2013, se implementan los programas "juegos deportivos nacionales" y "encuentros deportivos de verano".</t>
    </r>
  </si>
  <si>
    <r>
      <t>CUADRO 4.2-08: NÚMERO DE COMPETENCIAS, SEGÚN PROGRAMA DE DEPORTE MASIVO</t>
    </r>
    <r>
      <rPr>
        <b/>
        <vertAlign val="superscript"/>
        <sz val="8"/>
        <rFont val="Verdana"/>
        <family val="2"/>
      </rPr>
      <t>/1</t>
    </r>
  </si>
  <si>
    <t>PROGRAMA DE DEPORTE MASIVO</t>
  </si>
  <si>
    <t>Número de competencias</t>
  </si>
  <si>
    <r>
      <t>Juegos deportivos nacionales</t>
    </r>
    <r>
      <rPr>
        <vertAlign val="superscript"/>
        <sz val="8"/>
        <color theme="1"/>
        <rFont val="Verdana"/>
        <family val="2"/>
      </rPr>
      <t>/2</t>
    </r>
  </si>
  <si>
    <t>Sudamericano escolar</t>
  </si>
  <si>
    <t>Juegos de integración</t>
  </si>
  <si>
    <r>
      <rPr>
        <b/>
        <sz val="8"/>
        <rFont val="Verdana"/>
        <family val="2"/>
      </rPr>
      <t xml:space="preserve">1 </t>
    </r>
    <r>
      <rPr>
        <sz val="8"/>
        <rFont val="Verdana"/>
        <family val="2"/>
      </rPr>
      <t>Cambió de nombre de "deporte competitivo" a "deporte masivo", aumentando las categorías existentes al año 2011.</t>
    </r>
  </si>
  <si>
    <r>
      <rPr>
        <b/>
        <sz val="8"/>
        <rFont val="Verdana"/>
        <family val="2"/>
      </rPr>
      <t xml:space="preserve">2 </t>
    </r>
    <r>
      <rPr>
        <sz val="8"/>
        <rFont val="Verdana"/>
        <family val="2"/>
      </rPr>
      <t>No se dispone de información para el programa juegos deportivos nacionales durante el año 2012, debido a que comenzó a implementarse en el año 2013.</t>
    </r>
  </si>
  <si>
    <t>REGIÓN Y DISCIPLINA</t>
  </si>
  <si>
    <t>Deportistas en programa PRODDAR</t>
  </si>
  <si>
    <t>Atletismo</t>
  </si>
  <si>
    <t>Levantamiento de pesas</t>
  </si>
  <si>
    <t>Judo</t>
  </si>
  <si>
    <t>Ciclismo</t>
  </si>
  <si>
    <t>Tiro al blanco</t>
  </si>
  <si>
    <t>Balonmano</t>
  </si>
  <si>
    <t>Gimnasia</t>
  </si>
  <si>
    <t>Navegación a vela</t>
  </si>
  <si>
    <t>Remo</t>
  </si>
  <si>
    <t>Canotaje</t>
  </si>
  <si>
    <t>Ecuestre</t>
  </si>
  <si>
    <t>Esgrima</t>
  </si>
  <si>
    <t>Esquí náutico</t>
  </si>
  <si>
    <t>Hockey césped</t>
  </si>
  <si>
    <t>Hockey y patinaje</t>
  </si>
  <si>
    <t>Kárate</t>
  </si>
  <si>
    <t>Lucha</t>
  </si>
  <si>
    <t>Natación</t>
  </si>
  <si>
    <t>Pentathlón</t>
  </si>
  <si>
    <t>Paralímpica</t>
  </si>
  <si>
    <t>Racquetball</t>
  </si>
  <si>
    <t>Ski y Snowboard</t>
  </si>
  <si>
    <t>Taekwondo</t>
  </si>
  <si>
    <t>Tenis de mesa</t>
  </si>
  <si>
    <t>Tenis</t>
  </si>
  <si>
    <t>Tiro al vuelo</t>
  </si>
  <si>
    <t>Tiro con arco</t>
  </si>
  <si>
    <t>Triatlón</t>
  </si>
  <si>
    <t>Voleibol</t>
  </si>
  <si>
    <t>Boxeo</t>
  </si>
  <si>
    <t>Deportistas en programa Pre-Proddar</t>
  </si>
  <si>
    <t>Esqui náutico</t>
  </si>
  <si>
    <t>Karate</t>
  </si>
  <si>
    <t>Pentathlon</t>
  </si>
  <si>
    <t>FUENTE: Instituto Nacional de Deportes (IND). Departamento de Gestión de Recintos Deportivos.</t>
  </si>
  <si>
    <t>Fútbol amateur</t>
  </si>
  <si>
    <t>Fútbol profesional</t>
  </si>
  <si>
    <t>Babyfútbol</t>
  </si>
  <si>
    <t>Básquetbol</t>
  </si>
  <si>
    <r>
      <rPr>
        <b/>
        <sz val="8"/>
        <rFont val="Verdana"/>
        <family val="2"/>
      </rPr>
      <t xml:space="preserve">1 </t>
    </r>
    <r>
      <rPr>
        <sz val="8"/>
        <rFont val="Verdana"/>
        <family val="2"/>
      </rPr>
      <t>Los datos se refieren exclusivamente al movimiento registrado por los estadios, centros deportivos, complejos deportivos y similares que respondieron la Encuesta INE, declarando haber presentado espectáculos deportivos por lo menos una vez en el año.</t>
    </r>
  </si>
  <si>
    <r>
      <rPr>
        <b/>
        <sz val="8"/>
        <rFont val="Verdana"/>
        <family val="2"/>
      </rPr>
      <t xml:space="preserve">1 </t>
    </r>
    <r>
      <rPr>
        <sz val="8"/>
        <rFont val="Verdana"/>
        <family val="2"/>
      </rPr>
      <t>Los datos se refieren exclusivamente al movimiento registrado por los teatros, centros culturales y similares que respondieron la Encuesta INE, declarando haber presentado espectáculos deportivos por lo menos una vez en el año.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</si>
</sst>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164" formatCode="_-* #,##0_-;\-* #,##0_-;_-* &quot;-&quot;_-;_-@_-"/>
    <numFmt numFmtId="165" formatCode="_-* #,##0.00_-;\-* #,##0.00_-;_-* &quot;-&quot;??_-;_-@_-"/>
    <numFmt numFmtId="166" formatCode="_-* #,##0_-;\-* #,##0_-;_-* &quot;-&quot;??_-;_-@_-"/>
    <numFmt numFmtId="167" formatCode="#,##0_ ;\-#,##0\ "/>
    <numFmt numFmtId="168" formatCode="0_ ;\-0\ "/>
    <numFmt numFmtId="169" formatCode="_-* #,##0.0_-;\-* #,##0.0_-;_-* &quot;-&quot;??_-;_-@_-"/>
    <numFmt numFmtId="170" formatCode="0.0"/>
    <numFmt numFmtId="171" formatCode="0.000%"/>
    <numFmt numFmtId="172" formatCode="[$-C0A]mmmm\-yy;@"/>
    <numFmt numFmtId="173" formatCode="###0"/>
    <numFmt numFmtId="174" formatCode="_-&quot;$&quot;\ * #,##0.00_-;\-&quot;$&quot;\ * #,##0.00_-;_-&quot;$&quot;\ * &quot;-&quot;??_-;_-@_-"/>
    <numFmt numFmtId="175" formatCode="&quot;$&quot;\ #,##0"/>
    <numFmt numFmtId="176" formatCode="_-&quot;$&quot;\ * #,##0_-;\-&quot;$&quot;\ * #,##0_-;_-&quot;$&quot;\ * &quot;-&quot;??_-;_-@_-"/>
    <numFmt numFmtId="177" formatCode="[$$-340A]\ #,##0"/>
    <numFmt numFmtId="178" formatCode="&quot;$&quot;\ #,##0;[Red]\-&quot;$&quot;\ #,##0"/>
    <numFmt numFmtId="179" formatCode="0.0%"/>
    <numFmt numFmtId="180" formatCode="0\ &quot;%&quot;"/>
    <numFmt numFmtId="181" formatCode="0.0\ &quot;%&quot;"/>
    <numFmt numFmtId="182" formatCode="0.000"/>
    <numFmt numFmtId="183" formatCode="#,##0.0"/>
    <numFmt numFmtId="184" formatCode="[$-1010C0A]###,###,###,##0"/>
    <numFmt numFmtId="185" formatCode="[$-1010C0A]&quot;$&quot;\ ###,###,###,##0"/>
    <numFmt numFmtId="186" formatCode="[$-1010C0A]&quot;$&quot;\ ###,###,###,###"/>
    <numFmt numFmtId="187" formatCode="####.0"/>
    <numFmt numFmtId="188" formatCode="_-* #,##0.0_-;\-* #,##0.0_-;_-* &quot;-&quot;_-;_-@_-"/>
    <numFmt numFmtId="189" formatCode="_-* #,##0\ _€_-;\-* #,##0\ _€_-;_-* &quot;-&quot;??\ _€_-;_-@_-"/>
    <numFmt numFmtId="190" formatCode="&quot;$&quot;\ #,##0;\-&quot;$&quot;\ #,##0"/>
    <numFmt numFmtId="191" formatCode="[$$-340A]\ #,##0;\-[$$-340A]\ #,##0"/>
    <numFmt numFmtId="192" formatCode="[$$-2C0A]\ #,##0;[$$-2C0A]\ \-#,##0"/>
  </numFmts>
  <fonts count="7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b/>
      <sz val="8"/>
      <color theme="1"/>
      <name val="Verdana"/>
      <family val="2"/>
    </font>
    <font>
      <sz val="8"/>
      <name val="Verdana"/>
      <family val="2"/>
    </font>
    <font>
      <b/>
      <sz val="8"/>
      <name val="Verdana"/>
      <family val="2"/>
    </font>
    <font>
      <sz val="8"/>
      <color theme="1"/>
      <name val="Verdana"/>
      <family val="2"/>
    </font>
    <font>
      <sz val="7"/>
      <name val="Verdana"/>
      <family val="2"/>
    </font>
    <font>
      <sz val="10"/>
      <name val="Arial"/>
      <family val="2"/>
    </font>
    <font>
      <sz val="11"/>
      <color indexed="8"/>
      <name val="Calibri"/>
      <family val="2"/>
    </font>
    <font>
      <sz val="11"/>
      <color indexed="9"/>
      <name val="Calibri"/>
      <family val="2"/>
    </font>
    <font>
      <sz val="8"/>
      <color rgb="FF7030A0"/>
      <name val="Verdana"/>
      <family val="2"/>
    </font>
    <font>
      <b/>
      <vertAlign val="superscript"/>
      <sz val="8"/>
      <name val="Verdana"/>
      <family val="2"/>
    </font>
    <font>
      <u/>
      <sz val="10"/>
      <color theme="10"/>
      <name val="Arial"/>
    </font>
    <font>
      <u/>
      <sz val="8"/>
      <color theme="10"/>
      <name val="Arial"/>
      <family val="2"/>
    </font>
    <font>
      <b/>
      <sz val="11"/>
      <color theme="1"/>
      <name val="Calibri"/>
      <family val="2"/>
      <scheme val="minor"/>
    </font>
    <font>
      <u/>
      <sz val="10"/>
      <color theme="10"/>
      <name val="Arial"/>
      <family val="2"/>
    </font>
    <font>
      <b/>
      <sz val="8"/>
      <color rgb="FFCC0066"/>
      <name val="Verdana"/>
      <family val="2"/>
    </font>
    <font>
      <vertAlign val="superscript"/>
      <sz val="8"/>
      <name val="Verdana"/>
      <family val="2"/>
    </font>
    <font>
      <sz val="9"/>
      <name val="Verdana"/>
      <family val="2"/>
    </font>
    <font>
      <sz val="11"/>
      <name val="Arial Narrow"/>
      <family val="2"/>
    </font>
    <font>
      <sz val="8"/>
      <color rgb="FF000000"/>
      <name val="Verdana"/>
      <family val="2"/>
    </font>
    <font>
      <b/>
      <sz val="10"/>
      <name val="Arial"/>
      <family val="2"/>
    </font>
    <font>
      <sz val="8"/>
      <color indexed="8"/>
      <name val="Verdana"/>
      <family val="2"/>
    </font>
    <font>
      <b/>
      <vertAlign val="superscript"/>
      <sz val="8"/>
      <color theme="1"/>
      <name val="Verdana"/>
      <family val="2"/>
    </font>
    <font>
      <vertAlign val="superscript"/>
      <sz val="8"/>
      <color theme="1"/>
      <name val="Verdana"/>
      <family val="2"/>
    </font>
    <font>
      <b/>
      <sz val="8"/>
      <color rgb="FF000000"/>
      <name val="Verdana"/>
      <family val="2"/>
    </font>
    <font>
      <u/>
      <sz val="8"/>
      <color theme="10"/>
      <name val="Verdana"/>
      <family val="2"/>
    </font>
    <font>
      <b/>
      <sz val="8"/>
      <color indexed="8"/>
      <name val="Verdana"/>
      <family val="2"/>
    </font>
    <font>
      <b/>
      <vertAlign val="superscript"/>
      <sz val="8"/>
      <color indexed="8"/>
      <name val="Verdana"/>
      <family val="2"/>
    </font>
    <font>
      <sz val="10.5"/>
      <name val="Calibri"/>
      <family val="2"/>
      <scheme val="minor"/>
    </font>
    <font>
      <sz val="10.5"/>
      <color theme="1"/>
      <name val="Calibri"/>
      <family val="2"/>
      <scheme val="minor"/>
    </font>
    <font>
      <b/>
      <sz val="8"/>
      <color rgb="FFFF0000"/>
      <name val="Verdana"/>
      <family val="2"/>
    </font>
    <font>
      <b/>
      <sz val="8"/>
      <color rgb="FF002060"/>
      <name val="Verdana"/>
      <family val="2"/>
    </font>
    <font>
      <b/>
      <sz val="7"/>
      <name val="Verdana"/>
      <family val="2"/>
    </font>
    <font>
      <sz val="8"/>
      <color rgb="FFFF0000"/>
      <name val="Verdana"/>
      <family val="2"/>
    </font>
    <font>
      <b/>
      <i/>
      <sz val="11"/>
      <color theme="1"/>
      <name val="Calibri"/>
      <family val="2"/>
      <scheme val="minor"/>
    </font>
    <font>
      <sz val="10"/>
      <color rgb="FFFF0000"/>
      <name val="Arial"/>
      <family val="2"/>
    </font>
    <font>
      <sz val="8"/>
      <name val="Arial"/>
      <family val="2"/>
    </font>
    <font>
      <b/>
      <sz val="8"/>
      <name val="Arial"/>
      <family val="2"/>
    </font>
    <font>
      <sz val="11"/>
      <name val="Calibri"/>
      <family val="2"/>
    </font>
    <font>
      <sz val="12"/>
      <color theme="1"/>
      <name val="Calibri"/>
      <family val="2"/>
      <scheme val="minor"/>
    </font>
    <font>
      <b/>
      <sz val="10"/>
      <name val="Verdana"/>
      <family val="2"/>
    </font>
    <font>
      <sz val="10"/>
      <name val="Verdana"/>
      <family val="2"/>
    </font>
    <font>
      <b/>
      <sz val="8"/>
      <color rgb="FF7030A0"/>
      <name val="Verdana"/>
      <family val="2"/>
    </font>
    <font>
      <sz val="10"/>
      <name val="Arial Narrow"/>
      <family val="2"/>
    </font>
    <font>
      <sz val="12"/>
      <name val="Times New Roman"/>
      <family val="1"/>
    </font>
    <font>
      <sz val="8"/>
      <color rgb="FF002060"/>
      <name val="Verdana"/>
      <family val="2"/>
    </font>
    <font>
      <b/>
      <sz val="8"/>
      <color indexed="8"/>
      <name val="Arial"/>
      <family val="2"/>
    </font>
    <font>
      <sz val="8"/>
      <color indexed="8"/>
      <name val="Arial"/>
      <family val="2"/>
    </font>
    <font>
      <sz val="8"/>
      <color rgb="FF000000"/>
      <name val="Calibri"/>
      <family val="2"/>
    </font>
    <font>
      <sz val="8"/>
      <color theme="1"/>
      <name val="Calibri"/>
      <family val="2"/>
      <scheme val="minor"/>
    </font>
    <font>
      <vertAlign val="superscript"/>
      <sz val="8"/>
      <color indexed="8"/>
      <name val="Verdana"/>
      <family val="2"/>
    </font>
    <font>
      <b/>
      <sz val="8"/>
      <color indexed="10"/>
      <name val="Verdana"/>
      <family val="2"/>
    </font>
    <font>
      <sz val="11"/>
      <name val="Calibri"/>
      <family val="2"/>
      <scheme val="minor"/>
    </font>
    <font>
      <vertAlign val="superscript"/>
      <sz val="8"/>
      <color rgb="FF000000"/>
      <name val="Verdana"/>
      <family val="2"/>
    </font>
    <font>
      <b/>
      <sz val="10"/>
      <color rgb="FFFF0000"/>
      <name val="Arial"/>
      <family val="2"/>
    </font>
    <font>
      <sz val="10"/>
      <name val="MS Sans Serif"/>
      <family val="2"/>
    </font>
    <font>
      <sz val="8"/>
      <color indexed="10"/>
      <name val="Verdana"/>
      <family val="2"/>
    </font>
    <font>
      <b/>
      <u/>
      <sz val="12"/>
      <name val="Arial"/>
      <family val="2"/>
    </font>
    <font>
      <u/>
      <sz val="8"/>
      <color indexed="10"/>
      <name val="Verdana"/>
      <family val="2"/>
    </font>
    <font>
      <b/>
      <sz val="9"/>
      <name val="Verdana"/>
      <family val="2"/>
    </font>
    <font>
      <sz val="8"/>
      <name val="Arial Narrow"/>
      <family val="2"/>
    </font>
    <font>
      <b/>
      <sz val="8"/>
      <color rgb="FF00B050"/>
      <name val="Verdana"/>
      <family val="2"/>
    </font>
    <font>
      <sz val="8"/>
      <name val="Times New Roman"/>
      <family val="1"/>
    </font>
    <font>
      <b/>
      <sz val="11"/>
      <name val="Calibri"/>
      <family val="2"/>
    </font>
    <font>
      <sz val="10"/>
      <name val="Times New Roman"/>
      <family val="1"/>
    </font>
    <font>
      <b/>
      <sz val="7.5"/>
      <name val="Verdana"/>
      <family val="2"/>
    </font>
    <font>
      <b/>
      <sz val="11"/>
      <color rgb="FFFF0000"/>
      <name val="Calibri"/>
      <family val="2"/>
    </font>
    <font>
      <b/>
      <u/>
      <sz val="8"/>
      <name val="Verdana"/>
      <family val="2"/>
    </font>
    <font>
      <b/>
      <sz val="8"/>
      <color theme="0"/>
      <name val="Verdana"/>
      <family val="2"/>
    </font>
  </fonts>
  <fills count="7">
    <fill>
      <patternFill patternType="none"/>
    </fill>
    <fill>
      <patternFill patternType="gray125"/>
    </fill>
    <fill>
      <patternFill patternType="solid">
        <fgColor indexed="42"/>
      </patternFill>
    </fill>
    <fill>
      <patternFill patternType="solid">
        <fgColor indexed="10"/>
      </patternFill>
    </fill>
    <fill>
      <patternFill patternType="solid">
        <fgColor indexed="31"/>
      </patternFill>
    </fill>
    <fill>
      <patternFill patternType="solid">
        <fgColor indexed="47"/>
      </patternFill>
    </fill>
    <fill>
      <patternFill patternType="solid">
        <fgColor theme="0"/>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medium">
        <color indexed="64"/>
      </left>
      <right/>
      <top/>
      <bottom/>
      <diagonal/>
    </border>
    <border>
      <left/>
      <right/>
      <top/>
      <bottom style="thin">
        <color indexed="64"/>
      </bottom>
      <diagonal/>
    </border>
    <border>
      <left style="thin">
        <color theme="0" tint="-0.249977111117893"/>
      </left>
      <right/>
      <top/>
      <bottom/>
      <diagonal/>
    </border>
    <border>
      <left/>
      <right style="thin">
        <color theme="0" tint="-0.249977111117893"/>
      </right>
      <top/>
      <bottom/>
      <diagonal/>
    </border>
    <border>
      <left style="thin">
        <color theme="0" tint="-0.249977111117893"/>
      </left>
      <right/>
      <top/>
      <bottom style="thin">
        <color theme="0" tint="-0.249977111117893"/>
      </bottom>
      <diagonal/>
    </border>
    <border>
      <left/>
      <right style="thin">
        <color theme="0" tint="-0.249977111117893"/>
      </right>
      <top/>
      <bottom style="thin">
        <color theme="0" tint="-0.249977111117893"/>
      </bottom>
      <diagonal/>
    </border>
    <border>
      <left style="thin">
        <color indexed="64"/>
      </left>
      <right style="thin">
        <color indexed="64"/>
      </right>
      <top/>
      <bottom/>
      <diagonal/>
    </border>
    <border>
      <left style="thin">
        <color indexed="64"/>
      </left>
      <right/>
      <top style="thin">
        <color indexed="64"/>
      </top>
      <bottom/>
      <diagonal/>
    </border>
    <border>
      <left/>
      <right/>
      <top style="thin">
        <color auto="1"/>
      </top>
      <bottom/>
      <diagonal/>
    </border>
    <border>
      <left/>
      <right style="thin">
        <color auto="1"/>
      </right>
      <top style="thin">
        <color auto="1"/>
      </top>
      <bottom/>
      <diagonal/>
    </border>
    <border>
      <left style="thin">
        <color indexed="64"/>
      </left>
      <right/>
      <top/>
      <bottom style="thin">
        <color auto="1"/>
      </bottom>
      <diagonal/>
    </border>
    <border>
      <left/>
      <right style="thin">
        <color auto="1"/>
      </right>
      <top/>
      <bottom style="thin">
        <color auto="1"/>
      </bottom>
      <diagonal/>
    </border>
    <border>
      <left style="thin">
        <color indexed="64"/>
      </left>
      <right/>
      <top/>
      <bottom/>
      <diagonal/>
    </border>
    <border>
      <left/>
      <right style="thin">
        <color indexed="64"/>
      </right>
      <top/>
      <bottom/>
      <diagonal/>
    </border>
  </borders>
  <cellStyleXfs count="121">
    <xf numFmtId="0" fontId="0" fillId="0" borderId="0"/>
    <xf numFmtId="0" fontId="3" fillId="0" borderId="0"/>
    <xf numFmtId="165" fontId="9" fillId="0" borderId="0" applyFont="0" applyFill="0" applyBorder="0" applyAlignment="0" applyProtection="0"/>
    <xf numFmtId="0" fontId="2" fillId="0" borderId="0"/>
    <xf numFmtId="0" fontId="2" fillId="0" borderId="0"/>
    <xf numFmtId="0" fontId="9" fillId="0" borderId="0"/>
    <xf numFmtId="0" fontId="9" fillId="0" borderId="0"/>
    <xf numFmtId="0" fontId="9" fillId="0" borderId="0"/>
    <xf numFmtId="0" fontId="9" fillId="0" borderId="0"/>
    <xf numFmtId="0" fontId="2" fillId="0" borderId="0"/>
    <xf numFmtId="9" fontId="9" fillId="0" borderId="0" applyFont="0" applyFill="0" applyBorder="0" applyAlignment="0" applyProtection="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10" fillId="2" borderId="0" applyNumberFormat="0" applyBorder="0" applyAlignment="0" applyProtection="0"/>
    <xf numFmtId="0" fontId="11"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9" fillId="0" borderId="0"/>
    <xf numFmtId="0" fontId="9" fillId="0" borderId="0"/>
    <xf numFmtId="0" fontId="10" fillId="0" borderId="0"/>
    <xf numFmtId="0" fontId="9" fillId="0" borderId="0"/>
    <xf numFmtId="0" fontId="14"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9" fillId="0" borderId="0"/>
    <xf numFmtId="0" fontId="1" fillId="0" borderId="0"/>
    <xf numFmtId="0" fontId="21" fillId="0" borderId="0"/>
    <xf numFmtId="0" fontId="1" fillId="0" borderId="0"/>
    <xf numFmtId="0" fontId="10" fillId="0" borderId="0"/>
    <xf numFmtId="0" fontId="10" fillId="0" borderId="0"/>
    <xf numFmtId="0" fontId="9" fillId="0" borderId="0"/>
    <xf numFmtId="0" fontId="1" fillId="0" borderId="0"/>
    <xf numFmtId="0" fontId="9" fillId="0" borderId="0"/>
    <xf numFmtId="0" fontId="9" fillId="0" borderId="0"/>
    <xf numFmtId="0" fontId="1" fillId="0" borderId="0"/>
    <xf numFmtId="0" fontId="10" fillId="0" borderId="0"/>
    <xf numFmtId="0" fontId="10" fillId="0" borderId="0"/>
    <xf numFmtId="0" fontId="9" fillId="0" borderId="0"/>
    <xf numFmtId="0" fontId="10" fillId="0" borderId="0"/>
    <xf numFmtId="0" fontId="10" fillId="0" borderId="0"/>
    <xf numFmtId="0" fontId="10" fillId="0" borderId="0"/>
    <xf numFmtId="0" fontId="10" fillId="0" borderId="0"/>
    <xf numFmtId="9" fontId="9" fillId="0" borderId="0" applyFont="0" applyFill="0" applyBorder="0" applyAlignment="0" applyProtection="0"/>
    <xf numFmtId="0" fontId="9" fillId="0" borderId="0"/>
    <xf numFmtId="0" fontId="46" fillId="0" borderId="0"/>
    <xf numFmtId="17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8" fillId="0" borderId="0"/>
    <xf numFmtId="0" fontId="9" fillId="0" borderId="0" applyBorder="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pplyNumberFormat="0" applyFill="0" applyBorder="0" applyAlignment="0" applyProtection="0"/>
    <xf numFmtId="0" fontId="9" fillId="0" borderId="0"/>
    <xf numFmtId="0" fontId="9" fillId="0" borderId="0" applyNumberFormat="0" applyFill="0" applyBorder="0" applyAlignment="0" applyProtection="0"/>
    <xf numFmtId="0" fontId="9" fillId="0" borderId="0"/>
    <xf numFmtId="0" fontId="9" fillId="0" borderId="0"/>
    <xf numFmtId="0" fontId="9" fillId="0" borderId="0"/>
    <xf numFmtId="0" fontId="9" fillId="0" borderId="0"/>
    <xf numFmtId="0" fontId="1" fillId="0" borderId="0"/>
    <xf numFmtId="0" fontId="9" fillId="0" borderId="0"/>
    <xf numFmtId="0" fontId="1" fillId="0" borderId="0"/>
    <xf numFmtId="0" fontId="9" fillId="0" borderId="0"/>
    <xf numFmtId="0" fontId="1" fillId="0" borderId="0"/>
    <xf numFmtId="0" fontId="9" fillId="0" borderId="0"/>
    <xf numFmtId="0" fontId="1" fillId="0" borderId="0"/>
    <xf numFmtId="0" fontId="1" fillId="0" borderId="0"/>
    <xf numFmtId="0" fontId="1" fillId="0" borderId="0"/>
    <xf numFmtId="0" fontId="9" fillId="0" borderId="0"/>
    <xf numFmtId="0" fontId="21" fillId="0" borderId="0"/>
    <xf numFmtId="0" fontId="9" fillId="0" borderId="0"/>
  </cellStyleXfs>
  <cellXfs count="1710">
    <xf numFmtId="0" fontId="0" fillId="0" borderId="0" xfId="0"/>
    <xf numFmtId="0" fontId="4" fillId="0" borderId="0" xfId="1" applyFont="1" applyAlignment="1"/>
    <xf numFmtId="0" fontId="5" fillId="0" borderId="0" xfId="0" applyFont="1"/>
    <xf numFmtId="3" fontId="4" fillId="0" borderId="1" xfId="0" applyNumberFormat="1" applyFont="1" applyBorder="1" applyAlignment="1">
      <alignment horizontal="center" vertical="center" wrapText="1"/>
    </xf>
    <xf numFmtId="3" fontId="4" fillId="0" borderId="0" xfId="0" applyNumberFormat="1" applyFont="1" applyBorder="1" applyAlignment="1">
      <alignment horizontal="center" vertical="center" wrapText="1"/>
    </xf>
    <xf numFmtId="3" fontId="4" fillId="0" borderId="0" xfId="0" applyNumberFormat="1" applyFont="1" applyBorder="1" applyAlignment="1">
      <alignment horizontal="left" vertical="center"/>
    </xf>
    <xf numFmtId="164" fontId="4" fillId="0" borderId="0" xfId="0" applyNumberFormat="1" applyFont="1" applyBorder="1" applyAlignment="1">
      <alignment horizontal="right" vertical="center"/>
    </xf>
    <xf numFmtId="3" fontId="7" fillId="0" borderId="0" xfId="0" applyNumberFormat="1" applyFont="1" applyBorder="1" applyAlignment="1">
      <alignment horizontal="center" vertical="center"/>
    </xf>
    <xf numFmtId="3" fontId="5" fillId="0" borderId="0" xfId="0" applyNumberFormat="1" applyFont="1" applyBorder="1" applyAlignment="1">
      <alignment horizontal="left" vertical="center"/>
    </xf>
    <xf numFmtId="164" fontId="5" fillId="0" borderId="0" xfId="0" applyNumberFormat="1" applyFont="1" applyBorder="1" applyAlignment="1">
      <alignment horizontal="right"/>
    </xf>
    <xf numFmtId="164" fontId="5" fillId="0" borderId="0" xfId="0" applyNumberFormat="1" applyFont="1" applyBorder="1" applyAlignment="1">
      <alignment horizontal="right" vertical="center"/>
    </xf>
    <xf numFmtId="49" fontId="5" fillId="0" borderId="0" xfId="0" applyNumberFormat="1" applyFont="1" applyFill="1" applyAlignment="1">
      <alignment vertical="center" wrapText="1"/>
    </xf>
    <xf numFmtId="3" fontId="5" fillId="0" borderId="0" xfId="0" applyNumberFormat="1" applyFont="1" applyFill="1" applyBorder="1" applyAlignment="1">
      <alignment horizontal="left" vertical="center"/>
    </xf>
    <xf numFmtId="0" fontId="8" fillId="0" borderId="0" xfId="0" applyFont="1"/>
    <xf numFmtId="0" fontId="4" fillId="0" borderId="0" xfId="0" applyFont="1" applyFill="1" applyBorder="1"/>
    <xf numFmtId="0" fontId="5" fillId="0" borderId="0" xfId="0" applyFont="1" applyFill="1" applyBorder="1"/>
    <xf numFmtId="164" fontId="4" fillId="0" borderId="0" xfId="0" applyNumberFormat="1" applyFont="1" applyFill="1" applyBorder="1"/>
    <xf numFmtId="164" fontId="7" fillId="0" borderId="0" xfId="0" applyNumberFormat="1" applyFont="1" applyFill="1" applyBorder="1"/>
    <xf numFmtId="0" fontId="7" fillId="0" borderId="0" xfId="0" applyFont="1" applyFill="1" applyBorder="1"/>
    <xf numFmtId="0" fontId="7" fillId="0" borderId="0" xfId="0" applyFont="1" applyFill="1" applyBorder="1" applyAlignment="1">
      <alignment horizontal="center" vertical="center"/>
    </xf>
    <xf numFmtId="0" fontId="4" fillId="0" borderId="0" xfId="0" applyFont="1" applyFill="1" applyBorder="1" applyAlignment="1">
      <alignment horizontal="left" wrapText="1"/>
    </xf>
    <xf numFmtId="3" fontId="4" fillId="0" borderId="0" xfId="0" applyNumberFormat="1" applyFont="1" applyFill="1" applyBorder="1"/>
    <xf numFmtId="0" fontId="5" fillId="0" borderId="0" xfId="0" applyFont="1" applyFill="1" applyBorder="1" applyAlignment="1">
      <alignment horizontal="center" vertical="center"/>
    </xf>
    <xf numFmtId="0" fontId="6" fillId="0" borderId="0" xfId="0" applyFont="1" applyFill="1" applyBorder="1"/>
    <xf numFmtId="0" fontId="6" fillId="0" borderId="0" xfId="0" applyFont="1"/>
    <xf numFmtId="0" fontId="4" fillId="0" borderId="1" xfId="0" applyFont="1" applyFill="1" applyBorder="1" applyAlignment="1">
      <alignment horizontal="center" vertical="center" wrapText="1"/>
    </xf>
    <xf numFmtId="0" fontId="12" fillId="0" borderId="0" xfId="0" applyFont="1" applyFill="1" applyBorder="1"/>
    <xf numFmtId="0" fontId="4" fillId="0" borderId="1" xfId="0" applyFont="1" applyFill="1" applyBorder="1" applyAlignment="1">
      <alignment horizontal="center" vertical="center" wrapText="1"/>
    </xf>
    <xf numFmtId="0" fontId="6" fillId="0" borderId="0" xfId="0" applyFont="1" applyFill="1" applyBorder="1" applyAlignment="1">
      <alignment horizontal="left"/>
    </xf>
    <xf numFmtId="164" fontId="6" fillId="0" borderId="0" xfId="0" applyNumberFormat="1" applyFont="1" applyFill="1" applyBorder="1"/>
    <xf numFmtId="164" fontId="6" fillId="0" borderId="0" xfId="0" applyNumberFormat="1" applyFont="1" applyFill="1" applyBorder="1" applyAlignment="1">
      <alignment horizontal="left"/>
    </xf>
    <xf numFmtId="0" fontId="5" fillId="0" borderId="0" xfId="0" applyFont="1" applyFill="1" applyBorder="1" applyAlignment="1">
      <alignment horizontal="left" indent="1"/>
    </xf>
    <xf numFmtId="0" fontId="6" fillId="0" borderId="1" xfId="0" applyFont="1" applyFill="1" applyBorder="1" applyAlignment="1">
      <alignment horizontal="center" vertical="center"/>
    </xf>
    <xf numFmtId="0" fontId="6" fillId="0" borderId="0" xfId="0" applyFont="1" applyFill="1" applyBorder="1" applyAlignment="1">
      <alignment horizontal="left" vertical="center"/>
    </xf>
    <xf numFmtId="164" fontId="6" fillId="0" borderId="0" xfId="0" applyNumberFormat="1" applyFont="1" applyFill="1" applyBorder="1" applyAlignment="1">
      <alignment horizontal="center" vertical="center" wrapText="1"/>
    </xf>
    <xf numFmtId="164" fontId="5" fillId="0" borderId="0" xfId="0" applyNumberFormat="1" applyFont="1" applyFill="1" applyBorder="1"/>
    <xf numFmtId="0" fontId="7" fillId="0" borderId="0" xfId="0" applyFont="1" applyFill="1" applyBorder="1" applyAlignment="1"/>
    <xf numFmtId="0" fontId="4" fillId="0" borderId="1" xfId="0" applyFont="1" applyFill="1" applyBorder="1" applyAlignment="1">
      <alignment horizontal="center" vertical="center" wrapText="1"/>
    </xf>
    <xf numFmtId="2" fontId="7" fillId="0" borderId="0" xfId="0" applyNumberFormat="1" applyFont="1" applyFill="1" applyBorder="1" applyAlignment="1">
      <alignment horizontal="left" wrapText="1" indent="2"/>
    </xf>
    <xf numFmtId="0" fontId="6" fillId="0" borderId="1" xfId="0" applyFont="1" applyFill="1" applyBorder="1" applyAlignment="1">
      <alignment horizontal="center" vertical="center" wrapText="1"/>
    </xf>
    <xf numFmtId="0" fontId="5" fillId="0" borderId="0" xfId="0" applyNumberFormat="1" applyFont="1" applyFill="1" applyBorder="1"/>
    <xf numFmtId="0" fontId="5" fillId="0" borderId="0" xfId="0" applyFont="1" applyFill="1" applyBorder="1" applyAlignment="1"/>
    <xf numFmtId="0" fontId="5" fillId="0" borderId="0" xfId="0" applyFont="1" applyFill="1" applyBorder="1" applyAlignment="1">
      <alignment wrapText="1"/>
    </xf>
    <xf numFmtId="0" fontId="15" fillId="0" borderId="0" xfId="38" applyFont="1" applyAlignment="1" applyProtection="1"/>
    <xf numFmtId="0" fontId="6" fillId="0" borderId="0" xfId="0" applyFont="1" applyAlignment="1">
      <alignment horizontal="left" vertical="center"/>
    </xf>
    <xf numFmtId="0" fontId="6" fillId="0" borderId="0" xfId="0" applyFont="1" applyAlignment="1">
      <alignment horizontal="justify" wrapText="1"/>
    </xf>
    <xf numFmtId="0" fontId="5" fillId="0" borderId="0" xfId="0" applyFont="1" applyFill="1" applyBorder="1" applyAlignment="1">
      <alignment horizontal="left" wrapText="1"/>
    </xf>
    <xf numFmtId="0" fontId="6" fillId="0" borderId="3" xfId="0" applyFont="1" applyFill="1" applyBorder="1" applyAlignment="1">
      <alignment horizontal="center"/>
    </xf>
    <xf numFmtId="0" fontId="6" fillId="0" borderId="4" xfId="0" applyFont="1" applyFill="1" applyBorder="1" applyAlignment="1">
      <alignment horizontal="center"/>
    </xf>
    <xf numFmtId="0" fontId="6" fillId="0" borderId="5" xfId="0" applyFont="1" applyFill="1" applyBorder="1" applyAlignment="1">
      <alignment horizontal="center"/>
    </xf>
    <xf numFmtId="0" fontId="6" fillId="0" borderId="2"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6" fillId="0" borderId="0" xfId="0" applyFont="1" applyFill="1" applyBorder="1" applyAlignment="1">
      <alignment horizontal="justify" wrapText="1"/>
    </xf>
    <xf numFmtId="0" fontId="6" fillId="0" borderId="0" xfId="0" applyFont="1" applyAlignment="1">
      <alignment horizontal="left" vertical="center"/>
    </xf>
    <xf numFmtId="49" fontId="5" fillId="0" borderId="0" xfId="0" applyNumberFormat="1" applyFont="1" applyFill="1" applyAlignment="1">
      <alignment horizontal="left" vertical="center" wrapText="1"/>
    </xf>
    <xf numFmtId="0" fontId="4" fillId="0" borderId="2" xfId="0" applyFont="1" applyFill="1" applyBorder="1" applyAlignment="1">
      <alignment horizontal="center" vertical="center" wrapText="1"/>
    </xf>
    <xf numFmtId="0" fontId="4" fillId="0" borderId="6"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7" fillId="0" borderId="0" xfId="0" applyFont="1" applyFill="1" applyBorder="1" applyAlignment="1">
      <alignment horizontal="left" wrapText="1"/>
    </xf>
    <xf numFmtId="0" fontId="5" fillId="0" borderId="0" xfId="5" applyFont="1"/>
    <xf numFmtId="0" fontId="6" fillId="0" borderId="0" xfId="5" applyFont="1"/>
    <xf numFmtId="0" fontId="6" fillId="0" borderId="0" xfId="5" applyFont="1" applyAlignment="1">
      <alignment horizontal="justify" vertical="center" wrapText="1"/>
    </xf>
    <xf numFmtId="0" fontId="18" fillId="0" borderId="0" xfId="5" applyFont="1"/>
    <xf numFmtId="0" fontId="6" fillId="0" borderId="2" xfId="5" applyFont="1" applyBorder="1" applyAlignment="1">
      <alignment horizontal="center" vertical="center" wrapText="1"/>
    </xf>
    <xf numFmtId="0" fontId="6" fillId="0" borderId="3" xfId="5" applyFont="1" applyBorder="1" applyAlignment="1">
      <alignment horizontal="center" vertical="center"/>
    </xf>
    <xf numFmtId="0" fontId="6" fillId="0" borderId="4" xfId="5" applyFont="1" applyBorder="1" applyAlignment="1">
      <alignment horizontal="center" vertical="center"/>
    </xf>
    <xf numFmtId="0" fontId="6" fillId="0" borderId="5" xfId="5" applyFont="1" applyBorder="1" applyAlignment="1">
      <alignment horizontal="center" vertical="center"/>
    </xf>
    <xf numFmtId="0" fontId="5" fillId="0" borderId="0" xfId="5" applyFont="1" applyAlignment="1">
      <alignment vertical="center"/>
    </xf>
    <xf numFmtId="0" fontId="6" fillId="0" borderId="6" xfId="5" applyFont="1" applyBorder="1" applyAlignment="1">
      <alignment horizontal="center" vertical="center" wrapText="1"/>
    </xf>
    <xf numFmtId="0" fontId="6" fillId="0" borderId="1" xfId="5" applyFont="1" applyBorder="1" applyAlignment="1">
      <alignment horizontal="center" vertical="center"/>
    </xf>
    <xf numFmtId="0" fontId="5" fillId="0" borderId="0" xfId="5" applyFont="1" applyAlignment="1">
      <alignment horizontal="left" vertical="center" wrapText="1"/>
    </xf>
    <xf numFmtId="3" fontId="5" fillId="0" borderId="0" xfId="5" applyNumberFormat="1" applyFont="1" applyAlignment="1">
      <alignment horizontal="center" vertical="center"/>
    </xf>
    <xf numFmtId="3" fontId="5" fillId="0" borderId="0" xfId="40" applyNumberFormat="1" applyFont="1" applyAlignment="1">
      <alignment horizontal="center" vertical="center" wrapText="1"/>
    </xf>
    <xf numFmtId="3" fontId="5" fillId="0" borderId="0" xfId="5" applyNumberFormat="1" applyFont="1" applyAlignment="1">
      <alignment horizontal="center"/>
    </xf>
    <xf numFmtId="0" fontId="5" fillId="0" borderId="0" xfId="5" applyFont="1" applyAlignment="1">
      <alignment horizontal="left" wrapText="1"/>
    </xf>
    <xf numFmtId="0" fontId="5" fillId="0" borderId="0" xfId="5" applyFont="1" applyAlignment="1">
      <alignment horizontal="left" indent="2"/>
    </xf>
    <xf numFmtId="0" fontId="9" fillId="0" borderId="0" xfId="5"/>
    <xf numFmtId="0" fontId="6" fillId="0" borderId="0" xfId="5" applyFont="1" applyAlignment="1">
      <alignment vertical="top" wrapText="1"/>
    </xf>
    <xf numFmtId="0" fontId="6" fillId="0" borderId="0" xfId="5" applyFont="1" applyAlignment="1">
      <alignment vertical="top"/>
    </xf>
    <xf numFmtId="0" fontId="6" fillId="0" borderId="3" xfId="5" applyFont="1" applyBorder="1" applyAlignment="1">
      <alignment horizontal="center" vertical="center" wrapText="1"/>
    </xf>
    <xf numFmtId="0" fontId="6" fillId="0" borderId="4" xfId="5" applyFont="1" applyBorder="1" applyAlignment="1">
      <alignment horizontal="center" vertical="center" wrapText="1"/>
    </xf>
    <xf numFmtId="0" fontId="6" fillId="0" borderId="5" xfId="5" applyFont="1" applyBorder="1" applyAlignment="1">
      <alignment horizontal="center" vertical="center" wrapText="1"/>
    </xf>
    <xf numFmtId="0" fontId="6" fillId="0" borderId="0" xfId="5" applyFont="1" applyAlignment="1">
      <alignment vertical="center"/>
    </xf>
    <xf numFmtId="0" fontId="6" fillId="0" borderId="0" xfId="5" applyFont="1" applyAlignment="1">
      <alignment horizontal="center" vertical="center"/>
    </xf>
    <xf numFmtId="0" fontId="6" fillId="0" borderId="0" xfId="5" applyFont="1" applyAlignment="1">
      <alignment horizontal="left" vertical="center"/>
    </xf>
    <xf numFmtId="3" fontId="6" fillId="0" borderId="0" xfId="5" applyNumberFormat="1" applyFont="1" applyAlignment="1">
      <alignment horizontal="right" vertical="center"/>
    </xf>
    <xf numFmtId="3" fontId="6" fillId="0" borderId="0" xfId="5" applyNumberFormat="1" applyFont="1" applyAlignment="1">
      <alignment horizontal="center"/>
    </xf>
    <xf numFmtId="3" fontId="5" fillId="0" borderId="0" xfId="5" applyNumberFormat="1" applyFont="1"/>
    <xf numFmtId="3" fontId="5" fillId="0" borderId="0" xfId="5" applyNumberFormat="1" applyFont="1" applyAlignment="1">
      <alignment horizontal="right" vertical="center"/>
    </xf>
    <xf numFmtId="0" fontId="5" fillId="0" borderId="0" xfId="5" applyFont="1" applyAlignment="1">
      <alignment horizontal="left" wrapText="1"/>
    </xf>
    <xf numFmtId="0" fontId="9" fillId="0" borderId="0" xfId="5" applyAlignment="1">
      <alignment horizontal="left" indent="2"/>
    </xf>
    <xf numFmtId="0" fontId="5" fillId="0" borderId="0" xfId="5" applyFont="1" applyAlignment="1">
      <alignment wrapText="1"/>
    </xf>
    <xf numFmtId="0" fontId="5" fillId="0" borderId="0" xfId="5" applyFont="1" applyAlignment="1">
      <alignment horizontal="center" wrapText="1"/>
    </xf>
    <xf numFmtId="0" fontId="6" fillId="0" borderId="1" xfId="5" applyFont="1" applyBorder="1" applyAlignment="1">
      <alignment horizontal="center" vertical="center" wrapText="1"/>
    </xf>
    <xf numFmtId="0" fontId="6" fillId="0" borderId="0" xfId="5" applyFont="1" applyAlignment="1">
      <alignment wrapText="1"/>
    </xf>
    <xf numFmtId="0" fontId="6" fillId="0" borderId="0" xfId="5" applyFont="1" applyAlignment="1">
      <alignment vertical="center" wrapText="1"/>
    </xf>
    <xf numFmtId="0" fontId="5" fillId="0" borderId="0" xfId="5" applyFont="1" applyAlignment="1">
      <alignment horizontal="justify" vertical="center" wrapText="1"/>
    </xf>
    <xf numFmtId="0" fontId="6" fillId="0" borderId="0" xfId="5" applyFont="1" applyAlignment="1">
      <alignment horizontal="left" vertical="center" wrapText="1"/>
    </xf>
    <xf numFmtId="0" fontId="6" fillId="0" borderId="0" xfId="5" applyFont="1" applyAlignment="1">
      <alignment horizontal="center"/>
    </xf>
    <xf numFmtId="3" fontId="6" fillId="0" borderId="0" xfId="5" applyNumberFormat="1" applyFont="1" applyAlignment="1">
      <alignment horizontal="center" vertical="center"/>
    </xf>
    <xf numFmtId="0" fontId="5" fillId="0" borderId="0" xfId="5" applyFont="1" applyAlignment="1">
      <alignment vertical="top"/>
    </xf>
    <xf numFmtId="0" fontId="5" fillId="0" borderId="0" xfId="5" applyFont="1" applyAlignment="1">
      <alignment horizontal="center" vertical="center"/>
    </xf>
    <xf numFmtId="3" fontId="5" fillId="0" borderId="0" xfId="6" applyNumberFormat="1" applyFont="1" applyAlignment="1" applyProtection="1">
      <alignment horizontal="left" vertical="center"/>
      <protection locked="0"/>
    </xf>
    <xf numFmtId="164" fontId="5" fillId="0" borderId="0" xfId="5" applyNumberFormat="1" applyFont="1" applyAlignment="1">
      <alignment horizontal="right" vertical="center"/>
    </xf>
    <xf numFmtId="3" fontId="5" fillId="0" borderId="0" xfId="5" applyNumberFormat="1" applyFont="1" applyAlignment="1" applyProtection="1">
      <alignment horizontal="left" vertical="center"/>
      <protection locked="0"/>
    </xf>
    <xf numFmtId="0" fontId="5" fillId="0" borderId="0" xfId="5" applyFont="1" applyAlignment="1">
      <alignment horizontal="justify" vertical="top" wrapText="1"/>
    </xf>
    <xf numFmtId="0" fontId="5" fillId="0" borderId="0" xfId="5" applyFont="1" applyAlignment="1">
      <alignment horizontal="left" vertical="top"/>
    </xf>
    <xf numFmtId="3" fontId="20" fillId="0" borderId="0" xfId="5" applyNumberFormat="1" applyFont="1" applyAlignment="1">
      <alignment horizontal="center" vertical="center"/>
    </xf>
    <xf numFmtId="0" fontId="5" fillId="0" borderId="0" xfId="5" applyFont="1" applyAlignment="1">
      <alignment horizontal="left" vertical="top" wrapText="1"/>
    </xf>
    <xf numFmtId="0" fontId="4" fillId="0" borderId="0" xfId="41" applyFont="1"/>
    <xf numFmtId="10" fontId="6" fillId="0" borderId="0" xfId="42" applyNumberFormat="1" applyFont="1" applyAlignment="1">
      <alignment horizontal="left" vertical="center" wrapText="1"/>
    </xf>
    <xf numFmtId="0" fontId="6" fillId="0" borderId="2" xfId="42" applyFont="1" applyBorder="1" applyAlignment="1">
      <alignment horizontal="center" vertical="center"/>
    </xf>
    <xf numFmtId="0" fontId="6" fillId="0" borderId="6" xfId="42" applyFont="1" applyBorder="1" applyAlignment="1">
      <alignment horizontal="center" vertical="center"/>
    </xf>
    <xf numFmtId="0" fontId="4" fillId="0" borderId="0" xfId="5" applyFont="1"/>
    <xf numFmtId="164" fontId="6" fillId="0" borderId="0" xfId="5" applyNumberFormat="1" applyFont="1"/>
    <xf numFmtId="0" fontId="4" fillId="0" borderId="0" xfId="5" applyFont="1" applyAlignment="1">
      <alignment horizontal="left" indent="2"/>
    </xf>
    <xf numFmtId="0" fontId="5" fillId="0" borderId="0" xfId="42" applyFont="1" applyAlignment="1">
      <alignment horizontal="left" wrapText="1" indent="2"/>
    </xf>
    <xf numFmtId="164" fontId="5" fillId="0" borderId="0" xfId="2" applyNumberFormat="1" applyFont="1" applyFill="1" applyAlignment="1">
      <alignment horizontal="right"/>
    </xf>
    <xf numFmtId="164" fontId="5" fillId="0" borderId="0" xfId="5" applyNumberFormat="1" applyFont="1"/>
    <xf numFmtId="164" fontId="5" fillId="0" borderId="0" xfId="2" applyNumberFormat="1" applyFont="1" applyFill="1" applyBorder="1"/>
    <xf numFmtId="164" fontId="5" fillId="0" borderId="0" xfId="5" applyNumberFormat="1" applyFont="1" applyAlignment="1">
      <alignment horizontal="right"/>
    </xf>
    <xf numFmtId="0" fontId="4" fillId="0" borderId="0" xfId="5" applyFont="1" applyAlignment="1">
      <alignment horizontal="left" wrapText="1"/>
    </xf>
    <xf numFmtId="0" fontId="5" fillId="0" borderId="0" xfId="42" applyFont="1" applyAlignment="1">
      <alignment horizontal="left" vertical="center" indent="2"/>
    </xf>
    <xf numFmtId="164" fontId="5" fillId="0" borderId="0" xfId="42" applyNumberFormat="1" applyFont="1" applyAlignment="1">
      <alignment vertical="center"/>
    </xf>
    <xf numFmtId="164" fontId="7" fillId="0" borderId="0" xfId="2" applyNumberFormat="1" applyFont="1" applyFill="1" applyBorder="1" applyAlignment="1">
      <alignment horizontal="right" vertical="center"/>
    </xf>
    <xf numFmtId="164" fontId="7" fillId="0" borderId="0" xfId="5" applyNumberFormat="1" applyFont="1" applyAlignment="1">
      <alignment horizontal="right" vertical="center"/>
    </xf>
    <xf numFmtId="0" fontId="4" fillId="0" borderId="0" xfId="5" applyFont="1" applyAlignment="1">
      <alignment horizontal="left"/>
    </xf>
    <xf numFmtId="164" fontId="5" fillId="0" borderId="0" xfId="5" applyNumberFormat="1" applyFont="1" applyAlignment="1">
      <alignment horizontal="center"/>
    </xf>
    <xf numFmtId="164" fontId="5" fillId="0" borderId="0" xfId="42" applyNumberFormat="1" applyFont="1"/>
    <xf numFmtId="164" fontId="5" fillId="0" borderId="0" xfId="2" applyNumberFormat="1" applyFont="1" applyFill="1"/>
    <xf numFmtId="0" fontId="5" fillId="0" borderId="0" xfId="42" applyFont="1" applyAlignment="1">
      <alignment horizontal="left" indent="2"/>
    </xf>
    <xf numFmtId="164" fontId="5" fillId="0" borderId="0" xfId="42" applyNumberFormat="1" applyFont="1" applyAlignment="1">
      <alignment horizontal="right"/>
    </xf>
    <xf numFmtId="164" fontId="5" fillId="0" borderId="0" xfId="2" applyNumberFormat="1" applyFont="1" applyFill="1" applyBorder="1" applyAlignment="1">
      <alignment horizontal="right" wrapText="1"/>
    </xf>
    <xf numFmtId="164" fontId="9" fillId="0" borderId="0" xfId="5" applyNumberFormat="1"/>
    <xf numFmtId="164" fontId="6" fillId="0" borderId="0" xfId="5" applyNumberFormat="1" applyFont="1" applyAlignment="1">
      <alignment horizontal="right"/>
    </xf>
    <xf numFmtId="0" fontId="22" fillId="0" borderId="0" xfId="5" applyFont="1" applyAlignment="1">
      <alignment horizontal="left" indent="2"/>
    </xf>
    <xf numFmtId="164" fontId="22" fillId="0" borderId="0" xfId="5" applyNumberFormat="1" applyFont="1" applyAlignment="1">
      <alignment horizontal="right"/>
    </xf>
    <xf numFmtId="49" fontId="5" fillId="0" borderId="0" xfId="5" applyNumberFormat="1" applyFont="1" applyAlignment="1">
      <alignment vertical="center" wrapText="1"/>
    </xf>
    <xf numFmtId="0" fontId="5" fillId="0" borderId="0" xfId="42" applyFont="1"/>
    <xf numFmtId="0" fontId="6" fillId="6" borderId="2" xfId="42" applyFont="1" applyFill="1" applyBorder="1" applyAlignment="1">
      <alignment horizontal="center" vertical="center"/>
    </xf>
    <xf numFmtId="0" fontId="6" fillId="6" borderId="1" xfId="5" applyFont="1" applyFill="1" applyBorder="1" applyAlignment="1">
      <alignment horizontal="center" vertical="center"/>
    </xf>
    <xf numFmtId="0" fontId="6" fillId="6" borderId="6" xfId="42" applyFont="1" applyFill="1" applyBorder="1" applyAlignment="1">
      <alignment horizontal="center" vertical="center"/>
    </xf>
    <xf numFmtId="0" fontId="6" fillId="6" borderId="1" xfId="5" applyFont="1" applyFill="1" applyBorder="1" applyAlignment="1">
      <alignment horizontal="center" vertical="center"/>
    </xf>
    <xf numFmtId="0" fontId="4" fillId="0" borderId="0" xfId="5" applyFont="1" applyAlignment="1">
      <alignment wrapText="1"/>
    </xf>
    <xf numFmtId="164" fontId="6" fillId="0" borderId="0" xfId="5" applyNumberFormat="1" applyFont="1" applyAlignment="1">
      <alignment horizontal="right" vertical="center"/>
    </xf>
    <xf numFmtId="0" fontId="4" fillId="0" borderId="0" xfId="5" applyFont="1" applyAlignment="1">
      <alignment horizontal="left" wrapText="1" indent="2"/>
    </xf>
    <xf numFmtId="0" fontId="5" fillId="0" borderId="0" xfId="42" applyFont="1" applyAlignment="1">
      <alignment horizontal="left" vertical="center" wrapText="1" indent="2"/>
    </xf>
    <xf numFmtId="164" fontId="5" fillId="0" borderId="0" xfId="2" applyNumberFormat="1" applyFont="1" applyFill="1" applyBorder="1" applyAlignment="1">
      <alignment horizontal="right" vertical="center" wrapText="1"/>
    </xf>
    <xf numFmtId="164" fontId="5" fillId="0" borderId="0" xfId="2" applyNumberFormat="1" applyFont="1" applyFill="1" applyBorder="1" applyAlignment="1">
      <alignment horizontal="right" wrapText="1" indent="1"/>
    </xf>
    <xf numFmtId="0" fontId="6" fillId="0" borderId="0" xfId="42" applyFont="1" applyAlignment="1">
      <alignment horizontal="left" wrapText="1" indent="2"/>
    </xf>
    <xf numFmtId="164" fontId="23" fillId="0" borderId="0" xfId="5" applyNumberFormat="1" applyFont="1" applyAlignment="1">
      <alignment horizontal="right"/>
    </xf>
    <xf numFmtId="164" fontId="9" fillId="0" borderId="0" xfId="5" applyNumberFormat="1" applyAlignment="1">
      <alignment horizontal="right"/>
    </xf>
    <xf numFmtId="49" fontId="5" fillId="0" borderId="0" xfId="5" applyNumberFormat="1" applyFont="1"/>
    <xf numFmtId="0" fontId="24" fillId="0" borderId="0" xfId="43" applyFont="1" applyAlignment="1">
      <alignment wrapText="1"/>
    </xf>
    <xf numFmtId="0" fontId="6" fillId="0" borderId="0" xfId="5" applyFont="1" applyAlignment="1">
      <alignment horizontal="left" wrapText="1"/>
    </xf>
    <xf numFmtId="0" fontId="24" fillId="0" borderId="0" xfId="44" applyFont="1"/>
    <xf numFmtId="0" fontId="4" fillId="0" borderId="1" xfId="5" applyFont="1" applyBorder="1" applyAlignment="1">
      <alignment horizontal="center" vertical="center"/>
    </xf>
    <xf numFmtId="0" fontId="4" fillId="0" borderId="1" xfId="5" applyFont="1" applyBorder="1" applyAlignment="1">
      <alignment horizontal="center" vertical="center" wrapText="1"/>
    </xf>
    <xf numFmtId="10" fontId="4" fillId="0" borderId="0" xfId="5" applyNumberFormat="1" applyFont="1"/>
    <xf numFmtId="3" fontId="4" fillId="0" borderId="0" xfId="5" applyNumberFormat="1" applyFont="1"/>
    <xf numFmtId="9" fontId="4" fillId="0" borderId="0" xfId="5" applyNumberFormat="1" applyFont="1"/>
    <xf numFmtId="10" fontId="7" fillId="0" borderId="0" xfId="5" applyNumberFormat="1" applyFont="1"/>
    <xf numFmtId="3" fontId="7" fillId="0" borderId="0" xfId="5" applyNumberFormat="1" applyFont="1"/>
    <xf numFmtId="2" fontId="7" fillId="0" borderId="0" xfId="5" applyNumberFormat="1" applyFont="1" applyAlignment="1">
      <alignment horizontal="justify" wrapText="1"/>
    </xf>
    <xf numFmtId="2" fontId="5" fillId="0" borderId="0" xfId="5" applyNumberFormat="1" applyFont="1" applyAlignment="1">
      <alignment horizontal="justify"/>
    </xf>
    <xf numFmtId="2" fontId="22" fillId="0" borderId="0" xfId="5" applyNumberFormat="1" applyFont="1" applyAlignment="1">
      <alignment horizontal="justify" vertical="center"/>
    </xf>
    <xf numFmtId="0" fontId="6" fillId="0" borderId="7" xfId="5" applyFont="1" applyBorder="1" applyAlignment="1">
      <alignment horizontal="left" vertical="center" wrapText="1"/>
    </xf>
    <xf numFmtId="0" fontId="6" fillId="0" borderId="1" xfId="5" applyFont="1" applyBorder="1" applyAlignment="1">
      <alignment horizontal="center" vertical="center" wrapText="1"/>
    </xf>
    <xf numFmtId="0" fontId="5" fillId="0" borderId="0" xfId="5" applyFont="1" applyAlignment="1">
      <alignment horizontal="left" vertical="center" indent="1"/>
    </xf>
    <xf numFmtId="0" fontId="5" fillId="0" borderId="0" xfId="5" applyFont="1" applyAlignment="1">
      <alignment horizontal="justify" vertical="center"/>
    </xf>
    <xf numFmtId="0" fontId="5" fillId="0" borderId="0" xfId="5" applyFont="1" applyAlignment="1">
      <alignment horizontal="left" vertical="center" wrapText="1"/>
    </xf>
    <xf numFmtId="0" fontId="5" fillId="0" borderId="0" xfId="5" applyFont="1" applyAlignment="1">
      <alignment horizontal="justify" wrapText="1"/>
    </xf>
    <xf numFmtId="0" fontId="5" fillId="0" borderId="0" xfId="5" applyFont="1" applyAlignment="1">
      <alignment horizontal="justify"/>
    </xf>
    <xf numFmtId="0" fontId="5" fillId="0" borderId="0" xfId="5" applyFont="1" applyAlignment="1">
      <alignment wrapText="1"/>
    </xf>
    <xf numFmtId="0" fontId="5" fillId="0" borderId="0" xfId="5" applyFont="1"/>
    <xf numFmtId="0" fontId="6" fillId="0" borderId="8" xfId="5" applyFont="1" applyBorder="1" applyAlignment="1">
      <alignment horizontal="left" wrapText="1"/>
    </xf>
    <xf numFmtId="3" fontId="6" fillId="0" borderId="0" xfId="5" applyNumberFormat="1" applyFont="1" applyAlignment="1">
      <alignment horizontal="right" vertical="center" wrapText="1"/>
    </xf>
    <xf numFmtId="3" fontId="5" fillId="0" borderId="0" xfId="5" applyNumberFormat="1" applyFont="1" applyAlignment="1">
      <alignment horizontal="left" vertical="center"/>
    </xf>
    <xf numFmtId="3" fontId="5" fillId="0" borderId="0" xfId="5" applyNumberFormat="1" applyFont="1" applyAlignment="1">
      <alignment horizontal="right"/>
    </xf>
    <xf numFmtId="0" fontId="28" fillId="0" borderId="0" xfId="39" applyFont="1" applyAlignment="1" applyProtection="1"/>
    <xf numFmtId="0" fontId="29" fillId="0" borderId="0" xfId="45" applyFont="1" applyAlignment="1">
      <alignment horizontal="left" wrapText="1"/>
    </xf>
    <xf numFmtId="0" fontId="24" fillId="0" borderId="0" xfId="43" quotePrefix="1" applyFont="1"/>
    <xf numFmtId="0" fontId="24" fillId="0" borderId="0" xfId="43" applyFont="1"/>
    <xf numFmtId="0" fontId="29" fillId="0" borderId="1" xfId="43" applyFont="1" applyBorder="1" applyAlignment="1">
      <alignment horizontal="center" vertical="center"/>
    </xf>
    <xf numFmtId="0" fontId="29" fillId="0" borderId="0" xfId="43" applyFont="1"/>
    <xf numFmtId="0" fontId="7" fillId="0" borderId="0" xfId="5" applyFont="1" applyAlignment="1">
      <alignment horizontal="left" indent="2"/>
    </xf>
    <xf numFmtId="3" fontId="4" fillId="0" borderId="0" xfId="5" applyNumberFormat="1" applyFont="1" applyAlignment="1">
      <alignment horizontal="right"/>
    </xf>
    <xf numFmtId="3" fontId="7" fillId="0" borderId="0" xfId="5" applyNumberFormat="1" applyFont="1" applyAlignment="1">
      <alignment horizontal="right"/>
    </xf>
    <xf numFmtId="0" fontId="24" fillId="0" borderId="0" xfId="43" applyFont="1" applyAlignment="1">
      <alignment horizontal="left" wrapText="1"/>
    </xf>
    <xf numFmtId="0" fontId="24" fillId="0" borderId="0" xfId="43" applyFont="1" applyAlignment="1">
      <alignment horizontal="left" wrapText="1"/>
    </xf>
    <xf numFmtId="0" fontId="4" fillId="0" borderId="0" xfId="5" applyFont="1" applyAlignment="1">
      <alignment horizontal="justify" wrapText="1"/>
    </xf>
    <xf numFmtId="0" fontId="4" fillId="0" borderId="0" xfId="5" applyFont="1" applyAlignment="1">
      <alignment horizontal="left" vertical="center"/>
    </xf>
    <xf numFmtId="164" fontId="4" fillId="0" borderId="0" xfId="5" applyNumberFormat="1" applyFont="1" applyAlignment="1">
      <alignment horizontal="right" vertical="center"/>
    </xf>
    <xf numFmtId="164" fontId="4" fillId="0" borderId="0" xfId="5" applyNumberFormat="1" applyFont="1"/>
    <xf numFmtId="0" fontId="7" fillId="0" borderId="0" xfId="5" applyFont="1" applyAlignment="1">
      <alignment horizontal="left" indent="3"/>
    </xf>
    <xf numFmtId="164" fontId="7" fillId="0" borderId="0" xfId="5" applyNumberFormat="1" applyFont="1"/>
    <xf numFmtId="0" fontId="24" fillId="6" borderId="0" xfId="43" applyFont="1" applyFill="1" applyAlignment="1">
      <alignment horizontal="left" vertical="center" wrapText="1"/>
    </xf>
    <xf numFmtId="0" fontId="4" fillId="0" borderId="0" xfId="5" applyFont="1" applyAlignment="1">
      <alignment horizontal="left" wrapText="1"/>
    </xf>
    <xf numFmtId="0" fontId="4" fillId="0" borderId="0" xfId="5" applyFont="1" applyAlignment="1">
      <alignment horizontal="left" vertical="center" wrapText="1"/>
    </xf>
    <xf numFmtId="164" fontId="4" fillId="0" borderId="0" xfId="5" applyNumberFormat="1" applyFont="1" applyAlignment="1">
      <alignment horizontal="right" vertical="center" wrapText="1"/>
    </xf>
    <xf numFmtId="0" fontId="24" fillId="0" borderId="0" xfId="43" applyFont="1" applyAlignment="1">
      <alignment horizontal="left" vertical="center" wrapText="1"/>
    </xf>
    <xf numFmtId="0" fontId="4" fillId="0" borderId="0" xfId="5" applyFont="1" applyAlignment="1">
      <alignment horizontal="left" indent="3"/>
    </xf>
    <xf numFmtId="0" fontId="6" fillId="0" borderId="0" xfId="5" applyFont="1" applyAlignment="1">
      <alignment horizontal="right"/>
    </xf>
    <xf numFmtId="0" fontId="5" fillId="0" borderId="0" xfId="5" applyFont="1" applyAlignment="1">
      <alignment vertical="center" wrapText="1"/>
    </xf>
    <xf numFmtId="3" fontId="6" fillId="0" borderId="1" xfId="5" applyNumberFormat="1" applyFont="1" applyBorder="1" applyAlignment="1">
      <alignment horizontal="center" vertical="center" wrapText="1"/>
    </xf>
    <xf numFmtId="3" fontId="6" fillId="0" borderId="0" xfId="5" applyNumberFormat="1" applyFont="1" applyAlignment="1">
      <alignment horizontal="center" vertical="center" wrapText="1"/>
    </xf>
    <xf numFmtId="164" fontId="6" fillId="0" borderId="0" xfId="5" applyNumberFormat="1" applyFont="1" applyAlignment="1">
      <alignment vertical="center" wrapText="1"/>
    </xf>
    <xf numFmtId="164" fontId="6" fillId="0" borderId="0" xfId="5" applyNumberFormat="1" applyFont="1" applyAlignment="1">
      <alignment horizontal="right" vertical="center" wrapText="1"/>
    </xf>
    <xf numFmtId="3" fontId="6" fillId="0" borderId="0" xfId="5" applyNumberFormat="1" applyFont="1" applyAlignment="1">
      <alignment horizontal="left"/>
    </xf>
    <xf numFmtId="3" fontId="6" fillId="0" borderId="0" xfId="5" applyNumberFormat="1" applyFont="1"/>
    <xf numFmtId="3" fontId="5" fillId="0" borderId="0" xfId="5" applyNumberFormat="1" applyFont="1" applyAlignment="1">
      <alignment horizontal="left" indent="1"/>
    </xf>
    <xf numFmtId="0" fontId="5" fillId="0" borderId="0" xfId="43" applyFont="1"/>
    <xf numFmtId="49" fontId="5" fillId="0" borderId="0" xfId="5" applyNumberFormat="1" applyFont="1" applyAlignment="1">
      <alignment horizontal="left" vertical="center" wrapText="1"/>
    </xf>
    <xf numFmtId="0" fontId="5" fillId="0" borderId="0" xfId="5" applyFont="1" applyAlignment="1">
      <alignment horizontal="right"/>
    </xf>
    <xf numFmtId="0" fontId="5" fillId="0" borderId="0" xfId="5" applyFont="1" applyAlignment="1">
      <alignment horizontal="center" vertical="center" wrapText="1"/>
    </xf>
    <xf numFmtId="164" fontId="6" fillId="0" borderId="0" xfId="5" applyNumberFormat="1" applyFont="1" applyAlignment="1">
      <alignment horizontal="center"/>
    </xf>
    <xf numFmtId="0" fontId="6" fillId="0" borderId="0" xfId="5" applyFont="1" applyAlignment="1">
      <alignment horizontal="left"/>
    </xf>
    <xf numFmtId="0" fontId="5" fillId="0" borderId="0" xfId="5" applyFont="1" applyAlignment="1">
      <alignment horizontal="left" indent="1"/>
    </xf>
    <xf numFmtId="0" fontId="5" fillId="0" borderId="0" xfId="43" applyFont="1" applyAlignment="1">
      <alignment horizontal="left" wrapText="1"/>
    </xf>
    <xf numFmtId="0" fontId="5" fillId="0" borderId="0" xfId="43" applyFont="1" applyAlignment="1">
      <alignment horizontal="justify" wrapText="1"/>
    </xf>
    <xf numFmtId="0" fontId="6" fillId="0" borderId="0" xfId="5" applyFont="1" applyAlignment="1">
      <alignment horizontal="justify" wrapText="1"/>
    </xf>
    <xf numFmtId="0" fontId="6" fillId="0" borderId="0" xfId="5" applyFont="1" applyAlignment="1">
      <alignment horizontal="left" wrapText="1"/>
    </xf>
    <xf numFmtId="0" fontId="6" fillId="0" borderId="0" xfId="5" applyFont="1" applyAlignment="1">
      <alignment horizontal="left" wrapText="1" indent="2"/>
    </xf>
    <xf numFmtId="0" fontId="5" fillId="0" borderId="0" xfId="5" applyFont="1" applyAlignment="1">
      <alignment horizontal="left" wrapText="1" indent="3"/>
    </xf>
    <xf numFmtId="0" fontId="5" fillId="0" borderId="0" xfId="5" applyFont="1" applyAlignment="1">
      <alignment horizontal="left" indent="3"/>
    </xf>
    <xf numFmtId="0" fontId="5" fillId="0" borderId="0" xfId="43" applyFont="1" applyAlignment="1">
      <alignment wrapText="1"/>
    </xf>
    <xf numFmtId="0" fontId="6" fillId="0" borderId="2" xfId="5" applyFont="1" applyBorder="1" applyAlignment="1">
      <alignment horizontal="center" vertical="center"/>
    </xf>
    <xf numFmtId="0" fontId="6" fillId="0" borderId="6" xfId="5" applyFont="1" applyBorder="1" applyAlignment="1">
      <alignment horizontal="center" vertical="center"/>
    </xf>
    <xf numFmtId="164" fontId="6" fillId="0" borderId="0" xfId="5" applyNumberFormat="1" applyFont="1" applyAlignment="1">
      <alignment horizontal="right" wrapText="1"/>
    </xf>
    <xf numFmtId="0" fontId="5" fillId="0" borderId="0" xfId="5" applyFont="1" applyAlignment="1">
      <alignment horizontal="left" wrapText="1" indent="1"/>
    </xf>
    <xf numFmtId="0" fontId="5" fillId="0" borderId="0" xfId="43" applyFont="1" applyAlignment="1">
      <alignment vertical="center"/>
    </xf>
    <xf numFmtId="0" fontId="6" fillId="0" borderId="0" xfId="0" applyFont="1" applyAlignment="1">
      <alignment horizontal="left" vertical="center" wrapText="1"/>
    </xf>
    <xf numFmtId="0" fontId="5" fillId="0" borderId="0" xfId="46" applyFont="1"/>
    <xf numFmtId="0" fontId="6" fillId="0" borderId="0" xfId="0" applyFont="1" applyAlignment="1">
      <alignment horizontal="justify" vertical="center" wrapText="1"/>
    </xf>
    <xf numFmtId="0" fontId="5" fillId="0" borderId="0" xfId="46" applyFont="1" applyAlignment="1">
      <alignment vertical="center" wrapText="1"/>
    </xf>
    <xf numFmtId="0" fontId="31" fillId="0" borderId="0" xfId="46" applyFont="1" applyAlignment="1">
      <alignment vertical="center"/>
    </xf>
    <xf numFmtId="0" fontId="31" fillId="0" borderId="0" xfId="46" applyFont="1" applyAlignment="1">
      <alignment horizontal="center" vertical="center"/>
    </xf>
    <xf numFmtId="0" fontId="6" fillId="0" borderId="2" xfId="46" applyFont="1" applyBorder="1" applyAlignment="1">
      <alignment horizontal="center" vertical="center" wrapText="1"/>
    </xf>
    <xf numFmtId="0" fontId="6" fillId="0" borderId="1" xfId="46" applyFont="1" applyBorder="1" applyAlignment="1">
      <alignment horizontal="center" vertical="center"/>
    </xf>
    <xf numFmtId="0" fontId="31" fillId="0" borderId="0" xfId="46" applyFont="1" applyAlignment="1">
      <alignment vertical="top"/>
    </xf>
    <xf numFmtId="3" fontId="31" fillId="0" borderId="0" xfId="46" applyNumberFormat="1" applyFont="1" applyAlignment="1">
      <alignment horizontal="right" vertical="center"/>
    </xf>
    <xf numFmtId="0" fontId="5" fillId="0" borderId="0" xfId="46" applyFont="1" applyAlignment="1">
      <alignment vertical="center"/>
    </xf>
    <xf numFmtId="0" fontId="6" fillId="0" borderId="6" xfId="46" applyFont="1" applyBorder="1" applyAlignment="1">
      <alignment horizontal="center" vertical="center" wrapText="1"/>
    </xf>
    <xf numFmtId="0" fontId="6" fillId="0" borderId="1" xfId="46" applyFont="1" applyBorder="1" applyAlignment="1">
      <alignment horizontal="center" vertical="center" wrapText="1"/>
    </xf>
    <xf numFmtId="0" fontId="6" fillId="0" borderId="1" xfId="46" applyFont="1" applyBorder="1" applyAlignment="1">
      <alignment horizontal="center" vertical="center"/>
    </xf>
    <xf numFmtId="166" fontId="32" fillId="0" borderId="0" xfId="2" applyNumberFormat="1" applyFont="1" applyAlignment="1">
      <alignment horizontal="right" vertical="center"/>
    </xf>
    <xf numFmtId="166" fontId="32" fillId="0" borderId="0" xfId="0" applyNumberFormat="1" applyFont="1" applyAlignment="1">
      <alignment horizontal="right" vertical="center"/>
    </xf>
    <xf numFmtId="0" fontId="6" fillId="0" borderId="0" xfId="46" applyFont="1" applyAlignment="1">
      <alignment vertical="center" wrapText="1"/>
    </xf>
    <xf numFmtId="3" fontId="6" fillId="0" borderId="0" xfId="46" applyNumberFormat="1" applyFont="1" applyAlignment="1">
      <alignment vertical="center"/>
    </xf>
    <xf numFmtId="0" fontId="5" fillId="0" borderId="0" xfId="46" applyFont="1" applyAlignment="1">
      <alignment vertical="top" wrapText="1"/>
    </xf>
    <xf numFmtId="166" fontId="7" fillId="0" borderId="0" xfId="2" applyNumberFormat="1" applyFont="1" applyAlignment="1">
      <alignment horizontal="right" vertical="center"/>
    </xf>
    <xf numFmtId="166" fontId="7" fillId="0" borderId="0" xfId="0" applyNumberFormat="1" applyFont="1" applyAlignment="1">
      <alignment horizontal="right" vertical="center"/>
    </xf>
    <xf numFmtId="0" fontId="31" fillId="0" borderId="0" xfId="46" applyFont="1" applyAlignment="1">
      <alignment vertical="top" wrapText="1"/>
    </xf>
    <xf numFmtId="0" fontId="31" fillId="0" borderId="0" xfId="46" applyFont="1"/>
    <xf numFmtId="0" fontId="31" fillId="0" borderId="0" xfId="46" applyFont="1" applyAlignment="1">
      <alignment horizontal="left" vertical="top" wrapText="1"/>
    </xf>
    <xf numFmtId="0" fontId="5" fillId="0" borderId="0" xfId="46" applyFont="1" applyAlignment="1">
      <alignment horizontal="left" vertical="top"/>
    </xf>
    <xf numFmtId="0" fontId="31" fillId="0" borderId="0" xfId="46" applyFont="1" applyAlignment="1">
      <alignment horizontal="left" vertical="top"/>
    </xf>
    <xf numFmtId="0" fontId="5" fillId="0" borderId="0" xfId="46" applyFont="1" applyAlignment="1">
      <alignment horizontal="left" vertical="top" wrapText="1"/>
    </xf>
    <xf numFmtId="0" fontId="5" fillId="0" borderId="0" xfId="46" applyFont="1" applyAlignment="1">
      <alignment horizontal="center" vertical="top" wrapText="1"/>
    </xf>
    <xf numFmtId="0" fontId="6" fillId="0" borderId="0" xfId="46" applyFont="1" applyAlignment="1">
      <alignment horizontal="center" vertical="center" wrapText="1"/>
    </xf>
    <xf numFmtId="166" fontId="6" fillId="0" borderId="0" xfId="2" applyNumberFormat="1" applyFont="1" applyAlignment="1">
      <alignment horizontal="center" vertical="center"/>
    </xf>
    <xf numFmtId="3" fontId="6" fillId="0" borderId="0" xfId="46" applyNumberFormat="1" applyFont="1" applyAlignment="1">
      <alignment horizontal="center" vertical="center"/>
    </xf>
    <xf numFmtId="0" fontId="6" fillId="0" borderId="0" xfId="46" applyFont="1" applyAlignment="1">
      <alignment horizontal="center" vertical="center"/>
    </xf>
    <xf numFmtId="0" fontId="6" fillId="0" borderId="1" xfId="46" applyFont="1" applyBorder="1" applyAlignment="1">
      <alignment vertical="top" wrapText="1"/>
    </xf>
    <xf numFmtId="3" fontId="5" fillId="0" borderId="1" xfId="2" applyNumberFormat="1" applyFont="1" applyBorder="1"/>
    <xf numFmtId="3" fontId="5" fillId="0" borderId="1" xfId="46" applyNumberFormat="1" applyFont="1" applyBorder="1"/>
    <xf numFmtId="166" fontId="5" fillId="0" borderId="0" xfId="2" applyNumberFormat="1" applyFont="1"/>
    <xf numFmtId="166" fontId="5" fillId="0" borderId="0" xfId="46" applyNumberFormat="1" applyFont="1"/>
    <xf numFmtId="0" fontId="5" fillId="0" borderId="1" xfId="46" applyFont="1" applyBorder="1" applyAlignment="1">
      <alignment vertical="top" wrapText="1"/>
    </xf>
    <xf numFmtId="0" fontId="6" fillId="0" borderId="0" xfId="46" applyFont="1" applyAlignment="1">
      <alignment horizontal="justify" vertical="top" wrapText="1"/>
    </xf>
    <xf numFmtId="0" fontId="6" fillId="0" borderId="0" xfId="46" applyFont="1" applyAlignment="1">
      <alignment horizontal="left" vertical="top"/>
    </xf>
    <xf numFmtId="0" fontId="5" fillId="0" borderId="0" xfId="46" applyFont="1" applyAlignment="1">
      <alignment wrapText="1"/>
    </xf>
    <xf numFmtId="0" fontId="6" fillId="0" borderId="2" xfId="0" applyFont="1" applyBorder="1" applyAlignment="1">
      <alignment horizontal="center" vertical="center"/>
    </xf>
    <xf numFmtId="0" fontId="6" fillId="0" borderId="1" xfId="46" applyFont="1" applyBorder="1" applyAlignment="1">
      <alignment horizontal="center" vertical="center" wrapText="1"/>
    </xf>
    <xf numFmtId="0" fontId="6" fillId="0" borderId="6" xfId="0" applyFont="1" applyBorder="1" applyAlignment="1">
      <alignment horizontal="center" vertical="center"/>
    </xf>
    <xf numFmtId="0" fontId="5" fillId="0" borderId="0" xfId="46" applyFont="1" applyAlignment="1">
      <alignment horizontal="left" vertical="center" wrapText="1"/>
    </xf>
    <xf numFmtId="0" fontId="6" fillId="0" borderId="0" xfId="46" applyFont="1" applyAlignment="1">
      <alignment vertical="top" wrapText="1"/>
    </xf>
    <xf numFmtId="164" fontId="6" fillId="0" borderId="0" xfId="46" applyNumberFormat="1" applyFont="1" applyAlignment="1">
      <alignment horizontal="right" vertical="center" wrapText="1"/>
    </xf>
    <xf numFmtId="3" fontId="6" fillId="0" borderId="0" xfId="46" applyNumberFormat="1" applyFont="1" applyAlignment="1">
      <alignment horizontal="right" vertical="center" wrapText="1"/>
    </xf>
    <xf numFmtId="3" fontId="6" fillId="0" borderId="0" xfId="46" applyNumberFormat="1" applyFont="1" applyAlignment="1">
      <alignment wrapText="1"/>
    </xf>
    <xf numFmtId="0" fontId="6" fillId="0" borderId="0" xfId="46" applyFont="1"/>
    <xf numFmtId="3" fontId="5" fillId="0" borderId="0" xfId="0" applyNumberFormat="1" applyFont="1" applyAlignment="1" applyProtection="1">
      <alignment horizontal="left" vertical="center" wrapText="1"/>
      <protection locked="0"/>
    </xf>
    <xf numFmtId="164" fontId="5" fillId="0" borderId="0" xfId="46" applyNumberFormat="1" applyFont="1" applyAlignment="1">
      <alignment horizontal="right" vertical="center" wrapText="1"/>
    </xf>
    <xf numFmtId="164" fontId="5" fillId="0" borderId="0" xfId="46" applyNumberFormat="1" applyFont="1" applyAlignment="1">
      <alignment horizontal="right" vertical="center"/>
    </xf>
    <xf numFmtId="3" fontId="5" fillId="0" borderId="0" xfId="46" applyNumberFormat="1" applyFont="1"/>
    <xf numFmtId="3" fontId="5" fillId="0" borderId="0" xfId="0" applyNumberFormat="1" applyFont="1" applyAlignment="1" applyProtection="1">
      <alignment horizontal="left" vertical="center"/>
      <protection locked="0"/>
    </xf>
    <xf numFmtId="164" fontId="5" fillId="0" borderId="0" xfId="46" applyNumberFormat="1" applyFont="1" applyAlignment="1">
      <alignment horizontal="right" vertical="top"/>
    </xf>
    <xf numFmtId="3" fontId="5" fillId="0" borderId="0" xfId="46" applyNumberFormat="1" applyFont="1" applyAlignment="1">
      <alignment vertical="top"/>
    </xf>
    <xf numFmtId="164" fontId="5" fillId="0" borderId="0" xfId="46" applyNumberFormat="1" applyFont="1" applyAlignment="1">
      <alignment horizontal="right"/>
    </xf>
    <xf numFmtId="164" fontId="5" fillId="0" borderId="0" xfId="46" applyNumberFormat="1" applyFont="1" applyAlignment="1">
      <alignment horizontal="right" vertical="top" wrapText="1"/>
    </xf>
    <xf numFmtId="3" fontId="6" fillId="0" borderId="0" xfId="46" applyNumberFormat="1" applyFont="1" applyAlignment="1">
      <alignment horizontal="right"/>
    </xf>
    <xf numFmtId="0" fontId="7" fillId="0" borderId="0" xfId="0" applyFont="1" applyAlignment="1">
      <alignment horizontal="left" vertical="top" wrapText="1"/>
    </xf>
    <xf numFmtId="0" fontId="5" fillId="0" borderId="0" xfId="46" applyFont="1" applyAlignment="1">
      <alignment horizontal="left"/>
    </xf>
    <xf numFmtId="49" fontId="5" fillId="0" borderId="0" xfId="0" applyNumberFormat="1" applyFont="1" applyAlignment="1">
      <alignment horizontal="left" vertical="center" wrapText="1"/>
    </xf>
    <xf numFmtId="0" fontId="6" fillId="0" borderId="0" xfId="46" applyFont="1" applyAlignment="1">
      <alignment horizontal="justify" vertical="center" wrapText="1"/>
    </xf>
    <xf numFmtId="0" fontId="6" fillId="0" borderId="1" xfId="0" applyFont="1" applyBorder="1" applyAlignment="1">
      <alignment horizontal="center" vertical="center" wrapText="1"/>
    </xf>
    <xf numFmtId="0" fontId="4" fillId="0" borderId="1" xfId="46" applyFont="1" applyBorder="1" applyAlignment="1">
      <alignment horizontal="center" vertical="center" wrapText="1"/>
    </xf>
    <xf numFmtId="164" fontId="6" fillId="0" borderId="0" xfId="46" applyNumberFormat="1" applyFont="1"/>
    <xf numFmtId="3" fontId="5" fillId="0" borderId="0" xfId="7" applyNumberFormat="1" applyFont="1" applyAlignment="1" applyProtection="1">
      <alignment horizontal="left" vertical="center"/>
      <protection locked="0"/>
    </xf>
    <xf numFmtId="164" fontId="5" fillId="0" borderId="0" xfId="46" applyNumberFormat="1" applyFont="1"/>
    <xf numFmtId="0" fontId="5" fillId="0" borderId="0" xfId="46" applyFont="1" applyAlignment="1">
      <alignment horizontal="left" vertical="top" wrapText="1"/>
    </xf>
    <xf numFmtId="49" fontId="5" fillId="0" borderId="0" xfId="0" applyNumberFormat="1" applyFont="1" applyAlignment="1">
      <alignment vertical="center" wrapText="1"/>
    </xf>
    <xf numFmtId="0" fontId="6" fillId="0" borderId="0" xfId="0" applyFont="1" applyAlignment="1">
      <alignment horizontal="left"/>
    </xf>
    <xf numFmtId="3" fontId="5" fillId="0" borderId="0" xfId="46" applyNumberFormat="1" applyFont="1" applyAlignment="1">
      <alignment horizontal="left" wrapText="1"/>
    </xf>
    <xf numFmtId="0" fontId="5" fillId="0" borderId="0" xfId="46" applyFont="1" applyAlignment="1">
      <alignment horizontal="left"/>
    </xf>
    <xf numFmtId="0" fontId="6" fillId="0" borderId="0" xfId="0" applyFont="1" applyAlignment="1">
      <alignment horizontal="left" wrapText="1"/>
    </xf>
    <xf numFmtId="0" fontId="5" fillId="0" borderId="0" xfId="0" applyFont="1" applyAlignment="1">
      <alignment wrapText="1"/>
    </xf>
    <xf numFmtId="0" fontId="34" fillId="0" borderId="0" xfId="0" applyFont="1" applyAlignment="1">
      <alignment wrapText="1"/>
    </xf>
    <xf numFmtId="0" fontId="4" fillId="0" borderId="1" xfId="0" applyFont="1" applyBorder="1" applyAlignment="1">
      <alignment horizontal="center" vertical="center" wrapText="1"/>
    </xf>
    <xf numFmtId="164" fontId="6" fillId="0" borderId="9" xfId="46" applyNumberFormat="1" applyFont="1" applyBorder="1"/>
    <xf numFmtId="164" fontId="6" fillId="0" borderId="10" xfId="46" applyNumberFormat="1" applyFont="1" applyBorder="1"/>
    <xf numFmtId="164" fontId="5" fillId="0" borderId="0" xfId="0" applyNumberFormat="1" applyFont="1" applyAlignment="1">
      <alignment vertical="center"/>
    </xf>
    <xf numFmtId="164" fontId="5" fillId="0" borderId="0" xfId="0" applyNumberFormat="1" applyFont="1"/>
    <xf numFmtId="164" fontId="5" fillId="0" borderId="9" xfId="0" applyNumberFormat="1" applyFont="1" applyBorder="1"/>
    <xf numFmtId="164" fontId="5" fillId="0" borderId="10" xfId="0" applyNumberFormat="1" applyFont="1" applyBorder="1"/>
    <xf numFmtId="164" fontId="5" fillId="0" borderId="11" xfId="0" applyNumberFormat="1" applyFont="1" applyBorder="1"/>
    <xf numFmtId="164" fontId="5" fillId="0" borderId="12" xfId="0" applyNumberFormat="1" applyFont="1" applyBorder="1"/>
    <xf numFmtId="3" fontId="5" fillId="0" borderId="0" xfId="0" applyNumberFormat="1" applyFont="1" applyAlignment="1" applyProtection="1">
      <alignment vertical="center"/>
      <protection locked="0"/>
    </xf>
    <xf numFmtId="0" fontId="6" fillId="0" borderId="0" xfId="0" applyFont="1" applyAlignment="1">
      <alignment horizontal="left"/>
    </xf>
    <xf numFmtId="0" fontId="4" fillId="0" borderId="2" xfId="0" applyFont="1" applyBorder="1" applyAlignment="1">
      <alignment horizontal="center" vertical="center"/>
    </xf>
    <xf numFmtId="0" fontId="6" fillId="0" borderId="1" xfId="0" applyFont="1" applyBorder="1" applyAlignment="1">
      <alignment horizontal="center" vertical="center"/>
    </xf>
    <xf numFmtId="0" fontId="5" fillId="0" borderId="0" xfId="0" applyFont="1" applyAlignment="1">
      <alignment vertical="center"/>
    </xf>
    <xf numFmtId="0" fontId="4" fillId="0" borderId="13" xfId="0" applyFont="1" applyBorder="1" applyAlignment="1">
      <alignment horizontal="center" vertical="center"/>
    </xf>
    <xf numFmtId="0" fontId="4" fillId="0" borderId="1" xfId="0" applyFont="1" applyBorder="1" applyAlignment="1">
      <alignment horizontal="center" vertical="center"/>
    </xf>
    <xf numFmtId="0" fontId="4" fillId="0" borderId="6" xfId="0" applyFont="1" applyBorder="1" applyAlignment="1">
      <alignment horizontal="center" vertical="center"/>
    </xf>
    <xf numFmtId="0" fontId="4" fillId="0" borderId="1" xfId="0" applyFont="1" applyBorder="1" applyAlignment="1">
      <alignment horizontal="center" vertical="center"/>
    </xf>
    <xf numFmtId="167" fontId="6" fillId="0" borderId="0" xfId="8" applyNumberFormat="1" applyFont="1"/>
    <xf numFmtId="168" fontId="6" fillId="0" borderId="0" xfId="0" applyNumberFormat="1" applyFont="1" applyAlignment="1">
      <alignment horizontal="left"/>
    </xf>
    <xf numFmtId="0" fontId="4" fillId="0" borderId="0" xfId="0" applyFont="1" applyAlignment="1">
      <alignment vertical="center"/>
    </xf>
    <xf numFmtId="3" fontId="6" fillId="0" borderId="0" xfId="8" applyNumberFormat="1" applyFont="1" applyAlignment="1">
      <alignment horizontal="right" vertical="center"/>
    </xf>
    <xf numFmtId="168" fontId="5" fillId="0" borderId="0" xfId="0" applyNumberFormat="1" applyFont="1" applyAlignment="1">
      <alignment horizontal="left"/>
    </xf>
    <xf numFmtId="3" fontId="5" fillId="0" borderId="0" xfId="8" applyNumberFormat="1" applyFont="1"/>
    <xf numFmtId="0" fontId="5" fillId="0" borderId="0" xfId="0" applyFont="1" applyAlignment="1">
      <alignment horizontal="left" wrapText="1"/>
    </xf>
    <xf numFmtId="0" fontId="5" fillId="0" borderId="0" xfId="0" applyFont="1" applyAlignment="1">
      <alignment horizontal="left"/>
    </xf>
    <xf numFmtId="0" fontId="6" fillId="0" borderId="0" xfId="0" applyFont="1" applyAlignment="1">
      <alignment vertical="center"/>
    </xf>
    <xf numFmtId="0" fontId="9" fillId="0" borderId="0" xfId="0" applyFont="1"/>
    <xf numFmtId="0" fontId="4" fillId="0" borderId="0" xfId="0" applyFont="1" applyAlignment="1">
      <alignment horizontal="left"/>
    </xf>
    <xf numFmtId="3" fontId="4" fillId="0" borderId="0" xfId="0" applyNumberFormat="1" applyFont="1"/>
    <xf numFmtId="3" fontId="7" fillId="0" borderId="0" xfId="0" applyNumberFormat="1" applyFont="1"/>
    <xf numFmtId="0" fontId="4" fillId="0" borderId="0" xfId="0" applyFont="1"/>
    <xf numFmtId="2" fontId="5" fillId="0" borderId="0" xfId="0" applyNumberFormat="1" applyFont="1" applyAlignment="1">
      <alignment horizontal="left"/>
    </xf>
    <xf numFmtId="166" fontId="6" fillId="0" borderId="0" xfId="0" applyNumberFormat="1" applyFont="1"/>
    <xf numFmtId="168" fontId="5" fillId="0" borderId="0" xfId="0" applyNumberFormat="1" applyFont="1"/>
    <xf numFmtId="0" fontId="4" fillId="0" borderId="0" xfId="47" applyFont="1"/>
    <xf numFmtId="0" fontId="9" fillId="0" borderId="0" xfId="48"/>
    <xf numFmtId="0" fontId="6" fillId="0" borderId="0" xfId="47" applyFont="1"/>
    <xf numFmtId="0" fontId="35" fillId="0" borderId="0" xfId="46" applyFont="1" applyAlignment="1">
      <alignment vertical="center" wrapText="1"/>
    </xf>
    <xf numFmtId="0" fontId="5" fillId="0" borderId="0" xfId="49" applyFont="1" applyAlignment="1">
      <alignment vertical="center"/>
    </xf>
    <xf numFmtId="0" fontId="5" fillId="0" borderId="0" xfId="49" applyFont="1" applyAlignment="1">
      <alignment horizontal="justify" vertical="center" wrapText="1"/>
    </xf>
    <xf numFmtId="0" fontId="6" fillId="0" borderId="0" xfId="49" applyFont="1" applyAlignment="1">
      <alignment horizontal="center" vertical="center" wrapText="1"/>
    </xf>
    <xf numFmtId="0" fontId="6" fillId="0" borderId="1" xfId="49" applyFont="1" applyBorder="1" applyAlignment="1">
      <alignment horizontal="center" vertical="center"/>
    </xf>
    <xf numFmtId="0" fontId="6" fillId="0" borderId="1" xfId="49" applyFont="1" applyBorder="1" applyAlignment="1">
      <alignment horizontal="right" vertical="center"/>
    </xf>
    <xf numFmtId="0" fontId="6" fillId="0" borderId="1" xfId="49" applyFont="1" applyBorder="1" applyAlignment="1">
      <alignment horizontal="justify" vertical="center" wrapText="1"/>
    </xf>
    <xf numFmtId="3" fontId="6" fillId="0" borderId="1" xfId="49" applyNumberFormat="1" applyFont="1" applyBorder="1" applyAlignment="1">
      <alignment horizontal="right" vertical="center" wrapText="1"/>
    </xf>
    <xf numFmtId="3" fontId="5" fillId="0" borderId="0" xfId="49" applyNumberFormat="1" applyFont="1" applyAlignment="1">
      <alignment horizontal="right" vertical="center"/>
    </xf>
    <xf numFmtId="0" fontId="6" fillId="0" borderId="1" xfId="49" applyFont="1" applyBorder="1" applyAlignment="1">
      <alignment horizontal="left" vertical="center" wrapText="1"/>
    </xf>
    <xf numFmtId="3" fontId="6" fillId="0" borderId="1" xfId="49" applyNumberFormat="1" applyFont="1" applyBorder="1" applyAlignment="1">
      <alignment horizontal="right" vertical="center"/>
    </xf>
    <xf numFmtId="0" fontId="24" fillId="0" borderId="1" xfId="5" applyFont="1" applyBorder="1" applyAlignment="1">
      <alignment horizontal="justify" vertical="center" wrapText="1"/>
    </xf>
    <xf numFmtId="10" fontId="6" fillId="0" borderId="1" xfId="5" applyNumberFormat="1" applyFont="1" applyBorder="1" applyAlignment="1">
      <alignment horizontal="right"/>
    </xf>
    <xf numFmtId="0" fontId="6" fillId="0" borderId="0" xfId="49" applyFont="1" applyAlignment="1">
      <alignment horizontal="left" vertical="center" wrapText="1"/>
    </xf>
    <xf numFmtId="166" fontId="5" fillId="0" borderId="0" xfId="2" applyNumberFormat="1" applyFont="1" applyFill="1" applyAlignment="1">
      <alignment horizontal="right"/>
    </xf>
    <xf numFmtId="0" fontId="6" fillId="0" borderId="1" xfId="49" applyFont="1" applyBorder="1" applyAlignment="1">
      <alignment horizontal="center" vertical="center" wrapText="1"/>
    </xf>
    <xf numFmtId="0" fontId="6" fillId="0" borderId="3" xfId="49" applyFont="1" applyBorder="1" applyAlignment="1">
      <alignment horizontal="left" vertical="center" wrapText="1"/>
    </xf>
    <xf numFmtId="0" fontId="6" fillId="0" borderId="5" xfId="49" applyFont="1" applyBorder="1" applyAlignment="1">
      <alignment horizontal="left" vertical="center" wrapText="1"/>
    </xf>
    <xf numFmtId="166" fontId="6" fillId="0" borderId="1" xfId="49" applyNumberFormat="1" applyFont="1" applyBorder="1" applyAlignment="1">
      <alignment horizontal="center" vertical="center" wrapText="1"/>
    </xf>
    <xf numFmtId="165" fontId="9" fillId="0" borderId="0" xfId="48" applyNumberFormat="1"/>
    <xf numFmtId="0" fontId="5" fillId="0" borderId="1" xfId="49" applyFont="1" applyBorder="1" applyAlignment="1">
      <alignment horizontal="center" vertical="center" wrapText="1"/>
    </xf>
    <xf numFmtId="0" fontId="6" fillId="0" borderId="1" xfId="49" applyFont="1" applyBorder="1" applyAlignment="1">
      <alignment horizontal="left" vertical="center" wrapText="1"/>
    </xf>
    <xf numFmtId="166" fontId="6" fillId="0" borderId="1" xfId="2" applyNumberFormat="1" applyFont="1" applyFill="1" applyBorder="1" applyAlignment="1">
      <alignment horizontal="right"/>
    </xf>
    <xf numFmtId="3" fontId="5" fillId="0" borderId="1" xfId="49" applyNumberFormat="1" applyFont="1" applyBorder="1" applyAlignment="1">
      <alignment horizontal="left" vertical="center" wrapText="1"/>
    </xf>
    <xf numFmtId="3" fontId="5" fillId="0" borderId="1" xfId="5" applyNumberFormat="1" applyFont="1" applyBorder="1" applyAlignment="1">
      <alignment horizontal="right"/>
    </xf>
    <xf numFmtId="166" fontId="5" fillId="0" borderId="1" xfId="2" applyNumberFormat="1" applyFont="1" applyFill="1" applyBorder="1" applyAlignment="1">
      <alignment horizontal="right"/>
    </xf>
    <xf numFmtId="166" fontId="5" fillId="0" borderId="1" xfId="2" applyNumberFormat="1" applyFont="1" applyFill="1" applyBorder="1" applyAlignment="1">
      <alignment horizontal="right" vertical="center"/>
    </xf>
    <xf numFmtId="0" fontId="5" fillId="0" borderId="1" xfId="49" applyFont="1" applyBorder="1" applyAlignment="1">
      <alignment horizontal="left" vertical="center"/>
    </xf>
    <xf numFmtId="0" fontId="5" fillId="0" borderId="0" xfId="49" applyFont="1" applyAlignment="1">
      <alignment horizontal="center" vertical="center" wrapText="1"/>
    </xf>
    <xf numFmtId="0" fontId="5" fillId="0" borderId="0" xfId="49" applyFont="1" applyAlignment="1">
      <alignment horizontal="left" vertical="center" wrapText="1"/>
    </xf>
    <xf numFmtId="0" fontId="5" fillId="0" borderId="0" xfId="49" applyFont="1" applyAlignment="1">
      <alignment horizontal="right" vertical="center" wrapText="1"/>
    </xf>
    <xf numFmtId="166" fontId="6" fillId="0" borderId="0" xfId="2" applyNumberFormat="1" applyFont="1" applyFill="1" applyBorder="1"/>
    <xf numFmtId="0" fontId="5" fillId="0" borderId="0" xfId="49" applyFont="1" applyAlignment="1">
      <alignment horizontal="left" vertical="center" wrapText="1"/>
    </xf>
    <xf numFmtId="169" fontId="6" fillId="0" borderId="0" xfId="2" applyNumberFormat="1" applyFont="1" applyFill="1" applyBorder="1"/>
    <xf numFmtId="170" fontId="9" fillId="0" borderId="0" xfId="48" applyNumberFormat="1"/>
    <xf numFmtId="0" fontId="5" fillId="0" borderId="0" xfId="5" applyFont="1" applyAlignment="1">
      <alignment horizontal="left"/>
    </xf>
    <xf numFmtId="0" fontId="5" fillId="0" borderId="0" xfId="49" applyFont="1" applyAlignment="1">
      <alignment vertical="center" wrapText="1"/>
    </xf>
    <xf numFmtId="0" fontId="5" fillId="0" borderId="0" xfId="49" applyFont="1" applyAlignment="1">
      <alignment horizontal="justify" vertical="center"/>
    </xf>
    <xf numFmtId="166" fontId="5" fillId="0" borderId="0" xfId="2" applyNumberFormat="1" applyFont="1" applyFill="1" applyBorder="1"/>
    <xf numFmtId="0" fontId="6" fillId="0" borderId="0" xfId="46" applyFont="1" applyAlignment="1">
      <alignment horizontal="left" vertical="center" wrapText="1"/>
    </xf>
    <xf numFmtId="0" fontId="6" fillId="0" borderId="3" xfId="46" applyFont="1" applyBorder="1" applyAlignment="1">
      <alignment horizontal="left" vertical="center" wrapText="1"/>
    </xf>
    <xf numFmtId="0" fontId="6" fillId="0" borderId="4" xfId="46" applyFont="1" applyBorder="1" applyAlignment="1">
      <alignment horizontal="left" vertical="center" wrapText="1"/>
    </xf>
    <xf numFmtId="166" fontId="6" fillId="0" borderId="5" xfId="46" applyNumberFormat="1" applyFont="1" applyBorder="1" applyAlignment="1">
      <alignment horizontal="left" vertical="center" wrapText="1"/>
    </xf>
    <xf numFmtId="0" fontId="5" fillId="0" borderId="14" xfId="49" applyFont="1" applyBorder="1" applyAlignment="1">
      <alignment horizontal="center" vertical="center" wrapText="1"/>
    </xf>
    <xf numFmtId="0" fontId="6" fillId="0" borderId="15" xfId="49" applyFont="1" applyBorder="1" applyAlignment="1">
      <alignment horizontal="left" vertical="center" wrapText="1"/>
    </xf>
    <xf numFmtId="166" fontId="6" fillId="0" borderId="16" xfId="2" applyNumberFormat="1" applyFont="1" applyFill="1" applyBorder="1" applyAlignment="1">
      <alignment horizontal="right"/>
    </xf>
    <xf numFmtId="0" fontId="5" fillId="0" borderId="17" xfId="5" applyFont="1" applyBorder="1" applyAlignment="1">
      <alignment horizontal="center" vertical="center" wrapText="1"/>
    </xf>
    <xf numFmtId="0" fontId="5" fillId="0" borderId="8" xfId="49" applyFont="1" applyBorder="1" applyAlignment="1">
      <alignment horizontal="left" vertical="center"/>
    </xf>
    <xf numFmtId="166" fontId="5" fillId="0" borderId="18" xfId="2" applyNumberFormat="1" applyFont="1" applyFill="1" applyBorder="1" applyAlignment="1">
      <alignment horizontal="right"/>
    </xf>
    <xf numFmtId="0" fontId="5" fillId="0" borderId="19" xfId="49" applyFont="1" applyBorder="1" applyAlignment="1">
      <alignment horizontal="center" vertical="center" wrapText="1"/>
    </xf>
    <xf numFmtId="166" fontId="5" fillId="0" borderId="20" xfId="2" applyNumberFormat="1" applyFont="1" applyFill="1" applyBorder="1" applyAlignment="1">
      <alignment horizontal="right"/>
    </xf>
    <xf numFmtId="0" fontId="5" fillId="0" borderId="19" xfId="5" applyFont="1" applyBorder="1" applyAlignment="1">
      <alignment horizontal="center" vertical="center" wrapText="1"/>
    </xf>
    <xf numFmtId="0" fontId="5" fillId="0" borderId="8" xfId="49" applyFont="1" applyBorder="1" applyAlignment="1">
      <alignment horizontal="left" vertical="center" wrapText="1"/>
    </xf>
    <xf numFmtId="0" fontId="5" fillId="0" borderId="3" xfId="5" applyFont="1" applyBorder="1" applyAlignment="1">
      <alignment horizontal="center" vertical="center" wrapText="1"/>
    </xf>
    <xf numFmtId="0" fontId="6" fillId="0" borderId="4" xfId="49" applyFont="1" applyBorder="1" applyAlignment="1">
      <alignment horizontal="left" vertical="center" wrapText="1"/>
    </xf>
    <xf numFmtId="166" fontId="6" fillId="0" borderId="5" xfId="2" applyNumberFormat="1" applyFont="1" applyFill="1" applyBorder="1" applyAlignment="1">
      <alignment horizontal="right" vertical="center"/>
    </xf>
    <xf numFmtId="0" fontId="6" fillId="0" borderId="0" xfId="5" applyFont="1" applyAlignment="1">
      <alignment horizontal="left" vertical="center" wrapText="1"/>
    </xf>
    <xf numFmtId="0" fontId="6" fillId="0" borderId="3" xfId="5" applyFont="1" applyBorder="1" applyAlignment="1">
      <alignment horizontal="left" vertical="center" wrapText="1"/>
    </xf>
    <xf numFmtId="0" fontId="6" fillId="0" borderId="5" xfId="5" applyFont="1" applyBorder="1" applyAlignment="1">
      <alignment horizontal="left" vertical="center" wrapText="1"/>
    </xf>
    <xf numFmtId="166" fontId="6" fillId="0" borderId="1" xfId="5" applyNumberFormat="1" applyFont="1" applyBorder="1" applyAlignment="1">
      <alignment horizontal="left" vertical="center" wrapText="1"/>
    </xf>
    <xf numFmtId="0" fontId="5" fillId="6" borderId="14" xfId="49" applyFont="1" applyFill="1" applyBorder="1" applyAlignment="1">
      <alignment horizontal="center" vertical="center" wrapText="1"/>
    </xf>
    <xf numFmtId="0" fontId="6" fillId="6" borderId="0" xfId="49" applyFont="1" applyFill="1" applyAlignment="1">
      <alignment horizontal="left" vertical="center" wrapText="1"/>
    </xf>
    <xf numFmtId="166" fontId="6" fillId="6" borderId="20" xfId="2" applyNumberFormat="1" applyFont="1" applyFill="1" applyBorder="1" applyAlignment="1">
      <alignment horizontal="right" vertical="center"/>
    </xf>
    <xf numFmtId="0" fontId="5" fillId="6" borderId="17" xfId="49" applyFont="1" applyFill="1" applyBorder="1" applyAlignment="1">
      <alignment horizontal="center" vertical="center" wrapText="1"/>
    </xf>
    <xf numFmtId="0" fontId="5" fillId="6" borderId="0" xfId="49" applyFont="1" applyFill="1" applyAlignment="1">
      <alignment horizontal="left" vertical="center" wrapText="1"/>
    </xf>
    <xf numFmtId="166" fontId="5" fillId="6" borderId="20" xfId="2" applyNumberFormat="1" applyFont="1" applyFill="1" applyBorder="1" applyAlignment="1">
      <alignment horizontal="left" vertical="center"/>
    </xf>
    <xf numFmtId="0" fontId="6" fillId="6" borderId="15" xfId="49" applyFont="1" applyFill="1" applyBorder="1" applyAlignment="1">
      <alignment horizontal="left" vertical="center" wrapText="1"/>
    </xf>
    <xf numFmtId="166" fontId="6" fillId="6" borderId="16" xfId="2" applyNumberFormat="1" applyFont="1" applyFill="1" applyBorder="1" applyAlignment="1">
      <alignment horizontal="right" vertical="center"/>
    </xf>
    <xf numFmtId="0" fontId="5" fillId="6" borderId="19" xfId="49" applyFont="1" applyFill="1" applyBorder="1" applyAlignment="1">
      <alignment horizontal="center" vertical="center" wrapText="1"/>
    </xf>
    <xf numFmtId="3" fontId="5" fillId="6" borderId="0" xfId="49" applyNumberFormat="1" applyFont="1" applyFill="1" applyAlignment="1">
      <alignment horizontal="left" vertical="center"/>
    </xf>
    <xf numFmtId="166" fontId="5" fillId="6" borderId="20" xfId="2" applyNumberFormat="1" applyFont="1" applyFill="1" applyBorder="1" applyAlignment="1">
      <alignment horizontal="right" vertical="center"/>
    </xf>
    <xf numFmtId="3" fontId="5" fillId="6" borderId="8" xfId="49" applyNumberFormat="1" applyFont="1" applyFill="1" applyBorder="1" applyAlignment="1">
      <alignment horizontal="left" vertical="center"/>
    </xf>
    <xf numFmtId="166" fontId="5" fillId="6" borderId="18" xfId="2" applyNumberFormat="1" applyFont="1" applyFill="1" applyBorder="1" applyAlignment="1">
      <alignment horizontal="right" vertical="center"/>
    </xf>
    <xf numFmtId="0" fontId="5" fillId="6" borderId="8" xfId="5" applyFont="1" applyFill="1" applyBorder="1" applyAlignment="1">
      <alignment vertical="center"/>
    </xf>
    <xf numFmtId="0" fontId="5" fillId="6" borderId="17" xfId="5" applyFont="1" applyFill="1" applyBorder="1" applyAlignment="1">
      <alignment horizontal="center" vertical="center" wrapText="1"/>
    </xf>
    <xf numFmtId="0" fontId="5" fillId="6" borderId="8" xfId="49" applyFont="1" applyFill="1" applyBorder="1" applyAlignment="1">
      <alignment horizontal="left" vertical="center" wrapText="1"/>
    </xf>
    <xf numFmtId="0" fontId="6" fillId="6" borderId="15" xfId="49" applyFont="1" applyFill="1" applyBorder="1" applyAlignment="1">
      <alignment horizontal="left" vertical="center"/>
    </xf>
    <xf numFmtId="0" fontId="5" fillId="6" borderId="19" xfId="5" applyFont="1" applyFill="1" applyBorder="1" applyAlignment="1">
      <alignment horizontal="center" vertical="center" wrapText="1"/>
    </xf>
    <xf numFmtId="3" fontId="5" fillId="6" borderId="0" xfId="49" applyNumberFormat="1" applyFont="1" applyFill="1" applyAlignment="1">
      <alignment horizontal="left" vertical="center" wrapText="1"/>
    </xf>
    <xf numFmtId="0" fontId="5" fillId="6" borderId="0" xfId="49" applyFont="1" applyFill="1" applyAlignment="1">
      <alignment horizontal="left" vertical="center"/>
    </xf>
    <xf numFmtId="3" fontId="5" fillId="6" borderId="8" xfId="49" applyNumberFormat="1" applyFont="1" applyFill="1" applyBorder="1" applyAlignment="1">
      <alignment horizontal="left" vertical="center" wrapText="1"/>
    </xf>
    <xf numFmtId="0" fontId="5" fillId="0" borderId="0" xfId="49" applyFont="1" applyAlignment="1">
      <alignment horizontal="justify" vertical="center" wrapText="1"/>
    </xf>
    <xf numFmtId="0" fontId="5" fillId="0" borderId="1" xfId="5" applyFont="1" applyBorder="1" applyAlignment="1">
      <alignment horizontal="center" vertical="center" wrapText="1"/>
    </xf>
    <xf numFmtId="0" fontId="5" fillId="0" borderId="1" xfId="49" applyFont="1" applyBorder="1" applyAlignment="1">
      <alignment horizontal="left" vertical="center" wrapText="1"/>
    </xf>
    <xf numFmtId="166" fontId="5" fillId="0" borderId="1" xfId="2" applyNumberFormat="1" applyFont="1" applyFill="1" applyBorder="1"/>
    <xf numFmtId="0" fontId="5" fillId="0" borderId="1" xfId="49" applyFont="1" applyBorder="1" applyAlignment="1">
      <alignment horizontal="justify" vertical="center" wrapText="1"/>
    </xf>
    <xf numFmtId="0" fontId="5" fillId="0" borderId="1" xfId="49" applyFont="1" applyBorder="1" applyAlignment="1">
      <alignment horizontal="center" vertical="center" wrapText="1"/>
    </xf>
    <xf numFmtId="0" fontId="6" fillId="0" borderId="1" xfId="49" applyFont="1" applyBorder="1" applyAlignment="1">
      <alignment horizontal="justify" vertical="center" wrapText="1"/>
    </xf>
    <xf numFmtId="166" fontId="6" fillId="0" borderId="1" xfId="2" applyNumberFormat="1" applyFont="1" applyFill="1" applyBorder="1"/>
    <xf numFmtId="0" fontId="5" fillId="0" borderId="2" xfId="5" applyFont="1" applyBorder="1" applyAlignment="1">
      <alignment horizontal="center" vertical="center" wrapText="1"/>
    </xf>
    <xf numFmtId="0" fontId="5" fillId="0" borderId="13" xfId="5" applyFont="1" applyBorder="1" applyAlignment="1">
      <alignment horizontal="center" vertical="center" wrapText="1"/>
    </xf>
    <xf numFmtId="0" fontId="5" fillId="0" borderId="6" xfId="5" applyFont="1" applyBorder="1" applyAlignment="1">
      <alignment horizontal="center" vertical="center" wrapText="1"/>
    </xf>
    <xf numFmtId="0" fontId="6" fillId="0" borderId="1" xfId="48" applyFont="1" applyBorder="1" applyAlignment="1">
      <alignment horizontal="center" vertical="center"/>
    </xf>
    <xf numFmtId="0" fontId="5" fillId="0" borderId="0" xfId="48" applyFont="1"/>
    <xf numFmtId="0" fontId="6" fillId="0" borderId="0" xfId="48" applyFont="1"/>
    <xf numFmtId="9" fontId="6" fillId="0" borderId="0" xfId="10" applyFont="1" applyFill="1" applyBorder="1" applyAlignment="1">
      <alignment horizontal="right"/>
    </xf>
    <xf numFmtId="9" fontId="5" fillId="0" borderId="0" xfId="10" applyFont="1" applyFill="1" applyBorder="1" applyAlignment="1">
      <alignment horizontal="right" vertical="center"/>
    </xf>
    <xf numFmtId="9" fontId="24" fillId="0" borderId="0" xfId="5" applyNumberFormat="1" applyFont="1" applyAlignment="1">
      <alignment horizontal="right" vertical="center" wrapText="1"/>
    </xf>
    <xf numFmtId="171" fontId="5" fillId="0" borderId="0" xfId="48" applyNumberFormat="1" applyFont="1"/>
    <xf numFmtId="1" fontId="6" fillId="0" borderId="0" xfId="48" applyNumberFormat="1" applyFont="1" applyAlignment="1">
      <alignment horizontal="right" vertical="center" wrapText="1"/>
    </xf>
    <xf numFmtId="1" fontId="6" fillId="0" borderId="0" xfId="49" applyNumberFormat="1" applyFont="1" applyAlignment="1">
      <alignment vertical="center"/>
    </xf>
    <xf numFmtId="0" fontId="6" fillId="0" borderId="0" xfId="49" applyFont="1" applyAlignment="1">
      <alignment horizontal="justify" vertical="center" wrapText="1"/>
    </xf>
    <xf numFmtId="171" fontId="6" fillId="0" borderId="0" xfId="48" applyNumberFormat="1" applyFont="1"/>
    <xf numFmtId="0" fontId="28" fillId="0" borderId="0" xfId="39" applyNumberFormat="1" applyFont="1" applyAlignment="1" applyProtection="1"/>
    <xf numFmtId="0" fontId="6" fillId="0" borderId="1" xfId="42" applyFont="1" applyBorder="1" applyAlignment="1">
      <alignment horizontal="center" vertical="center"/>
    </xf>
    <xf numFmtId="0" fontId="6" fillId="0" borderId="1" xfId="42" applyFont="1" applyBorder="1" applyAlignment="1">
      <alignment horizontal="center" vertical="center" wrapText="1"/>
    </xf>
    <xf numFmtId="0" fontId="5" fillId="0" borderId="0" xfId="42" applyFont="1" applyAlignment="1">
      <alignment horizontal="left" vertical="center"/>
    </xf>
    <xf numFmtId="9" fontId="5" fillId="0" borderId="0" xfId="42" applyNumberFormat="1" applyFont="1" applyAlignment="1">
      <alignment horizontal="center" vertical="center"/>
    </xf>
    <xf numFmtId="0" fontId="5" fillId="0" borderId="0" xfId="42" applyFont="1" applyAlignment="1">
      <alignment horizontal="center" vertical="center"/>
    </xf>
    <xf numFmtId="9" fontId="5" fillId="0" borderId="0" xfId="42" applyNumberFormat="1" applyFont="1"/>
    <xf numFmtId="0" fontId="5" fillId="0" borderId="0" xfId="42" applyFont="1" applyAlignment="1">
      <alignment horizontal="right"/>
    </xf>
    <xf numFmtId="0" fontId="5" fillId="0" borderId="0" xfId="42" applyFont="1" applyAlignment="1">
      <alignment horizontal="justify" vertical="center" wrapText="1"/>
    </xf>
    <xf numFmtId="0" fontId="5" fillId="0" borderId="0" xfId="42" applyFont="1" applyAlignment="1">
      <alignment horizontal="left" wrapText="1"/>
    </xf>
    <xf numFmtId="0" fontId="5" fillId="0" borderId="0" xfId="42" applyFont="1" applyAlignment="1">
      <alignment horizontal="justify" wrapText="1"/>
    </xf>
    <xf numFmtId="0" fontId="6" fillId="0" borderId="0" xfId="42" applyFont="1" applyAlignment="1">
      <alignment horizontal="justify" wrapText="1"/>
    </xf>
    <xf numFmtId="0" fontId="21" fillId="0" borderId="0" xfId="42"/>
    <xf numFmtId="9" fontId="5" fillId="0" borderId="0" xfId="42" applyNumberFormat="1" applyFont="1" applyAlignment="1">
      <alignment horizontal="right"/>
    </xf>
    <xf numFmtId="0" fontId="5" fillId="0" borderId="0" xfId="42" applyFont="1" applyAlignment="1">
      <alignment horizontal="left" vertical="center" wrapText="1"/>
    </xf>
    <xf numFmtId="0" fontId="6" fillId="0" borderId="0" xfId="50" applyFont="1"/>
    <xf numFmtId="0" fontId="33" fillId="0" borderId="0" xfId="48" applyFont="1" applyAlignment="1">
      <alignment vertical="center" wrapText="1"/>
    </xf>
    <xf numFmtId="0" fontId="6" fillId="0" borderId="1" xfId="11" applyFont="1" applyBorder="1" applyAlignment="1">
      <alignment horizontal="center" vertical="center" wrapText="1"/>
    </xf>
    <xf numFmtId="172" fontId="6" fillId="0" borderId="1" xfId="11" applyNumberFormat="1" applyFont="1" applyBorder="1" applyAlignment="1">
      <alignment horizontal="center" vertical="center"/>
    </xf>
    <xf numFmtId="0" fontId="33" fillId="0" borderId="0" xfId="11" applyFont="1" applyAlignment="1">
      <alignment horizontal="left" vertical="center" wrapText="1"/>
    </xf>
    <xf numFmtId="0" fontId="6" fillId="0" borderId="1" xfId="11" applyFont="1" applyBorder="1" applyAlignment="1">
      <alignment horizontal="center" vertical="center"/>
    </xf>
    <xf numFmtId="0" fontId="6" fillId="0" borderId="1" xfId="11" applyFont="1" applyBorder="1" applyAlignment="1">
      <alignment horizontal="center" vertical="center" wrapText="1"/>
    </xf>
    <xf numFmtId="0" fontId="6" fillId="0" borderId="0" xfId="11" applyFont="1" applyAlignment="1">
      <alignment vertical="center"/>
    </xf>
    <xf numFmtId="164" fontId="6" fillId="0" borderId="0" xfId="11" applyNumberFormat="1" applyFont="1" applyAlignment="1">
      <alignment horizontal="right" vertical="center" indent="1"/>
    </xf>
    <xf numFmtId="3" fontId="5" fillId="0" borderId="0" xfId="12" applyNumberFormat="1" applyFont="1" applyAlignment="1" applyProtection="1">
      <alignment horizontal="left" vertical="center"/>
      <protection locked="0"/>
    </xf>
    <xf numFmtId="164" fontId="5" fillId="0" borderId="0" xfId="11" applyNumberFormat="1" applyFont="1" applyAlignment="1">
      <alignment horizontal="right" vertical="center" indent="1"/>
    </xf>
    <xf numFmtId="0" fontId="5" fillId="0" borderId="0" xfId="43" quotePrefix="1" applyFont="1"/>
    <xf numFmtId="0" fontId="36" fillId="0" borderId="0" xfId="5" applyFont="1" applyAlignment="1">
      <alignment vertical="center" wrapText="1"/>
    </xf>
    <xf numFmtId="0" fontId="5" fillId="0" borderId="0" xfId="51" applyFont="1"/>
    <xf numFmtId="0" fontId="5" fillId="0" borderId="0" xfId="11" applyFont="1" applyAlignment="1">
      <alignment vertical="center"/>
    </xf>
    <xf numFmtId="3" fontId="6" fillId="0" borderId="0" xfId="11" applyNumberFormat="1" applyFont="1" applyAlignment="1">
      <alignment horizontal="right" vertical="center" indent="1"/>
    </xf>
    <xf numFmtId="3" fontId="5" fillId="0" borderId="0" xfId="11" applyNumberFormat="1" applyFont="1" applyAlignment="1">
      <alignment horizontal="right" vertical="center" indent="1"/>
    </xf>
    <xf numFmtId="0" fontId="6" fillId="0" borderId="0" xfId="48" applyFont="1" applyAlignment="1">
      <alignment wrapText="1"/>
    </xf>
    <xf numFmtId="0" fontId="5" fillId="0" borderId="0" xfId="48" applyFont="1" applyAlignment="1">
      <alignment wrapText="1"/>
    </xf>
    <xf numFmtId="0" fontId="5" fillId="0" borderId="0" xfId="11" applyFont="1" applyAlignment="1">
      <alignment vertical="center" wrapText="1"/>
    </xf>
    <xf numFmtId="172" fontId="5" fillId="0" borderId="0" xfId="11" applyNumberFormat="1" applyFont="1" applyAlignment="1">
      <alignment vertical="center"/>
    </xf>
    <xf numFmtId="3" fontId="5" fillId="0" borderId="0" xfId="14" applyNumberFormat="1" applyFont="1" applyAlignment="1" applyProtection="1">
      <alignment horizontal="left" vertical="center"/>
      <protection locked="0"/>
    </xf>
    <xf numFmtId="0" fontId="6" fillId="0" borderId="0" xfId="11" applyFont="1" applyAlignment="1">
      <alignment vertical="center" wrapText="1"/>
    </xf>
    <xf numFmtId="0" fontId="5" fillId="0" borderId="0" xfId="5" applyFont="1" applyAlignment="1">
      <alignment horizontal="left"/>
    </xf>
    <xf numFmtId="0" fontId="24" fillId="0" borderId="0" xfId="43" quotePrefix="1" applyFont="1" applyAlignment="1">
      <alignment horizontal="left"/>
    </xf>
    <xf numFmtId="0" fontId="4" fillId="0" borderId="0" xfId="5" applyFont="1" applyAlignment="1">
      <alignment horizontal="justify" vertical="center" wrapText="1"/>
    </xf>
    <xf numFmtId="0" fontId="7" fillId="0" borderId="0" xfId="5" applyFont="1"/>
    <xf numFmtId="0" fontId="29" fillId="0" borderId="0" xfId="52" applyFont="1"/>
    <xf numFmtId="0" fontId="29" fillId="0" borderId="0" xfId="52" applyFont="1" applyAlignment="1">
      <alignment horizontal="center"/>
    </xf>
    <xf numFmtId="0" fontId="29" fillId="0" borderId="2" xfId="52" applyFont="1" applyBorder="1" applyAlignment="1">
      <alignment horizontal="center" vertical="center" wrapText="1"/>
    </xf>
    <xf numFmtId="0" fontId="29" fillId="0" borderId="1" xfId="52" applyFont="1" applyBorder="1" applyAlignment="1">
      <alignment horizontal="center" vertical="center"/>
    </xf>
    <xf numFmtId="0" fontId="29" fillId="0" borderId="3" xfId="52" applyFont="1" applyBorder="1" applyAlignment="1">
      <alignment horizontal="center" vertical="center"/>
    </xf>
    <xf numFmtId="0" fontId="29" fillId="0" borderId="4" xfId="52" applyFont="1" applyBorder="1" applyAlignment="1">
      <alignment horizontal="center" vertical="center"/>
    </xf>
    <xf numFmtId="0" fontId="29" fillId="0" borderId="5" xfId="52" applyFont="1" applyBorder="1" applyAlignment="1">
      <alignment horizontal="center" vertical="center"/>
    </xf>
    <xf numFmtId="0" fontId="29" fillId="0" borderId="6" xfId="52" applyFont="1" applyBorder="1" applyAlignment="1">
      <alignment horizontal="center" vertical="center" wrapText="1"/>
    </xf>
    <xf numFmtId="0" fontId="29" fillId="0" borderId="1" xfId="52" applyFont="1" applyBorder="1" applyAlignment="1">
      <alignment horizontal="center" vertical="center" wrapText="1"/>
    </xf>
    <xf numFmtId="164" fontId="29" fillId="0" borderId="0" xfId="5" applyNumberFormat="1" applyFont="1" applyAlignment="1">
      <alignment vertical="center"/>
    </xf>
    <xf numFmtId="164" fontId="29" fillId="0" borderId="0" xfId="5" applyNumberFormat="1" applyFont="1" applyAlignment="1">
      <alignment horizontal="center" vertical="center"/>
    </xf>
    <xf numFmtId="3" fontId="5" fillId="0" borderId="0" xfId="15" applyNumberFormat="1" applyFont="1" applyAlignment="1" applyProtection="1">
      <alignment horizontal="left" vertical="center"/>
      <protection locked="0"/>
    </xf>
    <xf numFmtId="164" fontId="7" fillId="0" borderId="0" xfId="5" applyNumberFormat="1" applyFont="1" applyAlignment="1">
      <alignment horizontal="center"/>
    </xf>
    <xf numFmtId="0" fontId="24" fillId="0" borderId="0" xfId="52" applyFont="1" applyAlignment="1">
      <alignment vertical="center"/>
    </xf>
    <xf numFmtId="0" fontId="29" fillId="0" borderId="0" xfId="52" applyFont="1" applyAlignment="1">
      <alignment vertical="center"/>
    </xf>
    <xf numFmtId="0" fontId="33" fillId="0" borderId="0" xfId="5" applyFont="1" applyAlignment="1">
      <alignment horizontal="left" vertical="center" wrapText="1"/>
    </xf>
    <xf numFmtId="0" fontId="37" fillId="0" borderId="0" xfId="5" applyFont="1"/>
    <xf numFmtId="0" fontId="6" fillId="0" borderId="0" xfId="52" applyFont="1" applyAlignment="1">
      <alignment vertical="center"/>
    </xf>
    <xf numFmtId="0" fontId="29" fillId="0" borderId="0" xfId="5" applyFont="1" applyAlignment="1">
      <alignment vertical="center"/>
    </xf>
    <xf numFmtId="0" fontId="7" fillId="0" borderId="0" xfId="5" applyFont="1" applyAlignment="1">
      <alignment vertical="center"/>
    </xf>
    <xf numFmtId="3" fontId="6" fillId="0" borderId="0" xfId="48" applyNumberFormat="1" applyFont="1" applyAlignment="1" applyProtection="1">
      <alignment horizontal="left" vertical="center"/>
      <protection locked="0"/>
    </xf>
    <xf numFmtId="0" fontId="9" fillId="0" borderId="0" xfId="5" applyAlignment="1">
      <alignment horizontal="left" vertical="center" wrapText="1"/>
    </xf>
    <xf numFmtId="173" fontId="24" fillId="0" borderId="0" xfId="53" applyNumberFormat="1" applyFont="1" applyAlignment="1">
      <alignment horizontal="right" vertical="center"/>
    </xf>
    <xf numFmtId="173" fontId="29" fillId="0" borderId="0" xfId="53" applyNumberFormat="1" applyFont="1" applyAlignment="1">
      <alignment horizontal="right" vertical="center"/>
    </xf>
    <xf numFmtId="0" fontId="29" fillId="0" borderId="0" xfId="53" applyFont="1" applyAlignment="1">
      <alignment horizontal="right" vertical="center"/>
    </xf>
    <xf numFmtId="0" fontId="5" fillId="0" borderId="0" xfId="48" applyFont="1" applyAlignment="1">
      <alignment vertical="center"/>
    </xf>
    <xf numFmtId="0" fontId="29" fillId="0" borderId="2" xfId="52" applyFont="1" applyBorder="1" applyAlignment="1">
      <alignment horizontal="center" vertical="center"/>
    </xf>
    <xf numFmtId="0" fontId="29" fillId="0" borderId="6" xfId="52" applyFont="1" applyBorder="1" applyAlignment="1">
      <alignment horizontal="center" vertical="center"/>
    </xf>
    <xf numFmtId="0" fontId="29" fillId="0" borderId="0" xfId="52" applyFont="1" applyAlignment="1">
      <alignment horizontal="left" vertical="center"/>
    </xf>
    <xf numFmtId="164" fontId="29" fillId="0" borderId="0" xfId="52" applyNumberFormat="1" applyFont="1" applyAlignment="1">
      <alignment vertical="center"/>
    </xf>
    <xf numFmtId="164" fontId="4" fillId="0" borderId="0" xfId="5" applyNumberFormat="1" applyFont="1" applyAlignment="1">
      <alignment vertical="center"/>
    </xf>
    <xf numFmtId="164" fontId="7" fillId="0" borderId="0" xfId="5" applyNumberFormat="1" applyFont="1" applyAlignment="1">
      <alignment vertical="center"/>
    </xf>
    <xf numFmtId="0" fontId="7" fillId="0" borderId="0" xfId="5" applyFont="1" applyAlignment="1">
      <alignment horizontal="left"/>
    </xf>
    <xf numFmtId="0" fontId="29" fillId="0" borderId="0" xfId="52" applyFont="1" applyAlignment="1">
      <alignment horizontal="center" vertical="center"/>
    </xf>
    <xf numFmtId="3" fontId="29" fillId="0" borderId="0" xfId="52" applyNumberFormat="1" applyFont="1" applyAlignment="1">
      <alignment horizontal="right"/>
    </xf>
    <xf numFmtId="164" fontId="29" fillId="0" borderId="0" xfId="52" applyNumberFormat="1" applyFont="1" applyAlignment="1">
      <alignment horizontal="right" vertical="center"/>
    </xf>
    <xf numFmtId="3" fontId="5" fillId="0" borderId="0" xfId="16" applyNumberFormat="1" applyFont="1" applyAlignment="1" applyProtection="1">
      <alignment horizontal="left" vertical="center"/>
      <protection locked="0"/>
    </xf>
    <xf numFmtId="3" fontId="6" fillId="0" borderId="0" xfId="5" applyNumberFormat="1" applyFont="1" applyAlignment="1" applyProtection="1">
      <alignment horizontal="left" vertical="center" wrapText="1"/>
      <protection locked="0"/>
    </xf>
    <xf numFmtId="0" fontId="29" fillId="0" borderId="0" xfId="52" applyFont="1" applyAlignment="1">
      <alignment horizontal="right" vertical="center"/>
    </xf>
    <xf numFmtId="0" fontId="24" fillId="0" borderId="0" xfId="52" applyFont="1"/>
    <xf numFmtId="0" fontId="4" fillId="0" borderId="2" xfId="5" applyFont="1" applyBorder="1" applyAlignment="1">
      <alignment horizontal="center" vertical="center" wrapText="1"/>
    </xf>
    <xf numFmtId="0" fontId="4" fillId="0" borderId="2" xfId="5" applyFont="1" applyBorder="1" applyAlignment="1">
      <alignment horizontal="center" vertical="center"/>
    </xf>
    <xf numFmtId="0" fontId="4" fillId="0" borderId="6" xfId="5" applyFont="1" applyBorder="1" applyAlignment="1">
      <alignment horizontal="center" vertical="center" wrapText="1"/>
    </xf>
    <xf numFmtId="0" fontId="4" fillId="0" borderId="6" xfId="5" applyFont="1" applyBorder="1" applyAlignment="1">
      <alignment horizontal="center" vertical="center"/>
    </xf>
    <xf numFmtId="164" fontId="29" fillId="0" borderId="0" xfId="52" applyNumberFormat="1" applyFont="1"/>
    <xf numFmtId="0" fontId="24" fillId="0" borderId="0" xfId="52" applyFont="1" applyAlignment="1">
      <alignment horizontal="left" indent="3"/>
    </xf>
    <xf numFmtId="3" fontId="6" fillId="0" borderId="0" xfId="5" applyNumberFormat="1" applyFont="1" applyAlignment="1" applyProtection="1">
      <alignment horizontal="left" vertical="center"/>
      <protection locked="0"/>
    </xf>
    <xf numFmtId="0" fontId="38" fillId="0" borderId="0" xfId="5" applyFont="1" applyAlignment="1">
      <alignment horizontal="justify" vertical="center" wrapText="1"/>
    </xf>
    <xf numFmtId="0" fontId="29" fillId="0" borderId="0" xfId="54" applyFont="1"/>
    <xf numFmtId="0" fontId="29" fillId="0" borderId="2" xfId="54" applyFont="1" applyBorder="1" applyAlignment="1">
      <alignment horizontal="center" vertical="center"/>
    </xf>
    <xf numFmtId="0" fontId="29" fillId="0" borderId="1" xfId="54" applyFont="1" applyBorder="1" applyAlignment="1">
      <alignment horizontal="center" vertical="center"/>
    </xf>
    <xf numFmtId="0" fontId="29" fillId="0" borderId="6" xfId="54" applyFont="1" applyBorder="1" applyAlignment="1">
      <alignment horizontal="center" vertical="center"/>
    </xf>
    <xf numFmtId="0" fontId="29" fillId="0" borderId="1" xfId="54" applyFont="1" applyBorder="1" applyAlignment="1">
      <alignment horizontal="center" vertical="center" wrapText="1"/>
    </xf>
    <xf numFmtId="164" fontId="29" fillId="0" borderId="0" xfId="54" applyNumberFormat="1" applyFont="1"/>
    <xf numFmtId="164" fontId="29" fillId="0" borderId="0" xfId="54" applyNumberFormat="1" applyFont="1" applyAlignment="1">
      <alignment horizontal="center" vertical="center"/>
    </xf>
    <xf numFmtId="0" fontId="24" fillId="0" borderId="0" xfId="54" applyFont="1" applyAlignment="1">
      <alignment horizontal="left" indent="3"/>
    </xf>
    <xf numFmtId="164" fontId="7" fillId="0" borderId="0" xfId="5" applyNumberFormat="1" applyFont="1" applyAlignment="1">
      <alignment horizontal="center" vertical="center"/>
    </xf>
    <xf numFmtId="164" fontId="24" fillId="0" borderId="0" xfId="5" applyNumberFormat="1" applyFont="1" applyAlignment="1">
      <alignment horizontal="center" vertical="center"/>
    </xf>
    <xf numFmtId="3" fontId="6" fillId="0" borderId="0" xfId="5" applyNumberFormat="1" applyFont="1" applyAlignment="1" applyProtection="1">
      <alignment vertical="center"/>
      <protection locked="0"/>
    </xf>
    <xf numFmtId="0" fontId="24" fillId="0" borderId="0" xfId="54" applyFont="1"/>
    <xf numFmtId="3" fontId="29" fillId="0" borderId="0" xfId="54" applyNumberFormat="1" applyFont="1"/>
    <xf numFmtId="0" fontId="24" fillId="0" borderId="0" xfId="5" applyFont="1" applyAlignment="1">
      <alignment horizontal="center" vertical="center"/>
    </xf>
    <xf numFmtId="0" fontId="29" fillId="0" borderId="0" xfId="54" applyFont="1" applyAlignment="1">
      <alignment horizontal="center" vertical="center"/>
    </xf>
    <xf numFmtId="0" fontId="6" fillId="0" borderId="0" xfId="52" applyFont="1"/>
    <xf numFmtId="0" fontId="6" fillId="0" borderId="1" xfId="52" applyFont="1" applyBorder="1" applyAlignment="1">
      <alignment horizontal="center" vertical="center" wrapText="1"/>
    </xf>
    <xf numFmtId="0" fontId="6" fillId="0" borderId="1" xfId="52" applyFont="1" applyBorder="1" applyAlignment="1">
      <alignment horizontal="center" vertical="center"/>
    </xf>
    <xf numFmtId="0" fontId="6" fillId="0" borderId="1" xfId="52" applyFont="1" applyBorder="1" applyAlignment="1">
      <alignment horizontal="center" vertical="center" wrapText="1"/>
    </xf>
    <xf numFmtId="0" fontId="6" fillId="0" borderId="0" xfId="52" applyFont="1" applyAlignment="1">
      <alignment horizontal="left"/>
    </xf>
    <xf numFmtId="164" fontId="6" fillId="0" borderId="0" xfId="52" applyNumberFormat="1" applyFont="1"/>
    <xf numFmtId="164" fontId="6" fillId="0" borderId="0" xfId="5" applyNumberFormat="1" applyFont="1" applyAlignment="1">
      <alignment vertical="center"/>
    </xf>
    <xf numFmtId="0" fontId="5" fillId="0" borderId="0" xfId="52" applyFont="1"/>
    <xf numFmtId="164" fontId="5" fillId="0" borderId="0" xfId="52" applyNumberFormat="1" applyFont="1" applyAlignment="1">
      <alignment vertical="center"/>
    </xf>
    <xf numFmtId="164" fontId="6" fillId="0" borderId="0" xfId="52" applyNumberFormat="1" applyFont="1" applyAlignment="1">
      <alignment vertical="center"/>
    </xf>
    <xf numFmtId="3" fontId="6" fillId="0" borderId="0" xfId="52" applyNumberFormat="1" applyFont="1"/>
    <xf numFmtId="3" fontId="5" fillId="0" borderId="0" xfId="52" applyNumberFormat="1" applyFont="1" applyAlignment="1">
      <alignment vertical="center"/>
    </xf>
    <xf numFmtId="0" fontId="5" fillId="0" borderId="0" xfId="43" quotePrefix="1" applyFont="1" applyAlignment="1">
      <alignment horizontal="left"/>
    </xf>
    <xf numFmtId="3" fontId="6" fillId="0" borderId="0" xfId="52" applyNumberFormat="1" applyFont="1" applyAlignment="1">
      <alignment vertical="center"/>
    </xf>
    <xf numFmtId="0" fontId="39" fillId="0" borderId="0" xfId="5" applyFont="1"/>
    <xf numFmtId="0" fontId="6" fillId="0" borderId="1" xfId="5" applyFont="1" applyBorder="1" applyAlignment="1">
      <alignment horizontal="center" vertical="center"/>
    </xf>
    <xf numFmtId="3" fontId="6" fillId="0" borderId="0" xfId="5" applyNumberFormat="1" applyFont="1" applyAlignment="1">
      <alignment vertical="center"/>
    </xf>
    <xf numFmtId="3" fontId="40" fillId="0" borderId="0" xfId="5" applyNumberFormat="1" applyFont="1"/>
    <xf numFmtId="0" fontId="40" fillId="0" borderId="0" xfId="5" applyFont="1"/>
    <xf numFmtId="166" fontId="7" fillId="0" borderId="0" xfId="2" applyNumberFormat="1" applyFont="1" applyFill="1" applyBorder="1" applyAlignment="1">
      <alignment horizontal="right" vertical="center" wrapText="1"/>
    </xf>
    <xf numFmtId="166" fontId="24" fillId="0" borderId="0" xfId="2" applyNumberFormat="1" applyFont="1" applyFill="1" applyBorder="1" applyAlignment="1">
      <alignment vertical="center"/>
    </xf>
    <xf numFmtId="166" fontId="7" fillId="0" borderId="0" xfId="2" applyNumberFormat="1" applyFont="1" applyFill="1" applyBorder="1" applyAlignment="1">
      <alignment horizontal="right" vertical="center"/>
    </xf>
    <xf numFmtId="166" fontId="24" fillId="0" borderId="0" xfId="2" applyNumberFormat="1" applyFont="1" applyFill="1" applyBorder="1" applyAlignment="1">
      <alignment horizontal="right" vertical="center" wrapText="1"/>
    </xf>
    <xf numFmtId="166" fontId="5" fillId="0" borderId="0" xfId="2" applyNumberFormat="1" applyFont="1" applyFill="1" applyBorder="1" applyAlignment="1">
      <alignment horizontal="right" vertical="center" wrapText="1"/>
    </xf>
    <xf numFmtId="3" fontId="29" fillId="0" borderId="0" xfId="5" applyNumberFormat="1" applyFont="1"/>
    <xf numFmtId="166" fontId="24" fillId="0" borderId="0" xfId="2" applyNumberFormat="1" applyFont="1" applyFill="1" applyBorder="1" applyAlignment="1"/>
    <xf numFmtId="0" fontId="10" fillId="0" borderId="0" xfId="55"/>
    <xf numFmtId="0" fontId="41" fillId="0" borderId="0" xfId="55" applyFont="1"/>
    <xf numFmtId="0" fontId="29" fillId="0" borderId="0" xfId="56" applyFont="1" applyAlignment="1">
      <alignment horizontal="left" wrapText="1"/>
    </xf>
    <xf numFmtId="0" fontId="24" fillId="0" borderId="0" xfId="56" applyFont="1"/>
    <xf numFmtId="0" fontId="6" fillId="0" borderId="2" xfId="56" applyFont="1" applyBorder="1" applyAlignment="1">
      <alignment horizontal="center" vertical="center" wrapText="1"/>
    </xf>
    <xf numFmtId="0" fontId="6" fillId="0" borderId="6" xfId="56" applyFont="1" applyBorder="1" applyAlignment="1">
      <alignment horizontal="center" vertical="center" wrapText="1"/>
    </xf>
    <xf numFmtId="0" fontId="5" fillId="0" borderId="0" xfId="5" applyFont="1" applyAlignment="1">
      <alignment horizontal="center"/>
    </xf>
    <xf numFmtId="0" fontId="6" fillId="0" borderId="0" xfId="56" applyFont="1"/>
    <xf numFmtId="164" fontId="6" fillId="0" borderId="0" xfId="56" applyNumberFormat="1" applyFont="1"/>
    <xf numFmtId="3" fontId="33" fillId="0" borderId="0" xfId="56" applyNumberFormat="1" applyFont="1"/>
    <xf numFmtId="0" fontId="36" fillId="0" borderId="0" xfId="56" applyFont="1"/>
    <xf numFmtId="0" fontId="5" fillId="0" borderId="0" xfId="56" applyFont="1"/>
    <xf numFmtId="0" fontId="29" fillId="0" borderId="0" xfId="5" applyFont="1"/>
    <xf numFmtId="0" fontId="29" fillId="0" borderId="1" xfId="5" applyFont="1" applyBorder="1" applyAlignment="1">
      <alignment horizontal="center" vertical="center" wrapText="1"/>
    </xf>
    <xf numFmtId="0" fontId="29" fillId="0" borderId="1" xfId="5" applyFont="1" applyBorder="1" applyAlignment="1">
      <alignment horizontal="center" vertical="center"/>
    </xf>
    <xf numFmtId="0" fontId="29" fillId="0" borderId="1" xfId="5" applyFont="1" applyBorder="1" applyAlignment="1">
      <alignment horizontal="center" vertical="center" wrapText="1"/>
    </xf>
    <xf numFmtId="0" fontId="29" fillId="0" borderId="0" xfId="56" applyFont="1"/>
    <xf numFmtId="3" fontId="29" fillId="0" borderId="0" xfId="5" applyNumberFormat="1" applyFont="1" applyAlignment="1">
      <alignment horizontal="right" vertical="center" wrapText="1"/>
    </xf>
    <xf numFmtId="3" fontId="29" fillId="0" borderId="0" xfId="5" applyNumberFormat="1" applyFont="1" applyAlignment="1">
      <alignment horizontal="right"/>
    </xf>
    <xf numFmtId="164" fontId="24" fillId="0" borderId="0" xfId="5" applyNumberFormat="1" applyFont="1" applyAlignment="1">
      <alignment horizontal="right"/>
    </xf>
    <xf numFmtId="166" fontId="7" fillId="0" borderId="0" xfId="2" applyNumberFormat="1" applyFont="1" applyFill="1"/>
    <xf numFmtId="3" fontId="6" fillId="0" borderId="0" xfId="5" applyNumberFormat="1" applyFont="1" applyAlignment="1">
      <alignment horizontal="right"/>
    </xf>
    <xf numFmtId="166" fontId="5" fillId="0" borderId="0" xfId="2" applyNumberFormat="1" applyFont="1" applyFill="1"/>
    <xf numFmtId="0" fontId="42" fillId="0" borderId="0" xfId="5" applyFont="1" applyAlignment="1">
      <alignment vertical="center"/>
    </xf>
    <xf numFmtId="0" fontId="6" fillId="0" borderId="3" xfId="5" applyFont="1" applyBorder="1" applyAlignment="1">
      <alignment horizontal="center"/>
    </xf>
    <xf numFmtId="0" fontId="6" fillId="0" borderId="4" xfId="5" applyFont="1" applyBorder="1" applyAlignment="1">
      <alignment horizontal="center"/>
    </xf>
    <xf numFmtId="0" fontId="6" fillId="0" borderId="5" xfId="5" applyFont="1" applyBorder="1" applyAlignment="1">
      <alignment horizontal="center"/>
    </xf>
    <xf numFmtId="0" fontId="29" fillId="0" borderId="5" xfId="5" applyFont="1" applyBorder="1" applyAlignment="1">
      <alignment horizontal="center" vertical="center" wrapText="1"/>
    </xf>
    <xf numFmtId="3" fontId="24" fillId="0" borderId="0" xfId="5" applyNumberFormat="1" applyFont="1"/>
    <xf numFmtId="0" fontId="9" fillId="0" borderId="0" xfId="5" applyAlignment="1">
      <alignment horizontal="left"/>
    </xf>
    <xf numFmtId="0" fontId="9" fillId="0" borderId="0" xfId="5" applyAlignment="1">
      <alignment wrapText="1"/>
    </xf>
    <xf numFmtId="0" fontId="5" fillId="0" borderId="0" xfId="5" applyFont="1" applyAlignment="1">
      <alignment horizontal="right" vertical="center"/>
    </xf>
    <xf numFmtId="0" fontId="9" fillId="0" borderId="0" xfId="5" applyAlignment="1">
      <alignment vertical="center"/>
    </xf>
    <xf numFmtId="0" fontId="24" fillId="0" borderId="0" xfId="57" applyFont="1"/>
    <xf numFmtId="3" fontId="5" fillId="0" borderId="0" xfId="5" applyNumberFormat="1" applyFont="1" applyAlignment="1" applyProtection="1">
      <alignment horizontal="left" vertical="center" wrapText="1"/>
      <protection locked="0"/>
    </xf>
    <xf numFmtId="0" fontId="6" fillId="0" borderId="0" xfId="57" applyFont="1"/>
    <xf numFmtId="164" fontId="5" fillId="0" borderId="0" xfId="2" applyNumberFormat="1" applyFont="1"/>
    <xf numFmtId="0" fontId="6" fillId="0" borderId="0" xfId="0" applyFont="1" applyAlignment="1">
      <alignment wrapText="1"/>
    </xf>
    <xf numFmtId="0" fontId="6" fillId="0" borderId="1" xfId="0" applyFont="1" applyBorder="1" applyAlignment="1">
      <alignment horizontal="center" vertical="center"/>
    </xf>
    <xf numFmtId="164" fontId="6" fillId="0" borderId="0" xfId="0" applyNumberFormat="1" applyFont="1"/>
    <xf numFmtId="0" fontId="5" fillId="0" borderId="0" xfId="0" applyFont="1"/>
    <xf numFmtId="0" fontId="6" fillId="0" borderId="0" xfId="0" applyFont="1" applyAlignment="1">
      <alignment wrapText="1"/>
    </xf>
    <xf numFmtId="0" fontId="5" fillId="0" borderId="0" xfId="0" applyFont="1" applyAlignment="1">
      <alignment horizontal="left" indent="2"/>
    </xf>
    <xf numFmtId="164" fontId="5" fillId="0" borderId="0" xfId="0" applyNumberFormat="1" applyFont="1" applyAlignment="1">
      <alignment horizontal="right"/>
    </xf>
    <xf numFmtId="0" fontId="43" fillId="0" borderId="0" xfId="0" applyFont="1" applyAlignment="1">
      <alignment horizontal="justify" wrapText="1"/>
    </xf>
    <xf numFmtId="0" fontId="43" fillId="0" borderId="0" xfId="0" applyFont="1"/>
    <xf numFmtId="0" fontId="43" fillId="0" borderId="1" xfId="0" applyFont="1" applyBorder="1" applyAlignment="1">
      <alignment horizontal="center" vertical="center"/>
    </xf>
    <xf numFmtId="0" fontId="43" fillId="0" borderId="1" xfId="0" applyFont="1" applyBorder="1" applyAlignment="1">
      <alignment horizontal="center" vertical="center" wrapText="1"/>
    </xf>
    <xf numFmtId="0" fontId="43" fillId="0" borderId="0" xfId="0" applyFont="1" applyAlignment="1">
      <alignment horizontal="center" vertical="center"/>
    </xf>
    <xf numFmtId="164" fontId="43" fillId="0" borderId="0" xfId="0" applyNumberFormat="1" applyFont="1"/>
    <xf numFmtId="0" fontId="44" fillId="0" borderId="0" xfId="0" applyFont="1"/>
    <xf numFmtId="164" fontId="44" fillId="0" borderId="0" xfId="0" applyNumberFormat="1" applyFont="1"/>
    <xf numFmtId="0" fontId="20" fillId="0" borderId="0" xfId="0" applyFont="1"/>
    <xf numFmtId="0" fontId="44" fillId="0" borderId="0" xfId="0" applyFont="1"/>
    <xf numFmtId="0" fontId="6" fillId="0" borderId="0" xfId="0" applyFont="1" applyAlignment="1">
      <alignment horizontal="center" vertical="center"/>
    </xf>
    <xf numFmtId="0" fontId="5" fillId="0" borderId="0" xfId="0" applyFont="1" applyAlignment="1">
      <alignment wrapText="1"/>
    </xf>
    <xf numFmtId="0" fontId="5" fillId="0" borderId="0" xfId="0" applyFont="1" applyAlignment="1">
      <alignment horizontal="justify" wrapText="1"/>
    </xf>
    <xf numFmtId="0" fontId="6" fillId="0" borderId="1" xfId="0" applyFont="1" applyBorder="1"/>
    <xf numFmtId="0" fontId="5" fillId="0" borderId="1" xfId="0" applyFont="1" applyBorder="1"/>
    <xf numFmtId="3" fontId="5" fillId="0" borderId="1" xfId="0" applyNumberFormat="1" applyFont="1" applyBorder="1"/>
    <xf numFmtId="3" fontId="5" fillId="0" borderId="0" xfId="0" applyNumberFormat="1" applyFont="1"/>
    <xf numFmtId="0" fontId="6" fillId="0" borderId="1" xfId="0" applyFont="1" applyBorder="1" applyAlignment="1">
      <alignment horizontal="center" vertical="center" wrapText="1"/>
    </xf>
    <xf numFmtId="0" fontId="6" fillId="0" borderId="0" xfId="0" applyFont="1" applyAlignment="1">
      <alignment horizontal="right"/>
    </xf>
    <xf numFmtId="0" fontId="5" fillId="0" borderId="0" xfId="0" applyFont="1" applyAlignment="1">
      <alignment horizontal="right"/>
    </xf>
    <xf numFmtId="0" fontId="5" fillId="0" borderId="0" xfId="0" applyFont="1" applyAlignment="1">
      <alignment horizontal="justify"/>
    </xf>
    <xf numFmtId="167" fontId="6" fillId="0" borderId="0" xfId="0" applyNumberFormat="1" applyFont="1"/>
    <xf numFmtId="49" fontId="5" fillId="0" borderId="0" xfId="0" applyNumberFormat="1" applyFont="1" applyAlignment="1">
      <alignment horizontal="left"/>
    </xf>
    <xf numFmtId="3" fontId="5" fillId="0" borderId="0" xfId="0" applyNumberFormat="1" applyFont="1" applyAlignment="1">
      <alignment horizontal="right"/>
    </xf>
    <xf numFmtId="0" fontId="7" fillId="0" borderId="0" xfId="0" applyFont="1"/>
    <xf numFmtId="0" fontId="5" fillId="0" borderId="0" xfId="0" applyFont="1" applyAlignment="1">
      <alignment horizontal="left" wrapText="1"/>
    </xf>
    <xf numFmtId="0" fontId="6" fillId="0" borderId="2" xfId="0" applyFont="1" applyBorder="1" applyAlignment="1">
      <alignment horizontal="center" vertical="center" wrapText="1"/>
    </xf>
    <xf numFmtId="0" fontId="6" fillId="0" borderId="6" xfId="0" applyFont="1" applyBorder="1" applyAlignment="1">
      <alignment horizontal="center" vertical="center" wrapText="1"/>
    </xf>
    <xf numFmtId="3" fontId="6" fillId="0" borderId="0" xfId="0" applyNumberFormat="1" applyFont="1"/>
    <xf numFmtId="0" fontId="6" fillId="0" borderId="1" xfId="0" applyFont="1" applyBorder="1" applyAlignment="1">
      <alignment horizontal="center" wrapText="1"/>
    </xf>
    <xf numFmtId="0" fontId="5" fillId="0" borderId="1" xfId="0" applyFont="1" applyBorder="1" applyAlignment="1">
      <alignment horizontal="center"/>
    </xf>
    <xf numFmtId="3" fontId="6" fillId="0" borderId="0" xfId="0" applyNumberFormat="1" applyFont="1" applyAlignment="1">
      <alignment horizontal="right"/>
    </xf>
    <xf numFmtId="0" fontId="6" fillId="0" borderId="0" xfId="0" applyFont="1"/>
    <xf numFmtId="164" fontId="6" fillId="0" borderId="0" xfId="0" applyNumberFormat="1" applyFont="1" applyAlignment="1">
      <alignment horizontal="right"/>
    </xf>
    <xf numFmtId="49" fontId="5" fillId="0" borderId="0" xfId="0" applyNumberFormat="1" applyFont="1"/>
    <xf numFmtId="0" fontId="6" fillId="0" borderId="0" xfId="0" applyFont="1" applyAlignment="1">
      <alignment horizontal="left" vertical="center" wrapText="1"/>
    </xf>
    <xf numFmtId="164" fontId="6" fillId="0" borderId="0" xfId="0" applyNumberFormat="1" applyFont="1" applyAlignment="1">
      <alignment horizontal="right" vertical="center" wrapText="1"/>
    </xf>
    <xf numFmtId="0" fontId="6" fillId="0" borderId="0" xfId="0" applyFont="1" applyAlignment="1">
      <alignment horizontal="center"/>
    </xf>
    <xf numFmtId="0" fontId="5" fillId="0" borderId="0" xfId="0" applyFont="1" applyAlignment="1">
      <alignment horizontal="center"/>
    </xf>
    <xf numFmtId="3" fontId="43" fillId="0" borderId="0" xfId="0" applyNumberFormat="1" applyFont="1"/>
    <xf numFmtId="3" fontId="44" fillId="0" borderId="0" xfId="0" applyNumberFormat="1" applyFont="1"/>
    <xf numFmtId="0" fontId="44" fillId="0" borderId="0" xfId="0" applyFont="1" applyAlignment="1">
      <alignment wrapText="1"/>
    </xf>
    <xf numFmtId="49" fontId="5" fillId="0" borderId="0" xfId="0" applyNumberFormat="1" applyFont="1"/>
    <xf numFmtId="3" fontId="6" fillId="0" borderId="1" xfId="0" applyNumberFormat="1" applyFont="1" applyBorder="1"/>
    <xf numFmtId="0" fontId="5" fillId="0" borderId="0" xfId="0" applyFont="1" applyAlignment="1">
      <alignment vertical="center"/>
    </xf>
    <xf numFmtId="3" fontId="5" fillId="0" borderId="0" xfId="0" applyNumberFormat="1" applyFont="1"/>
    <xf numFmtId="9" fontId="6" fillId="0" borderId="0" xfId="58" applyFont="1"/>
    <xf numFmtId="9" fontId="5" fillId="0" borderId="0" xfId="58" applyFont="1"/>
    <xf numFmtId="0" fontId="7" fillId="0" borderId="0" xfId="0" applyFont="1"/>
    <xf numFmtId="164" fontId="6" fillId="0" borderId="0" xfId="0" applyNumberFormat="1" applyFont="1" applyAlignment="1">
      <alignment wrapText="1"/>
    </xf>
    <xf numFmtId="164" fontId="5" fillId="0" borderId="0" xfId="0" applyNumberFormat="1" applyFont="1" applyAlignment="1">
      <alignment wrapText="1"/>
    </xf>
    <xf numFmtId="0" fontId="24" fillId="0" borderId="0" xfId="0" applyFont="1" applyAlignment="1">
      <alignment wrapText="1"/>
    </xf>
    <xf numFmtId="0" fontId="6" fillId="0" borderId="0" xfId="0" applyFont="1" applyAlignment="1">
      <alignment horizontal="left" indent="2"/>
    </xf>
    <xf numFmtId="0" fontId="28" fillId="0" borderId="0" xfId="39" applyFont="1" applyBorder="1" applyAlignment="1" applyProtection="1"/>
    <xf numFmtId="0" fontId="28" fillId="0" borderId="0" xfId="39" applyFont="1" applyBorder="1" applyAlignment="1" applyProtection="1">
      <alignment vertical="center"/>
    </xf>
    <xf numFmtId="0" fontId="5" fillId="0" borderId="0" xfId="0" applyFont="1" applyAlignment="1">
      <alignment horizontal="left" vertical="center" wrapText="1"/>
    </xf>
    <xf numFmtId="3" fontId="6" fillId="0" borderId="0" xfId="0" applyNumberFormat="1" applyFont="1" applyAlignment="1">
      <alignment horizontal="right" vertical="center"/>
    </xf>
    <xf numFmtId="0" fontId="45" fillId="0" borderId="0" xfId="0" applyFont="1" applyAlignment="1">
      <alignment horizontal="left" wrapText="1"/>
    </xf>
    <xf numFmtId="0" fontId="6" fillId="0" borderId="1" xfId="0" applyFont="1" applyBorder="1" applyAlignment="1">
      <alignment horizontal="center"/>
    </xf>
    <xf numFmtId="0" fontId="39" fillId="0" borderId="0" xfId="0" applyFont="1"/>
    <xf numFmtId="0" fontId="42" fillId="0" borderId="0" xfId="0" applyFont="1" applyAlignment="1">
      <alignment vertical="center"/>
    </xf>
    <xf numFmtId="0" fontId="6" fillId="0" borderId="3" xfId="0" applyFont="1" applyBorder="1" applyAlignment="1">
      <alignment horizontal="center" vertical="center"/>
    </xf>
    <xf numFmtId="0" fontId="6" fillId="0" borderId="4" xfId="0" applyFont="1" applyBorder="1" applyAlignment="1">
      <alignment horizontal="center" vertical="center"/>
    </xf>
    <xf numFmtId="164" fontId="6" fillId="0" borderId="0" xfId="0" applyNumberFormat="1" applyFont="1" applyAlignment="1">
      <alignment horizontal="right" vertical="center"/>
    </xf>
    <xf numFmtId="0" fontId="18" fillId="0" borderId="0" xfId="0" applyFont="1"/>
    <xf numFmtId="0" fontId="5" fillId="0" borderId="0" xfId="0" applyFont="1" applyAlignment="1">
      <alignment horizontal="center" vertical="center"/>
    </xf>
    <xf numFmtId="164" fontId="6" fillId="0" borderId="0" xfId="0" applyNumberFormat="1" applyFont="1" applyAlignment="1">
      <alignment horizontal="left" vertical="center"/>
    </xf>
    <xf numFmtId="0" fontId="6" fillId="0" borderId="5" xfId="0" applyFont="1" applyBorder="1" applyAlignment="1">
      <alignment horizontal="center" vertical="center"/>
    </xf>
    <xf numFmtId="3" fontId="5" fillId="0" borderId="0" xfId="59" applyNumberFormat="1" applyFont="1" applyAlignment="1" applyProtection="1">
      <alignment horizontal="left" vertical="center"/>
      <protection locked="0"/>
    </xf>
    <xf numFmtId="3" fontId="5" fillId="0" borderId="0" xfId="0" applyNumberFormat="1" applyFont="1" applyAlignment="1" applyProtection="1">
      <alignment horizontal="left" vertical="center"/>
      <protection locked="0"/>
    </xf>
    <xf numFmtId="0" fontId="5" fillId="0" borderId="0" xfId="0" applyFont="1" applyAlignment="1">
      <alignment horizontal="justify" vertical="center" wrapText="1"/>
    </xf>
    <xf numFmtId="0" fontId="9" fillId="0" borderId="0" xfId="0" applyFont="1" applyAlignment="1">
      <alignment wrapText="1"/>
    </xf>
    <xf numFmtId="0" fontId="33" fillId="0" borderId="0" xfId="42" applyFont="1"/>
    <xf numFmtId="0" fontId="42" fillId="0" borderId="0" xfId="0" applyFont="1" applyAlignment="1">
      <alignment vertical="center" wrapText="1"/>
    </xf>
    <xf numFmtId="0" fontId="0" fillId="0" borderId="0" xfId="0" applyAlignment="1">
      <alignment wrapText="1"/>
    </xf>
    <xf numFmtId="0" fontId="7" fillId="0" borderId="0" xfId="0" applyFont="1" applyAlignment="1">
      <alignment wrapText="1"/>
    </xf>
    <xf numFmtId="3" fontId="5" fillId="0" borderId="0" xfId="0" applyNumberFormat="1" applyFont="1" applyAlignment="1" applyProtection="1">
      <alignment horizontal="left" vertical="center" wrapText="1"/>
      <protection locked="0"/>
    </xf>
    <xf numFmtId="0" fontId="5" fillId="0" borderId="0" xfId="0" applyFont="1" applyAlignment="1">
      <alignment horizontal="left" vertical="center" wrapText="1"/>
    </xf>
    <xf numFmtId="0" fontId="5" fillId="0" borderId="0" xfId="0" applyFont="1" applyAlignment="1">
      <alignment vertical="center" wrapText="1"/>
    </xf>
    <xf numFmtId="0" fontId="6" fillId="0" borderId="0" xfId="42" applyFont="1"/>
    <xf numFmtId="0" fontId="6" fillId="0" borderId="2" xfId="42" applyFont="1" applyBorder="1" applyAlignment="1">
      <alignment horizontal="center" vertical="center" wrapText="1"/>
    </xf>
    <xf numFmtId="0" fontId="6" fillId="0" borderId="13" xfId="42" applyFont="1" applyBorder="1" applyAlignment="1">
      <alignment horizontal="center" vertical="center"/>
    </xf>
    <xf numFmtId="0" fontId="6" fillId="0" borderId="13" xfId="42" applyFont="1" applyBorder="1" applyAlignment="1">
      <alignment horizontal="center" vertical="center" wrapText="1"/>
    </xf>
    <xf numFmtId="0" fontId="6" fillId="0" borderId="6" xfId="42" applyFont="1" applyBorder="1" applyAlignment="1">
      <alignment horizontal="center" vertical="center" wrapText="1"/>
    </xf>
    <xf numFmtId="0" fontId="6" fillId="0" borderId="0" xfId="42" applyFont="1" applyAlignment="1">
      <alignment vertical="center"/>
    </xf>
    <xf numFmtId="0" fontId="6" fillId="0" borderId="0" xfId="60" applyFont="1"/>
    <xf numFmtId="164" fontId="6" fillId="0" borderId="0" xfId="60" applyNumberFormat="1" applyFont="1"/>
    <xf numFmtId="0" fontId="5" fillId="0" borderId="0" xfId="60" applyFont="1"/>
    <xf numFmtId="0" fontId="5" fillId="0" borderId="0" xfId="42" applyFont="1" applyAlignment="1">
      <alignment horizontal="left"/>
    </xf>
    <xf numFmtId="0" fontId="6" fillId="0" borderId="1" xfId="42" applyFont="1" applyBorder="1" applyAlignment="1">
      <alignment horizontal="center" vertical="center"/>
    </xf>
    <xf numFmtId="0" fontId="5" fillId="0" borderId="0" xfId="42" applyFont="1" applyAlignment="1">
      <alignment vertical="center"/>
    </xf>
    <xf numFmtId="0" fontId="5" fillId="0" borderId="0" xfId="42" applyFont="1" applyAlignment="1">
      <alignment horizontal="left"/>
    </xf>
    <xf numFmtId="0" fontId="6" fillId="0" borderId="1" xfId="0" applyFont="1" applyBorder="1" applyAlignment="1">
      <alignment vertical="center"/>
    </xf>
    <xf numFmtId="0" fontId="6" fillId="0" borderId="0" xfId="0" applyFont="1" applyAlignment="1">
      <alignment horizontal="left" wrapText="1"/>
    </xf>
    <xf numFmtId="0" fontId="6" fillId="0" borderId="15" xfId="42" applyFont="1" applyBorder="1" applyAlignment="1">
      <alignment vertical="center"/>
    </xf>
    <xf numFmtId="0" fontId="5" fillId="0" borderId="0" xfId="42" applyFont="1" applyAlignment="1">
      <alignment wrapText="1"/>
    </xf>
    <xf numFmtId="0" fontId="5" fillId="0" borderId="0" xfId="42" applyFont="1" applyAlignment="1">
      <alignment horizontal="left" vertical="center"/>
    </xf>
    <xf numFmtId="0" fontId="5" fillId="0" borderId="0" xfId="60" applyFont="1" applyAlignment="1">
      <alignment vertical="center"/>
    </xf>
    <xf numFmtId="10" fontId="6" fillId="0" borderId="0" xfId="42" applyNumberFormat="1" applyFont="1" applyAlignment="1">
      <alignment horizontal="justify" vertical="center" wrapText="1"/>
    </xf>
    <xf numFmtId="10" fontId="6" fillId="0" borderId="0" xfId="42" applyNumberFormat="1" applyFont="1" applyAlignment="1">
      <alignment vertical="center" wrapText="1"/>
    </xf>
    <xf numFmtId="175" fontId="5" fillId="0" borderId="0" xfId="61" applyNumberFormat="1" applyFont="1" applyFill="1" applyAlignment="1">
      <alignment horizontal="right"/>
    </xf>
    <xf numFmtId="175" fontId="5" fillId="0" borderId="0" xfId="61" applyNumberFormat="1" applyFont="1" applyFill="1"/>
    <xf numFmtId="175" fontId="5" fillId="0" borderId="0" xfId="61" applyNumberFormat="1" applyFont="1" applyFill="1" applyBorder="1"/>
    <xf numFmtId="176" fontId="5" fillId="0" borderId="0" xfId="61" applyNumberFormat="1" applyFont="1" applyFill="1" applyBorder="1" applyAlignment="1"/>
    <xf numFmtId="175" fontId="5" fillId="0" borderId="0" xfId="0" applyNumberFormat="1" applyFont="1" applyAlignment="1">
      <alignment horizontal="right"/>
    </xf>
    <xf numFmtId="0" fontId="47" fillId="0" borderId="0" xfId="0" applyFont="1"/>
    <xf numFmtId="176" fontId="5" fillId="0" borderId="0" xfId="0" applyNumberFormat="1" applyFont="1"/>
    <xf numFmtId="0" fontId="5" fillId="0" borderId="0" xfId="42" applyFont="1" applyAlignment="1">
      <alignment horizontal="justify"/>
    </xf>
    <xf numFmtId="0" fontId="6" fillId="0" borderId="0" xfId="42" applyFont="1" applyAlignment="1">
      <alignment horizontal="justify" vertical="center" wrapText="1"/>
    </xf>
    <xf numFmtId="0" fontId="6" fillId="0" borderId="0" xfId="42" applyFont="1" applyAlignment="1">
      <alignment vertical="center" wrapText="1"/>
    </xf>
    <xf numFmtId="177" fontId="5" fillId="0" borderId="0" xfId="0" applyNumberFormat="1" applyFont="1"/>
    <xf numFmtId="177" fontId="5" fillId="0" borderId="0" xfId="2" applyNumberFormat="1" applyFont="1" applyFill="1" applyBorder="1"/>
    <xf numFmtId="176" fontId="6" fillId="0" borderId="0" xfId="61" applyNumberFormat="1" applyFont="1" applyFill="1" applyBorder="1"/>
    <xf numFmtId="177" fontId="5" fillId="0" borderId="0" xfId="0" applyNumberFormat="1" applyFont="1" applyAlignment="1">
      <alignment horizontal="right"/>
    </xf>
    <xf numFmtId="178" fontId="5" fillId="0" borderId="0" xfId="0" applyNumberFormat="1" applyFont="1"/>
    <xf numFmtId="0" fontId="5" fillId="0" borderId="0" xfId="42" applyFont="1" applyAlignment="1">
      <alignment horizontal="right" wrapText="1"/>
    </xf>
    <xf numFmtId="49" fontId="5" fillId="0" borderId="0" xfId="0" applyNumberFormat="1" applyFont="1" applyAlignment="1">
      <alignment horizontal="justify" vertical="center" wrapText="1"/>
    </xf>
    <xf numFmtId="0" fontId="5" fillId="0" borderId="0" xfId="0" applyFont="1" applyAlignment="1">
      <alignment horizontal="justify" vertical="center" wrapText="1"/>
    </xf>
    <xf numFmtId="0" fontId="5" fillId="0" borderId="0" xfId="0" applyFont="1" applyAlignment="1">
      <alignment horizontal="left"/>
    </xf>
    <xf numFmtId="178" fontId="5" fillId="0" borderId="0" xfId="0" applyNumberFormat="1" applyFont="1" applyAlignment="1">
      <alignment horizontal="center"/>
    </xf>
    <xf numFmtId="0" fontId="6" fillId="0" borderId="0" xfId="42" applyFont="1" applyAlignment="1">
      <alignment horizontal="left" wrapText="1"/>
    </xf>
    <xf numFmtId="0" fontId="6" fillId="0" borderId="1" xfId="48" applyFont="1" applyBorder="1" applyAlignment="1">
      <alignment horizontal="center" vertical="center"/>
    </xf>
    <xf numFmtId="0" fontId="6" fillId="0" borderId="1" xfId="42" applyFont="1" applyBorder="1" applyAlignment="1">
      <alignment horizontal="center"/>
    </xf>
    <xf numFmtId="0" fontId="5" fillId="0" borderId="0" xfId="42" applyFont="1" applyAlignment="1">
      <alignment horizontal="center"/>
    </xf>
    <xf numFmtId="3" fontId="6" fillId="0" borderId="0" xfId="42" applyNumberFormat="1" applyFont="1" applyAlignment="1">
      <alignment horizontal="center"/>
    </xf>
    <xf numFmtId="3" fontId="5" fillId="0" borderId="0" xfId="42" applyNumberFormat="1" applyFont="1" applyAlignment="1">
      <alignment horizontal="center"/>
    </xf>
    <xf numFmtId="3" fontId="6" fillId="0" borderId="0" xfId="42" applyNumberFormat="1" applyFont="1"/>
    <xf numFmtId="0" fontId="23" fillId="0" borderId="0" xfId="0" applyFont="1"/>
    <xf numFmtId="0" fontId="5" fillId="0" borderId="1" xfId="42" applyFont="1" applyBorder="1" applyAlignment="1">
      <alignment horizontal="center"/>
    </xf>
    <xf numFmtId="3" fontId="6" fillId="0" borderId="1" xfId="42" applyNumberFormat="1" applyFont="1" applyBorder="1" applyAlignment="1">
      <alignment horizontal="center"/>
    </xf>
    <xf numFmtId="0" fontId="6" fillId="0" borderId="0" xfId="42" applyFont="1" applyAlignment="1">
      <alignment horizontal="left" vertical="center" wrapText="1"/>
    </xf>
    <xf numFmtId="0" fontId="48" fillId="0" borderId="0" xfId="42" applyFont="1" applyAlignment="1">
      <alignment vertical="center"/>
    </xf>
    <xf numFmtId="0" fontId="48" fillId="0" borderId="0" xfId="0" applyFont="1"/>
    <xf numFmtId="0" fontId="49" fillId="0" borderId="0" xfId="48" applyFont="1" applyAlignment="1">
      <alignment horizontal="right" vertical="center" wrapText="1"/>
    </xf>
    <xf numFmtId="0" fontId="49" fillId="0" borderId="0" xfId="48" applyFont="1" applyAlignment="1">
      <alignment vertical="center" wrapText="1"/>
    </xf>
    <xf numFmtId="0" fontId="50" fillId="0" borderId="0" xfId="48" applyFont="1" applyAlignment="1">
      <alignment vertical="center" wrapText="1"/>
    </xf>
    <xf numFmtId="0" fontId="6" fillId="0" borderId="2" xfId="62" applyFont="1" applyBorder="1" applyAlignment="1">
      <alignment horizontal="center" vertical="center"/>
    </xf>
    <xf numFmtId="0" fontId="29" fillId="0" borderId="3" xfId="48" applyFont="1" applyBorder="1" applyAlignment="1">
      <alignment horizontal="center" vertical="center" wrapText="1"/>
    </xf>
    <xf numFmtId="0" fontId="29" fillId="0" borderId="4" xfId="48" applyFont="1" applyBorder="1" applyAlignment="1">
      <alignment horizontal="center" vertical="center" wrapText="1"/>
    </xf>
    <xf numFmtId="0" fontId="29" fillId="0" borderId="5" xfId="48" applyFont="1" applyBorder="1" applyAlignment="1">
      <alignment horizontal="center" vertical="center" wrapText="1"/>
    </xf>
    <xf numFmtId="0" fontId="6" fillId="0" borderId="13" xfId="62" applyFont="1" applyBorder="1" applyAlignment="1">
      <alignment horizontal="center" vertical="center"/>
    </xf>
    <xf numFmtId="0" fontId="6" fillId="0" borderId="3" xfId="42" applyFont="1" applyBorder="1" applyAlignment="1">
      <alignment horizontal="center" vertical="center"/>
    </xf>
    <xf numFmtId="0" fontId="6" fillId="0" borderId="5" xfId="42" applyFont="1" applyBorder="1" applyAlignment="1">
      <alignment horizontal="center" vertical="center"/>
    </xf>
    <xf numFmtId="0" fontId="33" fillId="0" borderId="0" xfId="42" applyFont="1" applyAlignment="1">
      <alignment vertical="center"/>
    </xf>
    <xf numFmtId="0" fontId="33" fillId="0" borderId="0" xfId="0" applyFont="1"/>
    <xf numFmtId="0" fontId="6" fillId="0" borderId="6" xfId="62" applyFont="1" applyBorder="1" applyAlignment="1">
      <alignment horizontal="center" vertical="center"/>
    </xf>
    <xf numFmtId="0" fontId="6" fillId="0" borderId="1" xfId="62" applyFont="1" applyBorder="1" applyAlignment="1">
      <alignment horizontal="center" vertical="center"/>
    </xf>
    <xf numFmtId="0" fontId="33" fillId="0" borderId="0" xfId="62" applyFont="1" applyAlignment="1">
      <alignment horizontal="center" vertical="center"/>
    </xf>
    <xf numFmtId="0" fontId="22" fillId="0" borderId="0" xfId="0" applyFont="1" applyAlignment="1">
      <alignment vertical="center"/>
    </xf>
    <xf numFmtId="0" fontId="6" fillId="0" borderId="0" xfId="42" applyFont="1" applyAlignment="1">
      <alignment horizontal="center" vertical="center"/>
    </xf>
    <xf numFmtId="0" fontId="5" fillId="0" borderId="0" xfId="62" applyFont="1" applyAlignment="1">
      <alignment horizontal="center" vertical="center"/>
    </xf>
    <xf numFmtId="0" fontId="33" fillId="0" borderId="0" xfId="42" applyFont="1" applyAlignment="1">
      <alignment horizontal="center" vertical="center"/>
    </xf>
    <xf numFmtId="3" fontId="33" fillId="0" borderId="0" xfId="42" applyNumberFormat="1" applyFont="1" applyAlignment="1">
      <alignment horizontal="center" vertical="center"/>
    </xf>
    <xf numFmtId="0" fontId="22" fillId="0" borderId="0" xfId="0" applyFont="1" applyAlignment="1">
      <alignment horizontal="right" vertical="center"/>
    </xf>
    <xf numFmtId="3" fontId="6" fillId="0" borderId="0" xfId="42" applyNumberFormat="1" applyFont="1" applyAlignment="1">
      <alignment horizontal="center" vertical="center"/>
    </xf>
    <xf numFmtId="3" fontId="5" fillId="0" borderId="0" xfId="62" applyNumberFormat="1" applyFont="1" applyAlignment="1">
      <alignment horizontal="center" vertical="center"/>
    </xf>
    <xf numFmtId="3" fontId="5" fillId="0" borderId="0" xfId="42" applyNumberFormat="1" applyFont="1" applyAlignment="1">
      <alignment horizontal="center" vertical="center"/>
    </xf>
    <xf numFmtId="0" fontId="7" fillId="0" borderId="0" xfId="48" applyFont="1" applyAlignment="1">
      <alignment horizontal="center" vertical="center"/>
    </xf>
    <xf numFmtId="0" fontId="7" fillId="0" borderId="0" xfId="0" applyFont="1" applyAlignment="1">
      <alignment horizontal="center"/>
    </xf>
    <xf numFmtId="3" fontId="7" fillId="0" borderId="0" xfId="48" applyNumberFormat="1" applyFont="1" applyAlignment="1">
      <alignment horizontal="center" vertical="center"/>
    </xf>
    <xf numFmtId="0" fontId="6" fillId="0" borderId="0" xfId="42" applyFont="1" applyAlignment="1">
      <alignment horizontal="right" vertical="center"/>
    </xf>
    <xf numFmtId="0" fontId="7" fillId="0" borderId="0" xfId="48" applyFont="1" applyAlignment="1">
      <alignment vertical="center"/>
    </xf>
    <xf numFmtId="3" fontId="7" fillId="0" borderId="0" xfId="0" applyNumberFormat="1" applyFont="1" applyAlignment="1">
      <alignment horizontal="center"/>
    </xf>
    <xf numFmtId="0" fontId="51" fillId="0" borderId="0" xfId="48" applyFont="1" applyAlignment="1">
      <alignment horizontal="right" vertical="center"/>
    </xf>
    <xf numFmtId="0" fontId="52" fillId="0" borderId="0" xfId="48" applyFont="1" applyAlignment="1">
      <alignment vertical="center"/>
    </xf>
    <xf numFmtId="0" fontId="6" fillId="0" borderId="0" xfId="42" applyFont="1" applyAlignment="1">
      <alignment horizontal="justify" vertical="center"/>
    </xf>
    <xf numFmtId="0" fontId="6" fillId="0" borderId="1" xfId="42" applyFont="1" applyBorder="1" applyAlignment="1">
      <alignment horizontal="center" vertical="center" wrapText="1"/>
    </xf>
    <xf numFmtId="0" fontId="7" fillId="0" borderId="0" xfId="0" applyFont="1" applyAlignment="1">
      <alignment vertical="center"/>
    </xf>
    <xf numFmtId="0" fontId="7" fillId="0" borderId="0" xfId="0" applyFont="1" applyAlignment="1">
      <alignment horizontal="center" vertical="center"/>
    </xf>
    <xf numFmtId="0" fontId="7" fillId="0" borderId="0" xfId="0" applyFont="1" applyAlignment="1">
      <alignment horizontal="center" vertical="center" wrapText="1"/>
    </xf>
    <xf numFmtId="0" fontId="7" fillId="0" borderId="0" xfId="0" applyFont="1" applyAlignment="1">
      <alignment horizontal="right" vertical="center"/>
    </xf>
    <xf numFmtId="0" fontId="7" fillId="0" borderId="0" xfId="48" applyFont="1" applyAlignment="1">
      <alignment horizontal="right" vertical="center"/>
    </xf>
    <xf numFmtId="0" fontId="7" fillId="0" borderId="0" xfId="0" applyFont="1" applyAlignment="1">
      <alignment horizontal="right"/>
    </xf>
    <xf numFmtId="166" fontId="6" fillId="0" borderId="0" xfId="2" applyNumberFormat="1" applyFont="1" applyFill="1" applyBorder="1" applyAlignment="1"/>
    <xf numFmtId="166" fontId="7" fillId="0" borderId="0" xfId="2" applyNumberFormat="1" applyFont="1" applyFill="1" applyBorder="1" applyAlignment="1"/>
    <xf numFmtId="0" fontId="5" fillId="0" borderId="0" xfId="62" applyFont="1" applyAlignment="1">
      <alignment horizontal="center"/>
    </xf>
    <xf numFmtId="168" fontId="6" fillId="0" borderId="3" xfId="2" applyNumberFormat="1" applyFont="1" applyFill="1" applyBorder="1" applyAlignment="1">
      <alignment horizontal="center" vertical="center"/>
    </xf>
    <xf numFmtId="168" fontId="6" fillId="0" borderId="4" xfId="2" applyNumberFormat="1" applyFont="1" applyFill="1" applyBorder="1" applyAlignment="1">
      <alignment horizontal="center" vertical="center"/>
    </xf>
    <xf numFmtId="168" fontId="6" fillId="0" borderId="5" xfId="2" applyNumberFormat="1" applyFont="1" applyFill="1" applyBorder="1" applyAlignment="1">
      <alignment horizontal="center" vertical="center"/>
    </xf>
    <xf numFmtId="168" fontId="6" fillId="0" borderId="1" xfId="2" applyNumberFormat="1" applyFont="1" applyFill="1" applyBorder="1" applyAlignment="1">
      <alignment horizontal="center" vertical="center"/>
    </xf>
    <xf numFmtId="168" fontId="6" fillId="0" borderId="0" xfId="2" applyNumberFormat="1" applyFont="1" applyFill="1" applyBorder="1" applyAlignment="1">
      <alignment vertical="center"/>
    </xf>
    <xf numFmtId="0" fontId="6" fillId="0" borderId="1" xfId="62" applyFont="1" applyBorder="1" applyAlignment="1">
      <alignment horizontal="center" vertical="center" wrapText="1"/>
    </xf>
    <xf numFmtId="0" fontId="6" fillId="0" borderId="0" xfId="62" applyFont="1" applyAlignment="1">
      <alignment horizontal="center" vertical="center" wrapText="1"/>
    </xf>
    <xf numFmtId="0" fontId="4" fillId="0" borderId="0" xfId="48" applyFont="1"/>
    <xf numFmtId="164" fontId="6" fillId="0" borderId="0" xfId="42" applyNumberFormat="1" applyFont="1"/>
    <xf numFmtId="3" fontId="5" fillId="0" borderId="0" xfId="63" applyNumberFormat="1" applyFont="1" applyAlignment="1" applyProtection="1">
      <alignment horizontal="left" vertical="center"/>
      <protection locked="0"/>
    </xf>
    <xf numFmtId="164" fontId="4" fillId="0" borderId="0" xfId="2" applyNumberFormat="1" applyFont="1" applyFill="1" applyBorder="1" applyAlignment="1">
      <alignment horizontal="right"/>
    </xf>
    <xf numFmtId="164" fontId="4" fillId="0" borderId="0" xfId="48" applyNumberFormat="1" applyFont="1" applyAlignment="1">
      <alignment horizontal="right"/>
    </xf>
    <xf numFmtId="164" fontId="5" fillId="0" borderId="0" xfId="48" applyNumberFormat="1" applyFont="1" applyAlignment="1">
      <alignment horizontal="right"/>
    </xf>
    <xf numFmtId="0" fontId="7" fillId="0" borderId="0" xfId="48" applyFont="1"/>
    <xf numFmtId="0" fontId="4" fillId="0" borderId="0" xfId="48" applyFont="1" applyAlignment="1">
      <alignment horizontal="left" wrapText="1"/>
    </xf>
    <xf numFmtId="0" fontId="36" fillId="0" borderId="0" xfId="42" applyFont="1"/>
    <xf numFmtId="168" fontId="6" fillId="0" borderId="19" xfId="2" applyNumberFormat="1" applyFont="1" applyFill="1" applyBorder="1" applyAlignment="1">
      <alignment vertical="center"/>
    </xf>
    <xf numFmtId="3" fontId="5" fillId="0" borderId="0" xfId="64" applyNumberFormat="1" applyFont="1" applyAlignment="1" applyProtection="1">
      <alignment horizontal="left" vertical="center"/>
      <protection locked="0"/>
    </xf>
    <xf numFmtId="164" fontId="4" fillId="0" borderId="0" xfId="0" applyNumberFormat="1" applyFont="1" applyAlignment="1">
      <alignment horizontal="right"/>
    </xf>
    <xf numFmtId="0" fontId="24" fillId="0" borderId="0" xfId="48" applyFont="1" applyAlignment="1">
      <alignment horizontal="left" wrapText="1"/>
    </xf>
    <xf numFmtId="0" fontId="7" fillId="0" borderId="0" xfId="48" applyFont="1" applyAlignment="1">
      <alignment horizontal="left" wrapText="1"/>
    </xf>
    <xf numFmtId="168" fontId="6" fillId="0" borderId="3" xfId="2" applyNumberFormat="1" applyFont="1" applyFill="1" applyBorder="1" applyAlignment="1">
      <alignment horizontal="center"/>
    </xf>
    <xf numFmtId="168" fontId="6" fillId="0" borderId="4" xfId="2" applyNumberFormat="1" applyFont="1" applyFill="1" applyBorder="1" applyAlignment="1">
      <alignment horizontal="center"/>
    </xf>
    <xf numFmtId="168" fontId="6" fillId="0" borderId="5" xfId="2" applyNumberFormat="1" applyFont="1" applyFill="1" applyBorder="1" applyAlignment="1">
      <alignment horizontal="center"/>
    </xf>
    <xf numFmtId="168" fontId="6" fillId="0" borderId="19" xfId="2" applyNumberFormat="1" applyFont="1" applyFill="1" applyBorder="1" applyAlignment="1"/>
    <xf numFmtId="168" fontId="6" fillId="0" borderId="0" xfId="2" applyNumberFormat="1" applyFont="1" applyFill="1" applyBorder="1" applyAlignment="1"/>
    <xf numFmtId="0" fontId="0" fillId="0" borderId="6" xfId="0" applyBorder="1"/>
    <xf numFmtId="0" fontId="6" fillId="0" borderId="0" xfId="42" applyFont="1" applyAlignment="1">
      <alignment horizontal="right"/>
    </xf>
    <xf numFmtId="3" fontId="5" fillId="0" borderId="0" xfId="65" applyNumberFormat="1" applyFont="1" applyAlignment="1" applyProtection="1">
      <alignment horizontal="left" vertical="center"/>
      <protection locked="0"/>
    </xf>
    <xf numFmtId="0" fontId="24" fillId="0" borderId="0" xfId="48" applyFont="1" applyAlignment="1">
      <alignment horizontal="left"/>
    </xf>
    <xf numFmtId="168" fontId="6" fillId="0" borderId="1" xfId="2" applyNumberFormat="1" applyFont="1" applyFill="1" applyBorder="1" applyAlignment="1">
      <alignment horizontal="center"/>
    </xf>
    <xf numFmtId="0" fontId="5" fillId="0" borderId="0" xfId="62" applyFont="1" applyAlignment="1">
      <alignment horizontal="center" vertical="center" wrapText="1"/>
    </xf>
    <xf numFmtId="3" fontId="5" fillId="0" borderId="0" xfId="66" applyNumberFormat="1" applyFont="1" applyAlignment="1" applyProtection="1">
      <alignment horizontal="left" vertical="center"/>
      <protection locked="0"/>
    </xf>
    <xf numFmtId="0" fontId="24" fillId="0" borderId="0" xfId="48" applyFont="1" applyAlignment="1">
      <alignment wrapText="1"/>
    </xf>
    <xf numFmtId="168" fontId="5" fillId="0" borderId="0" xfId="2" applyNumberFormat="1" applyFont="1" applyFill="1" applyBorder="1" applyAlignment="1"/>
    <xf numFmtId="164" fontId="7" fillId="0" borderId="0" xfId="0" applyNumberFormat="1" applyFont="1" applyAlignment="1">
      <alignment horizontal="right"/>
    </xf>
    <xf numFmtId="3" fontId="5" fillId="0" borderId="0" xfId="67" applyNumberFormat="1" applyFont="1" applyAlignment="1" applyProtection="1">
      <alignment horizontal="left" vertical="center"/>
      <protection locked="0"/>
    </xf>
    <xf numFmtId="3" fontId="5" fillId="0" borderId="0" xfId="68" applyNumberFormat="1" applyFont="1" applyAlignment="1" applyProtection="1">
      <alignment horizontal="left" vertical="center"/>
      <protection locked="0"/>
    </xf>
    <xf numFmtId="0" fontId="34" fillId="0" borderId="0" xfId="42" applyFont="1" applyAlignment="1">
      <alignment horizontal="justify" vertical="center" wrapText="1"/>
    </xf>
    <xf numFmtId="0" fontId="6" fillId="0" borderId="0" xfId="42" applyFont="1" applyAlignment="1">
      <alignment horizontal="left" vertical="center" wrapText="1"/>
    </xf>
    <xf numFmtId="0" fontId="5" fillId="0" borderId="0" xfId="0" applyFont="1" applyAlignment="1">
      <alignment horizontal="center" vertical="center" wrapText="1"/>
    </xf>
    <xf numFmtId="0" fontId="5" fillId="0" borderId="0" xfId="0" applyFont="1" applyAlignment="1">
      <alignment horizontal="right" vertical="center"/>
    </xf>
    <xf numFmtId="0" fontId="4" fillId="0" borderId="0" xfId="48" applyFont="1" applyAlignment="1">
      <alignment horizontal="right" vertical="center"/>
    </xf>
    <xf numFmtId="0" fontId="23" fillId="0" borderId="1" xfId="0" applyFont="1" applyBorder="1"/>
    <xf numFmtId="0" fontId="9" fillId="0" borderId="1" xfId="0" applyFont="1" applyBorder="1"/>
    <xf numFmtId="0" fontId="0" fillId="0" borderId="1" xfId="0" applyBorder="1"/>
    <xf numFmtId="0" fontId="48" fillId="0" borderId="0" xfId="42" applyFont="1" applyAlignment="1">
      <alignment vertical="center" wrapText="1"/>
    </xf>
    <xf numFmtId="0" fontId="48" fillId="0" borderId="0" xfId="0" applyFont="1" applyAlignment="1">
      <alignment horizontal="right" vertical="center" wrapText="1"/>
    </xf>
    <xf numFmtId="3" fontId="5" fillId="0" borderId="0" xfId="0" applyNumberFormat="1" applyFont="1" applyAlignment="1">
      <alignment horizontal="right" vertical="center"/>
    </xf>
    <xf numFmtId="0" fontId="6" fillId="0" borderId="4" xfId="42" applyFont="1" applyBorder="1" applyAlignment="1">
      <alignment horizontal="center" vertical="center"/>
    </xf>
    <xf numFmtId="177" fontId="6" fillId="0" borderId="0" xfId="42" applyNumberFormat="1" applyFont="1" applyAlignment="1">
      <alignment horizontal="right" vertical="center"/>
    </xf>
    <xf numFmtId="177" fontId="5" fillId="0" borderId="0" xfId="42" applyNumberFormat="1" applyFont="1" applyAlignment="1">
      <alignment horizontal="right" vertical="center"/>
    </xf>
    <xf numFmtId="177" fontId="7" fillId="0" borderId="0" xfId="2" applyNumberFormat="1" applyFont="1" applyFill="1" applyBorder="1" applyAlignment="1">
      <alignment horizontal="right" vertical="center"/>
    </xf>
    <xf numFmtId="177" fontId="7" fillId="0" borderId="0" xfId="0" applyNumberFormat="1" applyFont="1" applyAlignment="1">
      <alignment horizontal="right" vertical="center"/>
    </xf>
    <xf numFmtId="3" fontId="5" fillId="0" borderId="0" xfId="42" applyNumberFormat="1" applyFont="1" applyAlignment="1">
      <alignment vertical="center"/>
    </xf>
    <xf numFmtId="3" fontId="7" fillId="0" borderId="0" xfId="0" applyNumberFormat="1" applyFont="1" applyAlignment="1">
      <alignment horizontal="right" vertical="center"/>
    </xf>
    <xf numFmtId="0" fontId="48" fillId="0" borderId="0" xfId="42" applyFont="1"/>
    <xf numFmtId="175" fontId="6" fillId="0" borderId="0" xfId="61" applyNumberFormat="1" applyFont="1" applyFill="1" applyBorder="1" applyAlignment="1">
      <alignment vertical="center"/>
    </xf>
    <xf numFmtId="175" fontId="5" fillId="0" borderId="0" xfId="61" applyNumberFormat="1" applyFont="1" applyFill="1" applyBorder="1" applyAlignment="1">
      <alignment vertical="center"/>
    </xf>
    <xf numFmtId="175" fontId="7" fillId="0" borderId="0" xfId="61" applyNumberFormat="1" applyFont="1" applyFill="1" applyBorder="1" applyAlignment="1">
      <alignment horizontal="right" vertical="center"/>
    </xf>
    <xf numFmtId="0" fontId="5" fillId="0" borderId="0" xfId="48" applyFont="1" applyAlignment="1">
      <alignment horizontal="justify" vertical="center" wrapText="1"/>
    </xf>
    <xf numFmtId="0" fontId="6" fillId="0" borderId="1" xfId="42" applyFont="1" applyBorder="1" applyAlignment="1">
      <alignment horizontal="left" vertical="center"/>
    </xf>
    <xf numFmtId="1" fontId="6" fillId="0" borderId="1" xfId="42" applyNumberFormat="1" applyFont="1" applyBorder="1" applyAlignment="1">
      <alignment horizontal="center" vertical="center"/>
    </xf>
    <xf numFmtId="0" fontId="5" fillId="0" borderId="1" xfId="42" applyFont="1" applyBorder="1" applyAlignment="1">
      <alignment horizontal="left" vertical="center" wrapText="1"/>
    </xf>
    <xf numFmtId="3" fontId="5" fillId="0" borderId="1" xfId="42" applyNumberFormat="1" applyFont="1" applyBorder="1" applyAlignment="1">
      <alignment horizontal="right" vertical="center"/>
    </xf>
    <xf numFmtId="0" fontId="6" fillId="0" borderId="0" xfId="42" applyFont="1" applyAlignment="1">
      <alignment horizontal="left" vertical="center"/>
    </xf>
    <xf numFmtId="3" fontId="5" fillId="0" borderId="1" xfId="42" applyNumberFormat="1" applyFont="1" applyBorder="1" applyAlignment="1">
      <alignment vertical="center"/>
    </xf>
    <xf numFmtId="166" fontId="7" fillId="0" borderId="1" xfId="2" applyNumberFormat="1" applyFont="1" applyFill="1" applyBorder="1" applyAlignment="1">
      <alignment horizontal="right" vertical="center"/>
    </xf>
    <xf numFmtId="3" fontId="7" fillId="0" borderId="1" xfId="0" applyNumberFormat="1" applyFont="1" applyBorder="1" applyAlignment="1">
      <alignment horizontal="right" vertical="center"/>
    </xf>
    <xf numFmtId="0" fontId="4" fillId="0" borderId="0" xfId="0" applyFont="1" applyAlignment="1">
      <alignment horizontal="left" vertical="center" wrapText="1"/>
    </xf>
    <xf numFmtId="179" fontId="54" fillId="0" borderId="0" xfId="0" applyNumberFormat="1" applyFont="1"/>
    <xf numFmtId="0" fontId="6" fillId="0" borderId="3" xfId="0" applyFont="1" applyBorder="1" applyAlignment="1">
      <alignment horizontal="center"/>
    </xf>
    <xf numFmtId="0" fontId="6" fillId="0" borderId="4" xfId="0" applyFont="1" applyBorder="1" applyAlignment="1">
      <alignment horizontal="center"/>
    </xf>
    <xf numFmtId="0" fontId="6" fillId="0" borderId="5" xfId="0" applyFont="1" applyBorder="1" applyAlignment="1">
      <alignment horizontal="center"/>
    </xf>
    <xf numFmtId="164" fontId="55" fillId="0" borderId="0" xfId="0" applyNumberFormat="1" applyFont="1" applyAlignment="1">
      <alignment vertical="top"/>
    </xf>
    <xf numFmtId="0" fontId="55" fillId="0" borderId="0" xfId="0" applyFont="1" applyAlignment="1">
      <alignment vertical="top"/>
    </xf>
    <xf numFmtId="0" fontId="5" fillId="0" borderId="0" xfId="0" applyFont="1" applyAlignment="1">
      <alignment horizontal="justify" vertical="top" wrapText="1"/>
    </xf>
    <xf numFmtId="0" fontId="0" fillId="0" borderId="0" xfId="0" applyAlignment="1">
      <alignment horizontal="justify" wrapText="1"/>
    </xf>
    <xf numFmtId="49" fontId="5" fillId="0" borderId="0" xfId="0" applyNumberFormat="1" applyFont="1" applyAlignment="1">
      <alignment horizontal="left" vertical="top"/>
    </xf>
    <xf numFmtId="0" fontId="5" fillId="0" borderId="0" xfId="0" applyFont="1" applyAlignment="1">
      <alignment horizontal="left" vertical="top" wrapText="1"/>
    </xf>
    <xf numFmtId="0" fontId="16" fillId="0" borderId="1" xfId="0" applyFont="1" applyBorder="1" applyAlignment="1">
      <alignment horizontal="center" vertical="center" wrapText="1"/>
    </xf>
    <xf numFmtId="0" fontId="6" fillId="0" borderId="0" xfId="0" applyFont="1" applyAlignment="1">
      <alignment horizontal="left" vertical="top" wrapText="1"/>
    </xf>
    <xf numFmtId="3" fontId="44" fillId="0" borderId="0" xfId="0" applyNumberFormat="1" applyFont="1" applyAlignment="1">
      <alignment horizontal="right"/>
    </xf>
    <xf numFmtId="0" fontId="4" fillId="0" borderId="0" xfId="0" applyFont="1" applyAlignment="1">
      <alignment horizontal="justify" vertical="center" wrapText="1"/>
    </xf>
    <xf numFmtId="0" fontId="6" fillId="0" borderId="13" xfId="0" applyFont="1" applyBorder="1" applyAlignment="1">
      <alignment horizontal="center" vertical="center" wrapText="1"/>
    </xf>
    <xf numFmtId="3" fontId="6" fillId="0" borderId="0" xfId="0" applyNumberFormat="1" applyFont="1" applyAlignment="1">
      <alignment horizontal="left" vertical="top" wrapText="1"/>
    </xf>
    <xf numFmtId="0" fontId="6" fillId="0" borderId="6" xfId="0" applyFont="1" applyBorder="1" applyAlignment="1">
      <alignment horizontal="center" vertical="center" wrapText="1"/>
    </xf>
    <xf numFmtId="3" fontId="55" fillId="0" borderId="0" xfId="0" applyNumberFormat="1" applyFont="1" applyAlignment="1">
      <alignment vertical="top"/>
    </xf>
    <xf numFmtId="0" fontId="6" fillId="0" borderId="0" xfId="0" applyFont="1" applyAlignment="1">
      <alignment horizontal="justify"/>
    </xf>
    <xf numFmtId="0" fontId="35" fillId="0" borderId="0" xfId="0" applyFont="1"/>
    <xf numFmtId="0" fontId="6" fillId="0" borderId="0" xfId="42" applyFont="1" applyAlignment="1">
      <alignment wrapText="1"/>
    </xf>
    <xf numFmtId="166" fontId="5" fillId="0" borderId="0" xfId="2" applyNumberFormat="1" applyFont="1" applyFill="1" applyBorder="1" applyAlignment="1"/>
    <xf numFmtId="0" fontId="6" fillId="0" borderId="3" xfId="42" applyFont="1" applyBorder="1" applyAlignment="1">
      <alignment horizontal="center"/>
    </xf>
    <xf numFmtId="0" fontId="6" fillId="0" borderId="4" xfId="42" applyFont="1" applyBorder="1" applyAlignment="1">
      <alignment horizontal="center"/>
    </xf>
    <xf numFmtId="0" fontId="6" fillId="0" borderId="5" xfId="42" applyFont="1" applyBorder="1" applyAlignment="1">
      <alignment horizontal="center"/>
    </xf>
    <xf numFmtId="0" fontId="6" fillId="0" borderId="6" xfId="42" applyFont="1" applyBorder="1" applyAlignment="1">
      <alignment horizontal="center" vertical="center" wrapText="1"/>
    </xf>
    <xf numFmtId="0" fontId="5" fillId="0" borderId="0" xfId="42" applyFont="1" applyAlignment="1">
      <alignment horizontal="left" wrapText="1"/>
    </xf>
    <xf numFmtId="49" fontId="6" fillId="0" borderId="0" xfId="42" applyNumberFormat="1" applyFont="1" applyAlignment="1">
      <alignment horizontal="justify" vertical="center" wrapText="1"/>
    </xf>
    <xf numFmtId="0" fontId="5" fillId="0" borderId="0" xfId="42" applyFont="1" applyAlignment="1">
      <alignment horizontal="center" wrapText="1"/>
    </xf>
    <xf numFmtId="9" fontId="6" fillId="0" borderId="0" xfId="58" applyFont="1" applyFill="1" applyBorder="1"/>
    <xf numFmtId="3" fontId="5" fillId="0" borderId="0" xfId="42" applyNumberFormat="1" applyFont="1"/>
    <xf numFmtId="10" fontId="5" fillId="0" borderId="0" xfId="42" applyNumberFormat="1" applyFont="1"/>
    <xf numFmtId="3" fontId="5" fillId="0" borderId="0" xfId="69" applyNumberFormat="1" applyFont="1" applyAlignment="1" applyProtection="1">
      <alignment horizontal="left" vertical="center"/>
      <protection locked="0"/>
    </xf>
    <xf numFmtId="10" fontId="5" fillId="0" borderId="0" xfId="58" applyNumberFormat="1" applyFont="1" applyFill="1" applyBorder="1"/>
    <xf numFmtId="3" fontId="5" fillId="0" borderId="0" xfId="42" applyNumberFormat="1" applyFont="1" applyAlignment="1">
      <alignment wrapText="1"/>
    </xf>
    <xf numFmtId="10" fontId="5" fillId="0" borderId="0" xfId="42" applyNumberFormat="1" applyFont="1" applyAlignment="1">
      <alignment wrapText="1"/>
    </xf>
    <xf numFmtId="166" fontId="5" fillId="0" borderId="0" xfId="2" applyNumberFormat="1" applyFont="1" applyBorder="1"/>
    <xf numFmtId="0" fontId="6" fillId="0" borderId="0" xfId="42" applyFont="1" applyAlignment="1">
      <alignment horizontal="left" wrapText="1"/>
    </xf>
    <xf numFmtId="166" fontId="5" fillId="0" borderId="0" xfId="2" applyNumberFormat="1" applyFont="1" applyBorder="1" applyAlignment="1"/>
    <xf numFmtId="0" fontId="6" fillId="0" borderId="1" xfId="0" applyFont="1" applyBorder="1" applyAlignment="1">
      <alignment horizontal="center" wrapText="1"/>
    </xf>
    <xf numFmtId="3" fontId="6" fillId="0" borderId="0" xfId="42" applyNumberFormat="1" applyFont="1" applyAlignment="1">
      <alignment horizontal="right"/>
    </xf>
    <xf numFmtId="0" fontId="27" fillId="0" borderId="1" xfId="0" applyFont="1" applyBorder="1" applyAlignment="1">
      <alignment horizontal="center" vertical="center"/>
    </xf>
    <xf numFmtId="0" fontId="27" fillId="0" borderId="0" xfId="0" applyFont="1" applyAlignment="1">
      <alignment vertical="center"/>
    </xf>
    <xf numFmtId="166" fontId="27" fillId="0" borderId="0" xfId="2" applyNumberFormat="1" applyFont="1" applyFill="1" applyBorder="1" applyAlignment="1">
      <alignment horizontal="right" vertical="center"/>
    </xf>
    <xf numFmtId="9" fontId="27" fillId="0" borderId="0" xfId="0" applyNumberFormat="1" applyFont="1" applyAlignment="1">
      <alignment horizontal="right" vertical="center"/>
    </xf>
    <xf numFmtId="10" fontId="22" fillId="0" borderId="0" xfId="0" applyNumberFormat="1" applyFont="1" applyAlignment="1">
      <alignment horizontal="right" vertical="center"/>
    </xf>
    <xf numFmtId="164" fontId="5" fillId="0" borderId="0" xfId="0" applyNumberFormat="1" applyFont="1" applyAlignment="1">
      <alignment horizontal="right" vertical="center"/>
    </xf>
    <xf numFmtId="165" fontId="0" fillId="0" borderId="0" xfId="0" applyNumberFormat="1"/>
    <xf numFmtId="2" fontId="5" fillId="0" borderId="0" xfId="0" applyNumberFormat="1" applyFont="1" applyAlignment="1">
      <alignment horizontal="right" vertical="center"/>
    </xf>
    <xf numFmtId="166" fontId="22" fillId="0" borderId="0" xfId="2" applyNumberFormat="1" applyFont="1" applyBorder="1" applyAlignment="1">
      <alignment horizontal="right" vertical="center"/>
    </xf>
    <xf numFmtId="2" fontId="22" fillId="0" borderId="0" xfId="0" applyNumberFormat="1" applyFont="1" applyAlignment="1">
      <alignment horizontal="right" vertical="center"/>
    </xf>
    <xf numFmtId="0" fontId="27" fillId="0" borderId="0" xfId="0" applyFont="1" applyAlignment="1">
      <alignment horizontal="right" vertical="center"/>
    </xf>
    <xf numFmtId="10" fontId="27" fillId="0" borderId="0" xfId="0" applyNumberFormat="1" applyFont="1" applyAlignment="1">
      <alignment horizontal="right" vertical="center"/>
    </xf>
    <xf numFmtId="0" fontId="0" fillId="0" borderId="0" xfId="0" applyAlignment="1">
      <alignment horizontal="left" vertical="center" wrapText="1"/>
    </xf>
    <xf numFmtId="0" fontId="22" fillId="0" borderId="0" xfId="0" applyFont="1" applyAlignment="1">
      <alignment horizontal="left" vertical="center" wrapText="1"/>
    </xf>
    <xf numFmtId="0" fontId="57" fillId="0" borderId="0" xfId="0" applyFont="1" applyAlignment="1">
      <alignment horizontal="left" vertical="center" wrapText="1"/>
    </xf>
    <xf numFmtId="0" fontId="9" fillId="0" borderId="0" xfId="0" applyFont="1" applyAlignment="1">
      <alignment horizontal="left" vertical="center" wrapText="1"/>
    </xf>
    <xf numFmtId="9" fontId="27" fillId="0" borderId="0" xfId="2" applyNumberFormat="1" applyFont="1" applyFill="1" applyBorder="1" applyAlignment="1">
      <alignment horizontal="right" vertical="center"/>
    </xf>
    <xf numFmtId="166" fontId="22" fillId="0" borderId="0" xfId="2" applyNumberFormat="1" applyFont="1" applyFill="1" applyBorder="1" applyAlignment="1">
      <alignment horizontal="right" vertical="center"/>
    </xf>
    <xf numFmtId="166" fontId="5" fillId="0" borderId="0" xfId="2" applyNumberFormat="1" applyFont="1" applyFill="1" applyBorder="1" applyAlignment="1">
      <alignment horizontal="right" vertical="center"/>
    </xf>
    <xf numFmtId="2" fontId="6" fillId="0" borderId="0" xfId="0" applyNumberFormat="1" applyFont="1" applyAlignment="1">
      <alignment horizontal="justify" wrapText="1"/>
    </xf>
    <xf numFmtId="3" fontId="5" fillId="0" borderId="0" xfId="0" applyNumberFormat="1" applyFont="1" applyAlignment="1">
      <alignment horizontal="center"/>
    </xf>
    <xf numFmtId="0" fontId="29" fillId="0" borderId="0" xfId="70" applyFont="1" applyAlignment="1">
      <alignment horizontal="left" vertical="center" wrapText="1"/>
    </xf>
    <xf numFmtId="0" fontId="4" fillId="0" borderId="3" xfId="0" applyFont="1" applyBorder="1" applyAlignment="1">
      <alignment horizontal="center"/>
    </xf>
    <xf numFmtId="0" fontId="4" fillId="0" borderId="5" xfId="0" applyFont="1" applyBorder="1" applyAlignment="1">
      <alignment horizontal="center"/>
    </xf>
    <xf numFmtId="0" fontId="29" fillId="0" borderId="1" xfId="70" applyFont="1" applyBorder="1" applyAlignment="1">
      <alignment horizontal="center" vertical="center"/>
    </xf>
    <xf numFmtId="0" fontId="29" fillId="0" borderId="1" xfId="70" applyFont="1" applyBorder="1" applyAlignment="1">
      <alignment horizontal="center" vertical="center" wrapText="1"/>
    </xf>
    <xf numFmtId="164" fontId="29" fillId="0" borderId="0" xfId="70" applyNumberFormat="1" applyFont="1" applyAlignment="1">
      <alignment horizontal="right" vertical="center" wrapText="1"/>
    </xf>
    <xf numFmtId="180" fontId="29" fillId="0" borderId="0" xfId="10" applyNumberFormat="1" applyFont="1" applyFill="1" applyBorder="1" applyAlignment="1">
      <alignment horizontal="right" vertical="center"/>
    </xf>
    <xf numFmtId="0" fontId="24" fillId="0" borderId="0" xfId="70" applyFont="1" applyAlignment="1">
      <alignment horizontal="left" vertical="center" wrapText="1"/>
    </xf>
    <xf numFmtId="164" fontId="24" fillId="0" borderId="0" xfId="70" applyNumberFormat="1" applyFont="1" applyAlignment="1">
      <alignment horizontal="right" vertical="center"/>
    </xf>
    <xf numFmtId="181" fontId="24" fillId="0" borderId="0" xfId="10" applyNumberFormat="1" applyFont="1" applyFill="1" applyBorder="1" applyAlignment="1">
      <alignment horizontal="right" vertical="center"/>
    </xf>
    <xf numFmtId="9" fontId="29" fillId="0" borderId="0" xfId="58" applyFont="1" applyFill="1" applyBorder="1" applyAlignment="1">
      <alignment horizontal="right" vertical="center"/>
    </xf>
    <xf numFmtId="179" fontId="24" fillId="0" borderId="0" xfId="58" applyNumberFormat="1" applyFont="1" applyFill="1" applyBorder="1" applyAlignment="1">
      <alignment horizontal="right" vertical="center"/>
    </xf>
    <xf numFmtId="9" fontId="24" fillId="0" borderId="0" xfId="58" applyFont="1" applyFill="1" applyBorder="1" applyAlignment="1">
      <alignment horizontal="right" vertical="center"/>
    </xf>
    <xf numFmtId="49" fontId="5" fillId="0" borderId="0" xfId="0" applyNumberFormat="1" applyFont="1" applyAlignment="1">
      <alignment horizontal="left" vertical="center" wrapText="1"/>
    </xf>
    <xf numFmtId="0" fontId="24" fillId="0" borderId="0" xfId="70" applyFont="1" applyAlignment="1">
      <alignment horizontal="left" vertical="center"/>
    </xf>
    <xf numFmtId="3" fontId="5" fillId="0" borderId="0" xfId="42" applyNumberFormat="1" applyFont="1" applyAlignment="1">
      <alignment horizontal="right"/>
    </xf>
    <xf numFmtId="167" fontId="24" fillId="0" borderId="0" xfId="2" applyNumberFormat="1" applyFont="1" applyBorder="1" applyAlignment="1">
      <alignment horizontal="right" vertical="center" wrapText="1"/>
    </xf>
    <xf numFmtId="167" fontId="5" fillId="0" borderId="0" xfId="2" applyNumberFormat="1" applyFont="1" applyBorder="1" applyAlignment="1">
      <alignment horizontal="right" vertical="center" wrapText="1"/>
    </xf>
    <xf numFmtId="0" fontId="59" fillId="0" borderId="0" xfId="42" applyFont="1"/>
    <xf numFmtId="0" fontId="6" fillId="0" borderId="1" xfId="42" applyFont="1" applyBorder="1" applyAlignment="1">
      <alignment horizontal="center"/>
    </xf>
    <xf numFmtId="0" fontId="6" fillId="0" borderId="1" xfId="42" applyFont="1" applyBorder="1"/>
    <xf numFmtId="3" fontId="5" fillId="0" borderId="1" xfId="42" applyNumberFormat="1" applyFont="1" applyBorder="1"/>
    <xf numFmtId="0" fontId="5" fillId="0" borderId="1" xfId="42" applyFont="1" applyBorder="1"/>
    <xf numFmtId="0" fontId="6" fillId="0" borderId="0" xfId="42" applyFont="1" applyAlignment="1">
      <alignment horizontal="left"/>
    </xf>
    <xf numFmtId="3" fontId="6" fillId="0" borderId="0" xfId="2" applyNumberFormat="1" applyFont="1" applyFill="1" applyBorder="1"/>
    <xf numFmtId="3" fontId="6" fillId="0" borderId="0" xfId="2" applyNumberFormat="1" applyFont="1" applyBorder="1"/>
    <xf numFmtId="166" fontId="24" fillId="0" borderId="0" xfId="2" applyNumberFormat="1" applyFont="1" applyBorder="1" applyAlignment="1">
      <alignment horizontal="right"/>
    </xf>
    <xf numFmtId="3" fontId="5" fillId="0" borderId="0" xfId="2" applyNumberFormat="1" applyFont="1" applyFill="1" applyBorder="1"/>
    <xf numFmtId="3" fontId="5" fillId="0" borderId="0" xfId="2" applyNumberFormat="1" applyFont="1" applyBorder="1" applyAlignment="1">
      <alignment horizontal="right" wrapText="1" indent="1"/>
    </xf>
    <xf numFmtId="166" fontId="5" fillId="0" borderId="0" xfId="2" applyNumberFormat="1" applyFont="1" applyBorder="1" applyAlignment="1">
      <alignment horizontal="right" wrapText="1" indent="1"/>
    </xf>
    <xf numFmtId="166" fontId="5" fillId="0" borderId="0" xfId="2" applyNumberFormat="1" applyFont="1" applyBorder="1" applyAlignment="1">
      <alignment horizontal="right" wrapText="1"/>
    </xf>
    <xf numFmtId="166" fontId="5" fillId="0" borderId="0" xfId="2" applyNumberFormat="1" applyFont="1" applyBorder="1" applyAlignment="1">
      <alignment horizontal="right" vertical="center" wrapText="1"/>
    </xf>
    <xf numFmtId="0" fontId="60" fillId="0" borderId="0" xfId="0" applyFont="1"/>
    <xf numFmtId="3" fontId="22" fillId="0" borderId="0" xfId="0" applyNumberFormat="1" applyFont="1" applyAlignment="1">
      <alignment horizontal="right"/>
    </xf>
    <xf numFmtId="164" fontId="22" fillId="0" borderId="0" xfId="0" applyNumberFormat="1" applyFont="1" applyAlignment="1">
      <alignment horizontal="right"/>
    </xf>
    <xf numFmtId="0" fontId="41" fillId="0" borderId="0" xfId="0" applyFont="1"/>
    <xf numFmtId="49" fontId="5" fillId="0" borderId="0" xfId="0" applyNumberFormat="1" applyFont="1" applyAlignment="1">
      <alignment horizontal="left" wrapText="1"/>
    </xf>
    <xf numFmtId="0" fontId="22" fillId="0" borderId="0" xfId="0" applyFont="1"/>
    <xf numFmtId="0" fontId="5" fillId="0" borderId="0" xfId="42" applyFont="1" applyAlignment="1">
      <alignment horizontal="center" wrapText="1"/>
    </xf>
    <xf numFmtId="0" fontId="6" fillId="0" borderId="1" xfId="42" applyFont="1" applyBorder="1" applyAlignment="1">
      <alignment horizontal="left" vertical="center" wrapText="1"/>
    </xf>
    <xf numFmtId="0" fontId="61" fillId="0" borderId="0" xfId="0" applyFont="1"/>
    <xf numFmtId="0" fontId="29" fillId="0" borderId="1" xfId="0" applyFont="1" applyBorder="1" applyAlignment="1">
      <alignment horizontal="center" vertical="center"/>
    </xf>
    <xf numFmtId="166" fontId="6" fillId="0" borderId="0" xfId="2" applyNumberFormat="1" applyFont="1" applyBorder="1"/>
    <xf numFmtId="0" fontId="5" fillId="0" borderId="0" xfId="42" quotePrefix="1" applyFont="1"/>
    <xf numFmtId="0" fontId="1" fillId="0" borderId="0" xfId="0" applyFont="1"/>
    <xf numFmtId="0" fontId="6" fillId="0" borderId="1" xfId="0" applyFont="1" applyBorder="1" applyAlignment="1">
      <alignment horizontal="center" vertical="top" wrapText="1"/>
    </xf>
    <xf numFmtId="0" fontId="41" fillId="0" borderId="0" xfId="0" applyFont="1" applyAlignment="1">
      <alignment vertical="top"/>
    </xf>
    <xf numFmtId="0" fontId="5" fillId="0" borderId="0" xfId="0" applyFont="1" applyAlignment="1">
      <alignment horizontal="left" vertical="top" wrapText="1"/>
    </xf>
    <xf numFmtId="3" fontId="22" fillId="0" borderId="0" xfId="0" applyNumberFormat="1" applyFont="1" applyAlignment="1">
      <alignment horizontal="right" vertical="center"/>
    </xf>
    <xf numFmtId="3" fontId="0" fillId="0" borderId="0" xfId="0" applyNumberFormat="1"/>
    <xf numFmtId="3" fontId="36" fillId="0" borderId="0" xfId="0" applyNumberFormat="1" applyFont="1" applyAlignment="1">
      <alignment horizontal="right"/>
    </xf>
    <xf numFmtId="0" fontId="36" fillId="0" borderId="0" xfId="0" applyFont="1" applyAlignment="1">
      <alignment horizontal="right"/>
    </xf>
    <xf numFmtId="0" fontId="22" fillId="0" borderId="0" xfId="0" applyFont="1" applyAlignment="1">
      <alignment vertical="center" wrapText="1"/>
    </xf>
    <xf numFmtId="0" fontId="6" fillId="0" borderId="0" xfId="0" applyFont="1" applyAlignment="1">
      <alignment vertical="center" wrapText="1"/>
    </xf>
    <xf numFmtId="3" fontId="55" fillId="0" borderId="0" xfId="0" applyNumberFormat="1" applyFont="1"/>
    <xf numFmtId="3" fontId="6" fillId="0" borderId="0" xfId="0" applyNumberFormat="1" applyFont="1" applyAlignment="1">
      <alignment horizontal="left"/>
    </xf>
    <xf numFmtId="0" fontId="0" fillId="0" borderId="0" xfId="0" applyAlignment="1">
      <alignment wrapText="1"/>
    </xf>
    <xf numFmtId="0" fontId="6" fillId="0" borderId="1" xfId="71" applyFont="1" applyBorder="1" applyAlignment="1">
      <alignment horizontal="center"/>
    </xf>
    <xf numFmtId="0" fontId="6" fillId="0" borderId="1" xfId="71" applyFont="1" applyBorder="1" applyAlignment="1">
      <alignment horizontal="center" wrapText="1"/>
    </xf>
    <xf numFmtId="0" fontId="6" fillId="0" borderId="1" xfId="71" applyFont="1" applyBorder="1" applyAlignment="1">
      <alignment horizontal="center" vertical="center" wrapText="1"/>
    </xf>
    <xf numFmtId="0" fontId="5" fillId="0" borderId="0" xfId="0" applyFont="1" applyAlignment="1">
      <alignment horizontal="center" wrapText="1"/>
    </xf>
    <xf numFmtId="0" fontId="5" fillId="0" borderId="1" xfId="0" applyFont="1" applyBorder="1" applyAlignment="1">
      <alignment wrapText="1"/>
    </xf>
    <xf numFmtId="0" fontId="5" fillId="0" borderId="0" xfId="0" applyFont="1" applyAlignment="1">
      <alignment horizontal="left" vertical="center"/>
    </xf>
    <xf numFmtId="0" fontId="5" fillId="0" borderId="0" xfId="71" applyFont="1" applyBorder="1" applyAlignment="1">
      <alignment horizontal="center"/>
    </xf>
    <xf numFmtId="49" fontId="5" fillId="0" borderId="0" xfId="71" applyNumberFormat="1" applyFont="1" applyBorder="1" applyAlignment="1">
      <alignment wrapText="1"/>
    </xf>
    <xf numFmtId="0" fontId="5" fillId="0" borderId="0" xfId="71" applyFont="1" applyBorder="1" applyAlignment="1">
      <alignment wrapText="1"/>
    </xf>
    <xf numFmtId="2" fontId="6" fillId="0" borderId="1" xfId="0" applyNumberFormat="1" applyFont="1" applyBorder="1" applyAlignment="1">
      <alignment horizontal="center" vertical="center" wrapText="1"/>
    </xf>
    <xf numFmtId="2" fontId="5" fillId="0" borderId="0" xfId="0" applyNumberFormat="1" applyFont="1" applyAlignment="1">
      <alignment horizontal="center" vertical="center"/>
    </xf>
    <xf numFmtId="3" fontId="5" fillId="0" borderId="0" xfId="72" applyNumberFormat="1" applyFont="1" applyAlignment="1" applyProtection="1">
      <alignment horizontal="left" vertical="center"/>
      <protection locked="0"/>
    </xf>
    <xf numFmtId="0" fontId="5" fillId="0" borderId="0" xfId="0" applyFont="1" applyAlignment="1">
      <alignment horizontal="justify" vertical="top" wrapText="1" readingOrder="1"/>
    </xf>
    <xf numFmtId="0" fontId="5" fillId="0" borderId="0" xfId="0" applyFont="1" applyAlignment="1">
      <alignment vertical="top" wrapText="1" readingOrder="1"/>
    </xf>
    <xf numFmtId="0" fontId="5" fillId="0" borderId="0" xfId="0" applyFont="1" applyAlignment="1">
      <alignment vertical="top" readingOrder="1"/>
    </xf>
    <xf numFmtId="0" fontId="5" fillId="0" borderId="0" xfId="0" applyFont="1" applyAlignment="1">
      <alignment vertical="top"/>
    </xf>
    <xf numFmtId="3" fontId="5" fillId="0" borderId="0" xfId="73" applyNumberFormat="1" applyFont="1" applyAlignment="1" applyProtection="1">
      <alignment horizontal="left" vertical="center"/>
      <protection locked="0"/>
    </xf>
    <xf numFmtId="0" fontId="0" fillId="0" borderId="0" xfId="0" applyAlignment="1">
      <alignment vertical="center"/>
    </xf>
    <xf numFmtId="0" fontId="36" fillId="0" borderId="0" xfId="0" applyFont="1"/>
    <xf numFmtId="0" fontId="9" fillId="0" borderId="0" xfId="0" applyFont="1" applyAlignment="1">
      <alignment wrapText="1"/>
    </xf>
    <xf numFmtId="0" fontId="9" fillId="0" borderId="0" xfId="0" applyFont="1" applyAlignment="1">
      <alignment vertical="center"/>
    </xf>
    <xf numFmtId="0" fontId="6" fillId="0" borderId="0" xfId="0" applyFont="1" applyAlignment="1">
      <alignment vertical="center" wrapText="1"/>
    </xf>
    <xf numFmtId="0" fontId="9" fillId="0" borderId="0" xfId="0" applyFont="1" applyAlignment="1">
      <alignment vertical="center" wrapText="1"/>
    </xf>
    <xf numFmtId="164" fontId="6" fillId="0" borderId="0" xfId="2" applyNumberFormat="1" applyFont="1" applyAlignment="1">
      <alignment horizontal="right"/>
    </xf>
    <xf numFmtId="9" fontId="6" fillId="0" borderId="0" xfId="58" applyFont="1" applyAlignment="1">
      <alignment horizontal="right"/>
    </xf>
    <xf numFmtId="179" fontId="5" fillId="0" borderId="0" xfId="10" applyNumberFormat="1" applyFont="1" applyBorder="1" applyAlignment="1"/>
    <xf numFmtId="10" fontId="6" fillId="0" borderId="0" xfId="0" applyNumberFormat="1" applyFont="1"/>
    <xf numFmtId="179" fontId="5" fillId="0" borderId="0" xfId="0" applyNumberFormat="1" applyFont="1" applyAlignment="1">
      <alignment horizontal="right"/>
    </xf>
    <xf numFmtId="1" fontId="5" fillId="0" borderId="0" xfId="0" applyNumberFormat="1" applyFont="1"/>
    <xf numFmtId="179" fontId="5" fillId="0" borderId="0" xfId="0" applyNumberFormat="1" applyFont="1"/>
    <xf numFmtId="10" fontId="5" fillId="0" borderId="0" xfId="0" applyNumberFormat="1" applyFont="1"/>
    <xf numFmtId="164" fontId="6" fillId="0" borderId="1" xfId="0" applyNumberFormat="1" applyFont="1" applyBorder="1" applyAlignment="1">
      <alignment horizontal="right"/>
    </xf>
    <xf numFmtId="164" fontId="5" fillId="0" borderId="0" xfId="2" applyNumberFormat="1" applyFont="1" applyBorder="1"/>
    <xf numFmtId="0" fontId="5" fillId="0" borderId="0" xfId="0" applyFont="1" applyAlignment="1">
      <alignment horizontal="left" vertical="center"/>
    </xf>
    <xf numFmtId="0" fontId="5" fillId="0" borderId="0" xfId="0" applyFont="1" applyAlignment="1">
      <alignment vertical="center" wrapText="1"/>
    </xf>
    <xf numFmtId="3" fontId="36" fillId="0" borderId="0" xfId="0" applyNumberFormat="1" applyFont="1"/>
    <xf numFmtId="0" fontId="9" fillId="0" borderId="0" xfId="0" applyFont="1" applyAlignment="1">
      <alignment horizontal="justify" wrapText="1"/>
    </xf>
    <xf numFmtId="3" fontId="5" fillId="0" borderId="0" xfId="0" applyNumberFormat="1" applyFont="1" applyAlignment="1">
      <alignment horizontal="right" wrapText="1"/>
    </xf>
    <xf numFmtId="3" fontId="5" fillId="0" borderId="0" xfId="0" applyNumberFormat="1" applyFont="1" applyAlignment="1">
      <alignment horizontal="center" vertical="center"/>
    </xf>
    <xf numFmtId="0" fontId="6" fillId="0" borderId="0" xfId="0" applyFont="1" applyAlignment="1">
      <alignment horizontal="center" vertical="center" wrapText="1"/>
    </xf>
    <xf numFmtId="0" fontId="5" fillId="0" borderId="0" xfId="0" applyFont="1" applyAlignment="1">
      <alignment vertical="top" wrapText="1"/>
    </xf>
    <xf numFmtId="0" fontId="6" fillId="0" borderId="1" xfId="0" applyFont="1" applyBorder="1" applyAlignment="1">
      <alignment horizontal="center"/>
    </xf>
    <xf numFmtId="3" fontId="5" fillId="0" borderId="0" xfId="0" applyNumberFormat="1" applyFont="1" applyAlignment="1">
      <alignment vertical="center"/>
    </xf>
    <xf numFmtId="0" fontId="5" fillId="0" borderId="0" xfId="0" applyFont="1" applyAlignment="1">
      <alignment horizontal="center"/>
    </xf>
    <xf numFmtId="3" fontId="22" fillId="0" borderId="0" xfId="0" applyNumberFormat="1" applyFont="1"/>
    <xf numFmtId="3" fontId="5" fillId="0" borderId="0" xfId="74" applyNumberFormat="1" applyFont="1" applyAlignment="1" applyProtection="1">
      <alignment horizontal="left" vertical="center"/>
      <protection locked="0"/>
    </xf>
    <xf numFmtId="0" fontId="9" fillId="0" borderId="0" xfId="0" applyFont="1" applyAlignment="1">
      <alignment vertical="center" wrapText="1"/>
    </xf>
    <xf numFmtId="0" fontId="36" fillId="0" borderId="0" xfId="48" applyFont="1"/>
    <xf numFmtId="3" fontId="5" fillId="0" borderId="0" xfId="75" applyNumberFormat="1" applyFont="1" applyAlignment="1" applyProtection="1">
      <alignment horizontal="left" vertical="center"/>
      <protection locked="0"/>
    </xf>
    <xf numFmtId="0" fontId="6" fillId="0" borderId="0" xfId="48" applyFont="1" applyAlignment="1">
      <alignment horizontal="left" wrapText="1"/>
    </xf>
    <xf numFmtId="0" fontId="33" fillId="0" borderId="0" xfId="48" applyFont="1"/>
    <xf numFmtId="0" fontId="6" fillId="0" borderId="2" xfId="48" applyFont="1" applyBorder="1" applyAlignment="1">
      <alignment horizontal="center" vertical="center"/>
    </xf>
    <xf numFmtId="0" fontId="6" fillId="0" borderId="6" xfId="48" applyFont="1" applyBorder="1" applyAlignment="1">
      <alignment horizontal="center" vertical="center"/>
    </xf>
    <xf numFmtId="3" fontId="6" fillId="0" borderId="0" xfId="48" applyNumberFormat="1" applyFont="1"/>
    <xf numFmtId="3" fontId="5" fillId="0" borderId="0" xfId="76" applyNumberFormat="1" applyFont="1" applyAlignment="1" applyProtection="1">
      <alignment horizontal="left" vertical="center"/>
      <protection locked="0"/>
    </xf>
    <xf numFmtId="164" fontId="5" fillId="0" borderId="0" xfId="48" applyNumberFormat="1" applyFont="1"/>
    <xf numFmtId="3" fontId="5" fillId="0" borderId="0" xfId="48" applyNumberFormat="1" applyFont="1" applyAlignment="1" applyProtection="1">
      <alignment horizontal="left" vertical="center"/>
      <protection locked="0"/>
    </xf>
    <xf numFmtId="3" fontId="5" fillId="0" borderId="0" xfId="48" applyNumberFormat="1" applyFont="1"/>
    <xf numFmtId="166" fontId="39" fillId="0" borderId="0" xfId="2" applyNumberFormat="1" applyFont="1" applyBorder="1"/>
    <xf numFmtId="0" fontId="5" fillId="0" borderId="0" xfId="48" applyFont="1" applyAlignment="1">
      <alignment horizontal="left" vertical="top" wrapText="1"/>
    </xf>
    <xf numFmtId="0" fontId="5" fillId="0" borderId="0" xfId="48" applyFont="1" applyAlignment="1">
      <alignment vertical="top" wrapText="1"/>
    </xf>
    <xf numFmtId="49" fontId="5" fillId="0" borderId="0" xfId="48" applyNumberFormat="1" applyFont="1" applyAlignment="1">
      <alignment horizontal="left" vertical="top" wrapText="1"/>
    </xf>
    <xf numFmtId="0" fontId="5" fillId="0" borderId="0" xfId="48" applyFont="1" applyAlignment="1">
      <alignment horizontal="left" vertical="top" wrapText="1"/>
    </xf>
    <xf numFmtId="0" fontId="39" fillId="0" borderId="0" xfId="48" applyFont="1"/>
    <xf numFmtId="0" fontId="62" fillId="0" borderId="0" xfId="0" applyFont="1"/>
    <xf numFmtId="0" fontId="6" fillId="0" borderId="0" xfId="42" applyFont="1" applyAlignment="1">
      <alignment horizontal="left"/>
    </xf>
    <xf numFmtId="0" fontId="5" fillId="0" borderId="0" xfId="42" applyFont="1" applyAlignment="1">
      <alignment vertical="center" wrapText="1"/>
    </xf>
    <xf numFmtId="0" fontId="6" fillId="0" borderId="0" xfId="42" applyFont="1" applyAlignment="1">
      <alignment horizontal="justify" vertical="center" wrapText="1"/>
    </xf>
    <xf numFmtId="0" fontId="63" fillId="0" borderId="0" xfId="42" applyFont="1"/>
    <xf numFmtId="0" fontId="6" fillId="0" borderId="1" xfId="42" applyFont="1" applyBorder="1" applyAlignment="1">
      <alignment horizontal="center" wrapText="1"/>
    </xf>
    <xf numFmtId="3" fontId="33" fillId="0" borderId="0" xfId="42" applyNumberFormat="1" applyFont="1" applyAlignment="1">
      <alignment horizontal="right"/>
    </xf>
    <xf numFmtId="9" fontId="33" fillId="0" borderId="0" xfId="10" applyFont="1" applyFill="1" applyBorder="1" applyAlignment="1">
      <alignment horizontal="right"/>
    </xf>
    <xf numFmtId="3" fontId="5" fillId="0" borderId="0" xfId="77" applyNumberFormat="1" applyFont="1" applyAlignment="1" applyProtection="1">
      <alignment horizontal="left" vertical="center"/>
      <protection locked="0"/>
    </xf>
    <xf numFmtId="179" fontId="5" fillId="0" borderId="0" xfId="42" applyNumberFormat="1" applyFont="1"/>
    <xf numFmtId="0" fontId="5" fillId="0" borderId="0" xfId="0" applyFont="1" applyAlignment="1">
      <alignment horizontal="right" vertical="top" wrapText="1"/>
    </xf>
    <xf numFmtId="0" fontId="36" fillId="0" borderId="0" xfId="0" applyFont="1" applyAlignment="1">
      <alignment horizontal="right" vertical="top" wrapText="1"/>
    </xf>
    <xf numFmtId="10" fontId="36" fillId="0" borderId="0" xfId="10" applyNumberFormat="1" applyFont="1" applyFill="1" applyBorder="1" applyAlignment="1">
      <alignment horizontal="right"/>
    </xf>
    <xf numFmtId="3" fontId="5" fillId="0" borderId="0" xfId="0" applyNumberFormat="1" applyFont="1" applyAlignment="1">
      <alignment horizontal="right" vertical="top" wrapText="1"/>
    </xf>
    <xf numFmtId="3" fontId="36" fillId="0" borderId="0" xfId="0" applyNumberFormat="1" applyFont="1" applyAlignment="1">
      <alignment horizontal="right" vertical="top" wrapText="1"/>
    </xf>
    <xf numFmtId="179" fontId="5" fillId="0" borderId="0" xfId="42" applyNumberFormat="1" applyFont="1" applyAlignment="1">
      <alignment horizontal="right"/>
    </xf>
    <xf numFmtId="3" fontId="5" fillId="0" borderId="0" xfId="0" applyNumberFormat="1" applyFont="1" applyAlignment="1">
      <alignment horizontal="center" vertical="top" wrapText="1"/>
    </xf>
    <xf numFmtId="0" fontId="6" fillId="0" borderId="0" xfId="42" applyFont="1" applyAlignment="1">
      <alignment horizontal="center"/>
    </xf>
    <xf numFmtId="0" fontId="5" fillId="0" borderId="0" xfId="42" applyFont="1" applyAlignment="1">
      <alignment horizontal="center" vertical="center" wrapText="1"/>
    </xf>
    <xf numFmtId="10" fontId="5" fillId="0" borderId="0" xfId="42" applyNumberFormat="1" applyFont="1" applyAlignment="1">
      <alignment horizontal="center"/>
    </xf>
    <xf numFmtId="9" fontId="6" fillId="0" borderId="0" xfId="42" applyNumberFormat="1" applyFont="1"/>
    <xf numFmtId="1" fontId="6" fillId="0" borderId="0" xfId="42" applyNumberFormat="1" applyFont="1"/>
    <xf numFmtId="1" fontId="5" fillId="0" borderId="0" xfId="42" applyNumberFormat="1" applyFont="1"/>
    <xf numFmtId="1" fontId="34" fillId="0" borderId="0" xfId="42" applyNumberFormat="1" applyFont="1" applyAlignment="1">
      <alignment wrapText="1"/>
    </xf>
    <xf numFmtId="1" fontId="34" fillId="0" borderId="0" xfId="42" applyNumberFormat="1" applyFont="1"/>
    <xf numFmtId="0" fontId="34" fillId="0" borderId="0" xfId="42" applyFont="1"/>
    <xf numFmtId="1" fontId="48" fillId="0" borderId="0" xfId="42" applyNumberFormat="1" applyFont="1"/>
    <xf numFmtId="0" fontId="5" fillId="0" borderId="0" xfId="42" applyFont="1" applyAlignment="1">
      <alignment horizontal="right" vertical="center"/>
    </xf>
    <xf numFmtId="10" fontId="5" fillId="0" borderId="0" xfId="42" applyNumberFormat="1" applyFont="1" applyAlignment="1">
      <alignment horizontal="right" vertical="center"/>
    </xf>
    <xf numFmtId="179" fontId="5" fillId="0" borderId="0" xfId="42" applyNumberFormat="1" applyFont="1" applyAlignment="1">
      <alignment vertical="center"/>
    </xf>
    <xf numFmtId="10" fontId="5" fillId="0" borderId="0" xfId="42" applyNumberFormat="1" applyFont="1" applyAlignment="1">
      <alignment vertical="center"/>
    </xf>
    <xf numFmtId="179" fontId="6" fillId="0" borderId="0" xfId="42" applyNumberFormat="1" applyFont="1"/>
    <xf numFmtId="0" fontId="5" fillId="0" borderId="0" xfId="0" applyFont="1" applyAlignment="1">
      <alignment horizontal="right" vertical="top"/>
    </xf>
    <xf numFmtId="10" fontId="5" fillId="0" borderId="0" xfId="42" applyNumberFormat="1" applyFont="1" applyAlignment="1">
      <alignment horizontal="right"/>
    </xf>
    <xf numFmtId="10" fontId="48" fillId="0" borderId="0" xfId="42" applyNumberFormat="1" applyFont="1"/>
    <xf numFmtId="10" fontId="6" fillId="0" borderId="0" xfId="42" applyNumberFormat="1" applyFont="1" applyAlignment="1">
      <alignment horizontal="center" vertical="center"/>
    </xf>
    <xf numFmtId="1" fontId="6" fillId="0" borderId="0" xfId="42" applyNumberFormat="1" applyFont="1" applyAlignment="1">
      <alignment horizontal="right" vertical="center"/>
    </xf>
    <xf numFmtId="9" fontId="6" fillId="0" borderId="0" xfId="42" applyNumberFormat="1" applyFont="1" applyAlignment="1">
      <alignment horizontal="right" vertical="center"/>
    </xf>
    <xf numFmtId="9" fontId="6" fillId="0" borderId="0" xfId="58" applyFont="1" applyFill="1" applyBorder="1" applyAlignment="1">
      <alignment horizontal="right" vertical="center"/>
    </xf>
    <xf numFmtId="9" fontId="5" fillId="0" borderId="0" xfId="10" applyFont="1" applyFill="1" applyBorder="1"/>
    <xf numFmtId="2" fontId="5" fillId="0" borderId="0" xfId="42" applyNumberFormat="1" applyFont="1"/>
    <xf numFmtId="2" fontId="5" fillId="0" borderId="0" xfId="42" applyNumberFormat="1" applyFont="1" applyAlignment="1">
      <alignment horizontal="right"/>
    </xf>
    <xf numFmtId="179" fontId="5" fillId="0" borderId="0" xfId="58" applyNumberFormat="1" applyFont="1" applyFill="1" applyBorder="1" applyAlignment="1">
      <alignment horizontal="right"/>
    </xf>
    <xf numFmtId="10" fontId="5" fillId="0" borderId="0" xfId="10" applyNumberFormat="1" applyFont="1" applyFill="1" applyBorder="1"/>
    <xf numFmtId="0" fontId="36" fillId="0" borderId="0" xfId="42" applyFont="1" applyAlignment="1">
      <alignment horizontal="right"/>
    </xf>
    <xf numFmtId="0" fontId="36" fillId="0" borderId="0" xfId="0" applyFont="1" applyAlignment="1">
      <alignment horizontal="center"/>
    </xf>
    <xf numFmtId="10" fontId="36" fillId="0" borderId="0" xfId="10" applyNumberFormat="1" applyFont="1" applyFill="1" applyBorder="1"/>
    <xf numFmtId="0" fontId="6" fillId="0" borderId="0" xfId="42" applyFont="1" applyAlignment="1">
      <alignment horizontal="center" vertical="center" wrapText="1"/>
    </xf>
    <xf numFmtId="182" fontId="5" fillId="0" borderId="0" xfId="42" applyNumberFormat="1" applyFont="1"/>
    <xf numFmtId="169" fontId="5" fillId="0" borderId="0" xfId="2" applyNumberFormat="1" applyFont="1" applyFill="1" applyBorder="1"/>
    <xf numFmtId="170" fontId="5" fillId="0" borderId="0" xfId="42" applyNumberFormat="1" applyFont="1"/>
    <xf numFmtId="179" fontId="5" fillId="0" borderId="0" xfId="58" applyNumberFormat="1" applyFont="1" applyFill="1" applyBorder="1"/>
    <xf numFmtId="179" fontId="5" fillId="0" borderId="0" xfId="0" applyNumberFormat="1" applyFont="1" applyAlignment="1">
      <alignment horizontal="right" vertical="top" wrapText="1"/>
    </xf>
    <xf numFmtId="10" fontId="5" fillId="0" borderId="0" xfId="0" applyNumberFormat="1" applyFont="1" applyAlignment="1">
      <alignment horizontal="right" vertical="top" wrapText="1"/>
    </xf>
    <xf numFmtId="0" fontId="5" fillId="0" borderId="0" xfId="0" applyFont="1" applyAlignment="1">
      <alignment horizontal="left" vertical="top"/>
    </xf>
    <xf numFmtId="3" fontId="5" fillId="0" borderId="0" xfId="0" applyNumberFormat="1" applyFont="1" applyAlignment="1">
      <alignment horizontal="right" vertical="top"/>
    </xf>
    <xf numFmtId="0" fontId="33" fillId="0" borderId="0" xfId="0" applyFont="1" applyAlignment="1">
      <alignment horizontal="center" vertical="top"/>
    </xf>
    <xf numFmtId="0" fontId="6" fillId="0" borderId="0" xfId="0" applyFont="1" applyAlignment="1">
      <alignment vertical="top"/>
    </xf>
    <xf numFmtId="0" fontId="34" fillId="0" borderId="0" xfId="42" applyFont="1" applyAlignment="1">
      <alignment wrapText="1"/>
    </xf>
    <xf numFmtId="0" fontId="64" fillId="0" borderId="0" xfId="42" applyFont="1" applyAlignment="1">
      <alignment wrapText="1"/>
    </xf>
    <xf numFmtId="0" fontId="36" fillId="0" borderId="0" xfId="60" applyFont="1"/>
    <xf numFmtId="164" fontId="36" fillId="0" borderId="0" xfId="42" applyNumberFormat="1" applyFont="1"/>
    <xf numFmtId="0" fontId="36" fillId="0" borderId="0" xfId="42" applyFont="1" applyAlignment="1">
      <alignment vertical="center"/>
    </xf>
    <xf numFmtId="0" fontId="6" fillId="0" borderId="0" xfId="60" applyFont="1" applyAlignment="1">
      <alignment vertical="center"/>
    </xf>
    <xf numFmtId="164" fontId="6" fillId="0" borderId="0" xfId="42" applyNumberFormat="1" applyFont="1" applyAlignment="1">
      <alignment vertical="center"/>
    </xf>
    <xf numFmtId="9" fontId="6" fillId="0" borderId="0" xfId="58" applyFont="1" applyFill="1" applyBorder="1" applyAlignment="1">
      <alignment vertical="center"/>
    </xf>
    <xf numFmtId="9" fontId="6" fillId="0" borderId="0" xfId="42" applyNumberFormat="1" applyFont="1" applyAlignment="1">
      <alignment vertical="center"/>
    </xf>
    <xf numFmtId="9" fontId="6" fillId="0" borderId="0" xfId="0" applyNumberFormat="1" applyFont="1" applyAlignment="1">
      <alignment horizontal="right" vertical="center"/>
    </xf>
    <xf numFmtId="10" fontId="5" fillId="0" borderId="0" xfId="0" applyNumberFormat="1" applyFont="1" applyAlignment="1">
      <alignment horizontal="center" vertical="center"/>
    </xf>
    <xf numFmtId="179" fontId="5" fillId="0" borderId="0" xfId="58" applyNumberFormat="1" applyFont="1" applyFill="1" applyBorder="1" applyAlignment="1">
      <alignment wrapText="1"/>
    </xf>
    <xf numFmtId="10" fontId="5" fillId="0" borderId="0" xfId="0" applyNumberFormat="1" applyFont="1" applyAlignment="1">
      <alignment horizontal="center" vertical="top"/>
    </xf>
    <xf numFmtId="0" fontId="48" fillId="0" borderId="0" xfId="42" applyFont="1" applyAlignment="1">
      <alignment wrapText="1"/>
    </xf>
    <xf numFmtId="0" fontId="6" fillId="0" borderId="0" xfId="0" applyFont="1" applyAlignment="1">
      <alignment horizontal="center" vertical="top"/>
    </xf>
    <xf numFmtId="164" fontId="6" fillId="0" borderId="0" xfId="42" applyNumberFormat="1" applyFont="1" applyAlignment="1">
      <alignment horizontal="right" vertical="center"/>
    </xf>
    <xf numFmtId="3" fontId="5" fillId="0" borderId="0" xfId="78" applyNumberFormat="1" applyFont="1" applyAlignment="1" applyProtection="1">
      <alignment horizontal="left" vertical="center"/>
      <protection locked="0"/>
    </xf>
    <xf numFmtId="179" fontId="5" fillId="0" borderId="0" xfId="10" applyNumberFormat="1" applyFont="1" applyFill="1" applyBorder="1" applyAlignment="1">
      <alignment horizontal="right"/>
    </xf>
    <xf numFmtId="164" fontId="5" fillId="0" borderId="0" xfId="0" applyNumberFormat="1" applyFont="1" applyAlignment="1">
      <alignment horizontal="right" vertical="top" wrapText="1"/>
    </xf>
    <xf numFmtId="164" fontId="5" fillId="0" borderId="0" xfId="0" applyNumberFormat="1" applyFont="1" applyAlignment="1">
      <alignment horizontal="right" wrapText="1"/>
    </xf>
    <xf numFmtId="3" fontId="5" fillId="0" borderId="0" xfId="0" applyNumberFormat="1" applyFont="1" applyAlignment="1" applyProtection="1">
      <alignment vertical="center" wrapText="1"/>
      <protection locked="0"/>
    </xf>
    <xf numFmtId="49" fontId="36" fillId="0" borderId="0" xfId="0" applyNumberFormat="1" applyFont="1" applyAlignment="1">
      <alignment horizontal="left" vertical="center" wrapText="1"/>
    </xf>
    <xf numFmtId="0" fontId="5" fillId="0" borderId="0" xfId="60" applyFont="1" applyAlignment="1">
      <alignment wrapText="1"/>
    </xf>
    <xf numFmtId="0" fontId="6" fillId="0" borderId="0" xfId="0" applyFont="1" applyAlignment="1">
      <alignment horizontal="center" vertical="top" wrapText="1"/>
    </xf>
    <xf numFmtId="0" fontId="6" fillId="0" borderId="0" xfId="0" applyFont="1" applyAlignment="1">
      <alignment vertical="top" wrapText="1"/>
    </xf>
    <xf numFmtId="3" fontId="6" fillId="0" borderId="0" xfId="0" applyNumberFormat="1" applyFont="1" applyAlignment="1">
      <alignment horizontal="center" vertical="top" wrapText="1"/>
    </xf>
    <xf numFmtId="9" fontId="5" fillId="0" borderId="0" xfId="58" applyFont="1" applyFill="1" applyBorder="1"/>
    <xf numFmtId="0" fontId="5" fillId="0" borderId="0" xfId="0" applyFont="1" applyAlignment="1">
      <alignment horizontal="center" vertical="top" wrapText="1"/>
    </xf>
    <xf numFmtId="1" fontId="6" fillId="0" borderId="0" xfId="42" applyNumberFormat="1" applyFont="1" applyAlignment="1">
      <alignment horizontal="left" wrapText="1"/>
    </xf>
    <xf numFmtId="1" fontId="6" fillId="0" borderId="0" xfId="42" applyNumberFormat="1" applyFont="1" applyAlignment="1">
      <alignment horizontal="left"/>
    </xf>
    <xf numFmtId="0" fontId="5" fillId="0" borderId="1" xfId="0" applyFont="1" applyBorder="1" applyAlignment="1">
      <alignment horizontal="right" vertical="top" wrapText="1"/>
    </xf>
    <xf numFmtId="0" fontId="6" fillId="0" borderId="3" xfId="42" applyFont="1" applyBorder="1" applyAlignment="1">
      <alignment horizontal="center" vertical="center" wrapText="1"/>
    </xf>
    <xf numFmtId="0" fontId="6" fillId="0" borderId="5" xfId="42" applyFont="1" applyBorder="1" applyAlignment="1">
      <alignment horizontal="center" vertical="center" wrapText="1"/>
    </xf>
    <xf numFmtId="10" fontId="6" fillId="0" borderId="1" xfId="42" applyNumberFormat="1" applyFont="1" applyBorder="1" applyAlignment="1">
      <alignment horizontal="center" vertical="center"/>
    </xf>
    <xf numFmtId="164" fontId="5" fillId="0" borderId="0" xfId="42" applyNumberFormat="1" applyFont="1" applyAlignment="1">
      <alignment horizontal="right" vertical="center"/>
    </xf>
    <xf numFmtId="179" fontId="5" fillId="0" borderId="0" xfId="10" applyNumberFormat="1" applyFont="1" applyFill="1" applyBorder="1" applyAlignment="1">
      <alignment horizontal="right" vertical="center"/>
    </xf>
    <xf numFmtId="164" fontId="5" fillId="0" borderId="0" xfId="0" applyNumberFormat="1" applyFont="1" applyAlignment="1">
      <alignment horizontal="right" vertical="center" wrapText="1"/>
    </xf>
    <xf numFmtId="0" fontId="5" fillId="0" borderId="0" xfId="0" applyFont="1" applyAlignment="1">
      <alignment horizontal="right" vertical="center" wrapText="1"/>
    </xf>
    <xf numFmtId="179" fontId="5" fillId="0" borderId="0" xfId="42" applyNumberFormat="1" applyFont="1" applyAlignment="1">
      <alignment horizontal="right" vertical="center"/>
    </xf>
    <xf numFmtId="9" fontId="6" fillId="0" borderId="0" xfId="58" applyFont="1" applyFill="1"/>
    <xf numFmtId="179" fontId="5" fillId="0" borderId="0" xfId="58" applyNumberFormat="1" applyFont="1" applyFill="1"/>
    <xf numFmtId="10" fontId="5" fillId="0" borderId="0" xfId="58" applyNumberFormat="1" applyFont="1" applyFill="1"/>
    <xf numFmtId="0" fontId="6" fillId="0" borderId="1" xfId="5" applyFont="1" applyBorder="1" applyAlignment="1">
      <alignment horizontal="center" wrapText="1"/>
    </xf>
    <xf numFmtId="0" fontId="6" fillId="0" borderId="1" xfId="5" applyFont="1" applyBorder="1" applyAlignment="1">
      <alignment vertical="center" wrapText="1"/>
    </xf>
    <xf numFmtId="0" fontId="6" fillId="0" borderId="1" xfId="5" applyFont="1" applyBorder="1" applyAlignment="1">
      <alignment horizontal="center"/>
    </xf>
    <xf numFmtId="0" fontId="6" fillId="0" borderId="1" xfId="5" applyFont="1" applyBorder="1" applyAlignment="1">
      <alignment vertical="center"/>
    </xf>
    <xf numFmtId="0" fontId="6" fillId="0" borderId="0" xfId="5" applyFont="1" applyAlignment="1">
      <alignment horizontal="center" wrapText="1"/>
    </xf>
    <xf numFmtId="0" fontId="6" fillId="0" borderId="0" xfId="42" applyFont="1" applyAlignment="1">
      <alignment wrapText="1"/>
    </xf>
    <xf numFmtId="0" fontId="6" fillId="0" borderId="1" xfId="48" applyFont="1" applyBorder="1" applyAlignment="1">
      <alignment horizontal="center"/>
    </xf>
    <xf numFmtId="49" fontId="5" fillId="0" borderId="0" xfId="0" applyNumberFormat="1" applyFont="1" applyAlignment="1">
      <alignment horizontal="center"/>
    </xf>
    <xf numFmtId="0" fontId="33" fillId="0" borderId="0" xfId="0" applyFont="1" applyAlignment="1">
      <alignment wrapText="1"/>
    </xf>
    <xf numFmtId="3" fontId="5" fillId="0" borderId="0" xfId="79" applyNumberFormat="1" applyFont="1" applyAlignment="1" applyProtection="1">
      <alignment horizontal="left" vertical="center"/>
      <protection locked="0"/>
    </xf>
    <xf numFmtId="164" fontId="6" fillId="0" borderId="0" xfId="0" applyNumberFormat="1" applyFont="1" applyAlignment="1">
      <alignment horizontal="left" wrapText="1"/>
    </xf>
    <xf numFmtId="3" fontId="5" fillId="0" borderId="0" xfId="0" applyNumberFormat="1" applyFont="1" applyAlignment="1" applyProtection="1">
      <alignment horizontal="justify" vertical="center" wrapText="1"/>
      <protection locked="0"/>
    </xf>
    <xf numFmtId="1" fontId="6" fillId="0" borderId="0" xfId="2" applyNumberFormat="1" applyFont="1" applyBorder="1" applyAlignment="1">
      <alignment horizontal="right"/>
    </xf>
    <xf numFmtId="3" fontId="5" fillId="0" borderId="0" xfId="80" applyNumberFormat="1" applyFont="1" applyAlignment="1" applyProtection="1">
      <alignment horizontal="left" vertical="center"/>
      <protection locked="0"/>
    </xf>
    <xf numFmtId="166" fontId="5" fillId="0" borderId="0" xfId="2" applyNumberFormat="1" applyFont="1" applyBorder="1" applyAlignment="1">
      <alignment horizontal="right" vertical="top" wrapText="1"/>
    </xf>
    <xf numFmtId="1" fontId="5" fillId="0" borderId="0" xfId="2" applyNumberFormat="1" applyFont="1" applyBorder="1" applyAlignment="1">
      <alignment horizontal="right" vertical="top"/>
    </xf>
    <xf numFmtId="1" fontId="5" fillId="0" borderId="0" xfId="2" applyNumberFormat="1" applyFont="1" applyBorder="1" applyAlignment="1">
      <alignment horizontal="right" vertical="top" wrapText="1"/>
    </xf>
    <xf numFmtId="1" fontId="5" fillId="0" borderId="0" xfId="2" applyNumberFormat="1" applyFont="1" applyBorder="1" applyAlignment="1">
      <alignment horizontal="right"/>
    </xf>
    <xf numFmtId="1" fontId="6" fillId="0" borderId="0" xfId="0" applyNumberFormat="1" applyFont="1" applyAlignment="1">
      <alignment horizontal="right"/>
    </xf>
    <xf numFmtId="166" fontId="5" fillId="0" borderId="0" xfId="2" applyNumberFormat="1" applyFont="1" applyBorder="1" applyAlignment="1">
      <alignment horizontal="right" vertical="top"/>
    </xf>
    <xf numFmtId="1" fontId="36" fillId="0" borderId="0" xfId="0" applyNumberFormat="1" applyFont="1" applyAlignment="1">
      <alignment horizontal="left" vertical="top"/>
    </xf>
    <xf numFmtId="0" fontId="33" fillId="0" borderId="0" xfId="0" applyFont="1" applyAlignment="1">
      <alignment vertical="center" wrapText="1"/>
    </xf>
    <xf numFmtId="166" fontId="5" fillId="0" borderId="0" xfId="2" applyNumberFormat="1" applyFont="1" applyBorder="1" applyAlignment="1">
      <alignment horizontal="right" vertical="center"/>
    </xf>
    <xf numFmtId="0" fontId="6" fillId="0" borderId="13" xfId="0" applyFont="1" applyBorder="1" applyAlignment="1">
      <alignment horizontal="center" vertical="center"/>
    </xf>
    <xf numFmtId="3" fontId="5" fillId="0" borderId="0" xfId="81" applyNumberFormat="1" applyFont="1" applyAlignment="1" applyProtection="1">
      <alignment horizontal="left" vertical="center"/>
      <protection locked="0"/>
    </xf>
    <xf numFmtId="164" fontId="59" fillId="0" borderId="0" xfId="42" applyNumberFormat="1" applyFont="1"/>
    <xf numFmtId="3" fontId="5" fillId="0" borderId="0" xfId="0" applyNumberFormat="1" applyFont="1" applyAlignment="1" applyProtection="1">
      <alignment horizontal="left" vertical="top" wrapText="1"/>
      <protection locked="0"/>
    </xf>
    <xf numFmtId="0" fontId="5" fillId="0" borderId="0" xfId="42" applyFont="1" applyAlignment="1">
      <alignment horizontal="left" vertical="top" wrapText="1"/>
    </xf>
    <xf numFmtId="49" fontId="5" fillId="0" borderId="0" xfId="0" applyNumberFormat="1" applyFont="1" applyAlignment="1" applyProtection="1">
      <alignment horizontal="left" vertical="center"/>
      <protection locked="0"/>
    </xf>
    <xf numFmtId="0" fontId="59" fillId="0" borderId="0" xfId="42" applyFont="1" applyAlignment="1">
      <alignment horizontal="center"/>
    </xf>
    <xf numFmtId="0" fontId="23" fillId="0" borderId="0" xfId="0" applyFont="1" applyAlignment="1">
      <alignment vertical="center"/>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164" fontId="6" fillId="0" borderId="0" xfId="42" applyNumberFormat="1" applyFont="1" applyAlignment="1">
      <alignment horizontal="center" vertical="center" wrapText="1"/>
    </xf>
    <xf numFmtId="0" fontId="23" fillId="0" borderId="0" xfId="0" applyFont="1" applyAlignment="1">
      <alignment horizontal="center" vertical="center" wrapText="1"/>
    </xf>
    <xf numFmtId="164" fontId="5" fillId="0" borderId="1" xfId="42" applyNumberFormat="1" applyFont="1" applyBorder="1" applyAlignment="1">
      <alignment horizontal="right"/>
    </xf>
    <xf numFmtId="164" fontId="5" fillId="0" borderId="1" xfId="0" applyNumberFormat="1" applyFont="1" applyBorder="1" applyAlignment="1">
      <alignment horizontal="right"/>
    </xf>
    <xf numFmtId="0" fontId="5" fillId="0" borderId="1" xfId="42" applyFont="1" applyBorder="1" applyAlignment="1">
      <alignment horizontal="right"/>
    </xf>
    <xf numFmtId="0" fontId="0" fillId="0" borderId="0" xfId="0" applyAlignment="1">
      <alignment horizontal="left" wrapText="1"/>
    </xf>
    <xf numFmtId="164" fontId="6" fillId="0" borderId="0" xfId="42" applyNumberFormat="1" applyFont="1" applyAlignment="1">
      <alignment horizontal="right"/>
    </xf>
    <xf numFmtId="3" fontId="5" fillId="0" borderId="0" xfId="82" applyNumberFormat="1" applyFont="1" applyAlignment="1" applyProtection="1">
      <alignment horizontal="left" vertical="center"/>
      <protection locked="0"/>
    </xf>
    <xf numFmtId="3" fontId="5" fillId="0" borderId="0" xfId="83" applyNumberFormat="1" applyFont="1" applyAlignment="1" applyProtection="1">
      <alignment horizontal="left" vertical="center" indent="2"/>
      <protection locked="0"/>
    </xf>
    <xf numFmtId="3" fontId="5" fillId="0" borderId="0" xfId="84" applyNumberFormat="1" applyFont="1" applyAlignment="1" applyProtection="1">
      <alignment horizontal="left" vertical="center" indent="2"/>
      <protection locked="0"/>
    </xf>
    <xf numFmtId="3" fontId="5" fillId="0" borderId="0" xfId="85" applyNumberFormat="1" applyFont="1" applyAlignment="1" applyProtection="1">
      <alignment horizontal="left" vertical="center" indent="2"/>
      <protection locked="0"/>
    </xf>
    <xf numFmtId="0" fontId="6" fillId="0" borderId="0" xfId="42" applyFont="1" applyAlignment="1">
      <alignment horizontal="left" vertical="top" wrapText="1"/>
    </xf>
    <xf numFmtId="49" fontId="5" fillId="0" borderId="0" xfId="0" applyNumberFormat="1" applyFont="1" applyAlignment="1" applyProtection="1">
      <alignment horizontal="justify" vertical="center"/>
      <protection locked="0"/>
    </xf>
    <xf numFmtId="3" fontId="6" fillId="0" borderId="0" xfId="42" applyNumberFormat="1" applyFont="1" applyAlignment="1">
      <alignment horizontal="justify"/>
    </xf>
    <xf numFmtId="164" fontId="5" fillId="0" borderId="0" xfId="42" applyNumberFormat="1" applyFont="1" applyAlignment="1">
      <alignment horizontal="justify"/>
    </xf>
    <xf numFmtId="0" fontId="6" fillId="0" borderId="1" xfId="42" quotePrefix="1" applyFont="1" applyBorder="1" applyAlignment="1">
      <alignment horizontal="center" vertical="center" wrapText="1"/>
    </xf>
    <xf numFmtId="164" fontId="6" fillId="0" borderId="0" xfId="48" applyNumberFormat="1" applyFont="1" applyAlignment="1">
      <alignment horizontal="right"/>
    </xf>
    <xf numFmtId="3" fontId="5" fillId="0" borderId="0" xfId="86" applyNumberFormat="1" applyFont="1" applyAlignment="1" applyProtection="1">
      <alignment horizontal="left" vertical="center"/>
      <protection locked="0"/>
    </xf>
    <xf numFmtId="164" fontId="24" fillId="0" borderId="0" xfId="48" applyNumberFormat="1" applyFont="1" applyAlignment="1">
      <alignment horizontal="right" vertical="top" wrapText="1"/>
    </xf>
    <xf numFmtId="3" fontId="5" fillId="0" borderId="0" xfId="87" applyNumberFormat="1" applyFont="1" applyAlignment="1" applyProtection="1">
      <alignment horizontal="left" vertical="center"/>
      <protection locked="0"/>
    </xf>
    <xf numFmtId="3" fontId="5" fillId="0" borderId="0" xfId="88" applyNumberFormat="1" applyFont="1" applyAlignment="1" applyProtection="1">
      <alignment horizontal="left" vertical="center"/>
      <protection locked="0"/>
    </xf>
    <xf numFmtId="0" fontId="9" fillId="0" borderId="0" xfId="48" applyAlignment="1">
      <alignment wrapText="1"/>
    </xf>
    <xf numFmtId="49" fontId="5" fillId="0" borderId="0" xfId="0" applyNumberFormat="1" applyFont="1" applyAlignment="1" applyProtection="1">
      <alignment horizontal="left" vertical="center"/>
      <protection locked="0"/>
    </xf>
    <xf numFmtId="164" fontId="29" fillId="0" borderId="0" xfId="48" applyNumberFormat="1" applyFont="1" applyAlignment="1">
      <alignment horizontal="right" vertical="top" wrapText="1"/>
    </xf>
    <xf numFmtId="170" fontId="6" fillId="0" borderId="0" xfId="42" applyNumberFormat="1" applyFont="1" applyAlignment="1">
      <alignment horizontal="right"/>
    </xf>
    <xf numFmtId="170" fontId="5" fillId="0" borderId="0" xfId="42" applyNumberFormat="1" applyFont="1" applyAlignment="1">
      <alignment horizontal="right"/>
    </xf>
    <xf numFmtId="0" fontId="6" fillId="0" borderId="4" xfId="42" applyFont="1" applyBorder="1" applyAlignment="1">
      <alignment horizontal="center" vertical="center" wrapText="1"/>
    </xf>
    <xf numFmtId="3" fontId="6" fillId="0" borderId="1" xfId="42" applyNumberFormat="1" applyFont="1" applyBorder="1" applyAlignment="1">
      <alignment horizontal="center" vertical="center"/>
    </xf>
    <xf numFmtId="3" fontId="6" fillId="0" borderId="1" xfId="42" applyNumberFormat="1" applyFont="1" applyBorder="1" applyAlignment="1">
      <alignment horizontal="center" vertical="center" wrapText="1"/>
    </xf>
    <xf numFmtId="3" fontId="5" fillId="0" borderId="0" xfId="42" applyNumberFormat="1" applyFont="1" applyAlignment="1">
      <alignment horizontal="right" wrapText="1"/>
    </xf>
    <xf numFmtId="3" fontId="6" fillId="0" borderId="0" xfId="42" applyNumberFormat="1" applyFont="1" applyAlignment="1">
      <alignment horizontal="right" vertical="center"/>
    </xf>
    <xf numFmtId="164" fontId="9" fillId="0" borderId="0" xfId="48" applyNumberFormat="1" applyAlignment="1">
      <alignment wrapText="1"/>
    </xf>
    <xf numFmtId="0" fontId="5" fillId="0" borderId="0" xfId="42" applyFont="1" applyAlignment="1">
      <alignment horizontal="justify" vertical="top" wrapText="1"/>
    </xf>
    <xf numFmtId="0" fontId="6" fillId="0" borderId="3" xfId="42" applyFont="1" applyBorder="1" applyAlignment="1">
      <alignment horizontal="center" wrapText="1"/>
    </xf>
    <xf numFmtId="0" fontId="6" fillId="0" borderId="4" xfId="42" applyFont="1" applyBorder="1" applyAlignment="1">
      <alignment horizontal="center" wrapText="1"/>
    </xf>
    <xf numFmtId="0" fontId="6" fillId="0" borderId="5" xfId="42" applyFont="1" applyBorder="1" applyAlignment="1">
      <alignment horizontal="center" wrapText="1"/>
    </xf>
    <xf numFmtId="0" fontId="65" fillId="0" borderId="0" xfId="48" applyFont="1" applyAlignment="1">
      <alignment horizontal="center"/>
    </xf>
    <xf numFmtId="3" fontId="65" fillId="0" borderId="0" xfId="48" applyNumberFormat="1" applyFont="1" applyAlignment="1">
      <alignment horizontal="right"/>
    </xf>
    <xf numFmtId="49" fontId="5" fillId="0" borderId="0" xfId="0" applyNumberFormat="1" applyFont="1" applyAlignment="1" applyProtection="1">
      <alignment horizontal="left" vertical="top" wrapText="1"/>
      <protection locked="0"/>
    </xf>
    <xf numFmtId="183" fontId="6" fillId="0" borderId="0" xfId="42" applyNumberFormat="1" applyFont="1"/>
    <xf numFmtId="184" fontId="24" fillId="0" borderId="0" xfId="48" applyNumberFormat="1" applyFont="1" applyAlignment="1">
      <alignment wrapText="1"/>
    </xf>
    <xf numFmtId="183" fontId="5" fillId="0" borderId="0" xfId="42" applyNumberFormat="1" applyFont="1"/>
    <xf numFmtId="0" fontId="0" fillId="0" borderId="0" xfId="0" applyAlignment="1">
      <alignment horizontal="center" vertical="center"/>
    </xf>
    <xf numFmtId="0" fontId="5" fillId="0" borderId="0" xfId="42" applyFont="1" applyAlignment="1">
      <alignment horizontal="left" vertical="top"/>
    </xf>
    <xf numFmtId="0" fontId="4" fillId="0" borderId="0" xfId="0" applyFont="1" applyAlignment="1">
      <alignment horizontal="left" vertical="center" wrapText="1"/>
    </xf>
    <xf numFmtId="166" fontId="4" fillId="0" borderId="0" xfId="2" applyNumberFormat="1" applyFont="1" applyFill="1" applyBorder="1"/>
    <xf numFmtId="3" fontId="5" fillId="0" borderId="0" xfId="89" applyNumberFormat="1" applyFont="1" applyAlignment="1" applyProtection="1">
      <alignment horizontal="left" vertical="center"/>
      <protection locked="0"/>
    </xf>
    <xf numFmtId="166" fontId="7" fillId="0" borderId="0" xfId="2" applyNumberFormat="1" applyFont="1" applyFill="1" applyBorder="1"/>
    <xf numFmtId="0" fontId="7" fillId="0" borderId="0" xfId="0" applyFont="1" applyAlignment="1">
      <alignment vertical="center" wrapText="1"/>
    </xf>
    <xf numFmtId="184" fontId="24" fillId="0" borderId="0" xfId="48" applyNumberFormat="1" applyFont="1" applyAlignment="1">
      <alignment vertical="top" wrapText="1"/>
    </xf>
    <xf numFmtId="0" fontId="5" fillId="0" borderId="0" xfId="42" applyFont="1" applyAlignment="1">
      <alignment horizontal="left" vertical="top"/>
    </xf>
    <xf numFmtId="185" fontId="24" fillId="0" borderId="0" xfId="48" applyNumberFormat="1" applyFont="1" applyAlignment="1">
      <alignment vertical="top" wrapText="1"/>
    </xf>
    <xf numFmtId="0" fontId="5" fillId="0" borderId="0" xfId="90" applyFont="1"/>
    <xf numFmtId="0" fontId="6" fillId="0" borderId="1" xfId="90" applyFont="1" applyBorder="1" applyAlignment="1">
      <alignment horizontal="center" vertical="center" wrapText="1"/>
    </xf>
    <xf numFmtId="0" fontId="6" fillId="0" borderId="1" xfId="90" applyFont="1" applyBorder="1" applyAlignment="1">
      <alignment horizontal="center" vertical="center"/>
    </xf>
    <xf numFmtId="0" fontId="6" fillId="0" borderId="0" xfId="90" applyFont="1"/>
    <xf numFmtId="186" fontId="24" fillId="0" borderId="0" xfId="48" applyNumberFormat="1" applyFont="1" applyAlignment="1">
      <alignment vertical="top" wrapText="1"/>
    </xf>
    <xf numFmtId="0" fontId="5" fillId="0" borderId="0" xfId="90" quotePrefix="1" applyFont="1" applyAlignment="1">
      <alignment horizontal="left" wrapText="1"/>
    </xf>
    <xf numFmtId="0" fontId="5" fillId="0" borderId="0" xfId="42" applyFont="1" applyAlignment="1">
      <alignment horizontal="justify" vertical="top"/>
    </xf>
    <xf numFmtId="170" fontId="6" fillId="0" borderId="0" xfId="42" applyNumberFormat="1" applyFont="1"/>
    <xf numFmtId="0" fontId="5" fillId="0" borderId="0" xfId="0" applyFont="1" applyAlignment="1">
      <alignment horizontal="justify"/>
    </xf>
    <xf numFmtId="0" fontId="5" fillId="0" borderId="0" xfId="48" applyFont="1" applyAlignment="1">
      <alignment horizontal="left"/>
    </xf>
    <xf numFmtId="0" fontId="4" fillId="0" borderId="0" xfId="0" applyFont="1" applyAlignment="1">
      <alignment horizontal="left" wrapText="1"/>
    </xf>
    <xf numFmtId="0" fontId="4" fillId="0" borderId="0" xfId="0" applyFont="1" applyAlignment="1">
      <alignment horizontal="left" wrapText="1"/>
    </xf>
    <xf numFmtId="0" fontId="4" fillId="0" borderId="2" xfId="0" applyFont="1" applyBorder="1" applyAlignment="1">
      <alignment horizontal="center" vertical="center" wrapText="1"/>
    </xf>
    <xf numFmtId="0" fontId="4" fillId="0" borderId="6" xfId="0" applyFont="1" applyBorder="1" applyAlignment="1">
      <alignment horizontal="center" vertical="center" wrapText="1"/>
    </xf>
    <xf numFmtId="166" fontId="6" fillId="0" borderId="0" xfId="2" applyNumberFormat="1" applyFont="1" applyFill="1" applyBorder="1" applyAlignment="1">
      <alignment horizontal="right"/>
    </xf>
    <xf numFmtId="0" fontId="7" fillId="0" borderId="0" xfId="0" applyFont="1" applyAlignment="1">
      <alignment horizontal="justify" wrapText="1"/>
    </xf>
    <xf numFmtId="0" fontId="7" fillId="0" borderId="0" xfId="0" applyFont="1" applyAlignment="1">
      <alignment horizontal="left" wrapText="1"/>
    </xf>
    <xf numFmtId="0" fontId="66" fillId="0" borderId="0" xfId="48" applyFont="1"/>
    <xf numFmtId="0" fontId="6" fillId="0" borderId="0" xfId="48" applyFont="1" applyAlignment="1">
      <alignment horizontal="left" wrapText="1"/>
    </xf>
    <xf numFmtId="0" fontId="6" fillId="0" borderId="2" xfId="48" applyFont="1" applyBorder="1" applyAlignment="1">
      <alignment horizontal="center" vertical="center" wrapText="1"/>
    </xf>
    <xf numFmtId="1" fontId="6" fillId="0" borderId="1" xfId="2" applyNumberFormat="1" applyFont="1" applyBorder="1" applyAlignment="1">
      <alignment horizontal="center"/>
    </xf>
    <xf numFmtId="0" fontId="6" fillId="0" borderId="6" xfId="48" applyFont="1" applyBorder="1" applyAlignment="1">
      <alignment horizontal="center" vertical="center" wrapText="1"/>
    </xf>
    <xf numFmtId="0" fontId="6" fillId="0" borderId="1" xfId="48" applyFont="1" applyBorder="1" applyAlignment="1">
      <alignment horizontal="center"/>
    </xf>
    <xf numFmtId="0" fontId="24" fillId="0" borderId="0" xfId="91" applyFont="1" applyAlignment="1">
      <alignment vertical="center" wrapText="1"/>
    </xf>
    <xf numFmtId="183" fontId="6" fillId="0" borderId="0" xfId="48" applyNumberFormat="1" applyFont="1"/>
    <xf numFmtId="0" fontId="5" fillId="0" borderId="0" xfId="91" applyFont="1" applyAlignment="1">
      <alignment vertical="center"/>
    </xf>
    <xf numFmtId="0" fontId="24" fillId="0" borderId="0" xfId="91" applyFont="1" applyAlignment="1">
      <alignment horizontal="center" wrapText="1"/>
    </xf>
    <xf numFmtId="166" fontId="7" fillId="0" borderId="0" xfId="2" applyNumberFormat="1" applyFont="1" applyBorder="1"/>
    <xf numFmtId="183" fontId="5" fillId="0" borderId="0" xfId="48" applyNumberFormat="1" applyFont="1"/>
    <xf numFmtId="0" fontId="24" fillId="0" borderId="0" xfId="91" applyFont="1" applyAlignment="1">
      <alignment horizontal="left" vertical="top" wrapText="1"/>
    </xf>
    <xf numFmtId="170" fontId="7" fillId="0" borderId="0" xfId="0" applyNumberFormat="1" applyFont="1"/>
    <xf numFmtId="0" fontId="24" fillId="0" borderId="0" xfId="92" applyFont="1" applyAlignment="1">
      <alignment horizontal="left" vertical="top" wrapText="1"/>
    </xf>
    <xf numFmtId="0" fontId="5" fillId="0" borderId="0" xfId="48" applyFont="1" applyAlignment="1">
      <alignment horizontal="left" wrapText="1"/>
    </xf>
    <xf numFmtId="1" fontId="5" fillId="0" borderId="0" xfId="2" applyNumberFormat="1" applyFont="1" applyBorder="1" applyAlignment="1"/>
    <xf numFmtId="0" fontId="6" fillId="0" borderId="0" xfId="48" applyFont="1" applyAlignment="1">
      <alignment horizontal="right"/>
    </xf>
    <xf numFmtId="0" fontId="5" fillId="0" borderId="0" xfId="48" applyFont="1" applyAlignment="1">
      <alignment horizontal="center"/>
    </xf>
    <xf numFmtId="3" fontId="6" fillId="0" borderId="0" xfId="48" applyNumberFormat="1" applyFont="1" applyAlignment="1">
      <alignment horizontal="right"/>
    </xf>
    <xf numFmtId="166" fontId="7" fillId="0" borderId="0" xfId="2" applyNumberFormat="1" applyFont="1" applyBorder="1" applyAlignment="1">
      <alignment horizontal="center"/>
    </xf>
    <xf numFmtId="0" fontId="5" fillId="0" borderId="0" xfId="48" applyFont="1" applyAlignment="1">
      <alignment vertical="center" wrapText="1"/>
    </xf>
    <xf numFmtId="166" fontId="7" fillId="0" borderId="0" xfId="2" applyNumberFormat="1" applyFont="1" applyBorder="1" applyAlignment="1">
      <alignment horizontal="right"/>
    </xf>
    <xf numFmtId="183" fontId="5" fillId="0" borderId="0" xfId="48" applyNumberFormat="1" applyFont="1" applyAlignment="1">
      <alignment horizontal="right"/>
    </xf>
    <xf numFmtId="1" fontId="7" fillId="0" borderId="0" xfId="0" applyNumberFormat="1" applyFont="1" applyAlignment="1">
      <alignment horizontal="right"/>
    </xf>
    <xf numFmtId="170" fontId="7" fillId="0" borderId="0" xfId="0" applyNumberFormat="1" applyFont="1" applyAlignment="1">
      <alignment horizontal="center"/>
    </xf>
    <xf numFmtId="166" fontId="7" fillId="0" borderId="0" xfId="2" applyNumberFormat="1" applyFont="1" applyFill="1" applyBorder="1" applyAlignment="1">
      <alignment horizontal="right"/>
    </xf>
    <xf numFmtId="1" fontId="5" fillId="0" borderId="0" xfId="48" applyNumberFormat="1" applyFont="1"/>
    <xf numFmtId="1" fontId="5" fillId="0" borderId="0" xfId="48" applyNumberFormat="1" applyFont="1" applyAlignment="1">
      <alignment horizontal="right"/>
    </xf>
    <xf numFmtId="1" fontId="7" fillId="0" borderId="0" xfId="0" applyNumberFormat="1" applyFont="1"/>
    <xf numFmtId="187" fontId="24" fillId="0" borderId="0" xfId="92" applyNumberFormat="1" applyFont="1" applyAlignment="1">
      <alignment horizontal="right" vertical="top"/>
    </xf>
    <xf numFmtId="0" fontId="5" fillId="0" borderId="0" xfId="48" applyFont="1" applyAlignment="1">
      <alignment horizontal="justify" wrapText="1"/>
    </xf>
    <xf numFmtId="0" fontId="67" fillId="0" borderId="0" xfId="48" applyFont="1"/>
    <xf numFmtId="0" fontId="67" fillId="0" borderId="0" xfId="48" applyFont="1" applyAlignment="1">
      <alignment horizontal="justify"/>
    </xf>
    <xf numFmtId="0" fontId="24" fillId="0" borderId="0" xfId="93" applyFont="1" applyAlignment="1">
      <alignment vertical="center"/>
    </xf>
    <xf numFmtId="0" fontId="5" fillId="0" borderId="0" xfId="93" applyFont="1" applyAlignment="1">
      <alignment vertical="center"/>
    </xf>
    <xf numFmtId="0" fontId="24" fillId="0" borderId="0" xfId="93" applyFont="1" applyAlignment="1">
      <alignment horizontal="center" wrapText="1"/>
    </xf>
    <xf numFmtId="0" fontId="24" fillId="0" borderId="0" xfId="93" applyFont="1" applyAlignment="1">
      <alignment horizontal="left" vertical="top" wrapText="1"/>
    </xf>
    <xf numFmtId="187" fontId="24" fillId="0" borderId="0" xfId="93" applyNumberFormat="1" applyFont="1" applyAlignment="1">
      <alignment horizontal="right" vertical="top"/>
    </xf>
    <xf numFmtId="0" fontId="5" fillId="0" borderId="0" xfId="48" applyFont="1" applyAlignment="1">
      <alignment wrapText="1"/>
    </xf>
    <xf numFmtId="169" fontId="5" fillId="0" borderId="0" xfId="2" applyNumberFormat="1" applyFont="1"/>
    <xf numFmtId="0" fontId="6" fillId="0" borderId="0" xfId="48" applyFont="1" applyAlignment="1">
      <alignment vertical="center"/>
    </xf>
    <xf numFmtId="1" fontId="6" fillId="0" borderId="0" xfId="2" applyNumberFormat="1" applyFont="1" applyFill="1" applyBorder="1" applyAlignment="1">
      <alignment horizontal="center"/>
    </xf>
    <xf numFmtId="0" fontId="6" fillId="0" borderId="0" xfId="48" applyFont="1" applyAlignment="1">
      <alignment horizontal="center"/>
    </xf>
    <xf numFmtId="188" fontId="7" fillId="0" borderId="0" xfId="2" applyNumberFormat="1" applyFont="1" applyBorder="1"/>
    <xf numFmtId="188" fontId="7" fillId="0" borderId="0" xfId="2" applyNumberFormat="1" applyFont="1" applyFill="1" applyBorder="1"/>
    <xf numFmtId="0" fontId="5" fillId="0" borderId="0" xfId="70" applyFont="1" applyAlignment="1">
      <alignment horizontal="left" vertical="top"/>
    </xf>
    <xf numFmtId="164" fontId="5" fillId="0" borderId="0" xfId="2" applyNumberFormat="1" applyFont="1" applyBorder="1" applyAlignment="1">
      <alignment horizontal="right"/>
    </xf>
    <xf numFmtId="164" fontId="5" fillId="0" borderId="0" xfId="2" applyNumberFormat="1" applyFont="1" applyFill="1" applyBorder="1" applyAlignment="1">
      <alignment horizontal="right"/>
    </xf>
    <xf numFmtId="0" fontId="5" fillId="0" borderId="0" xfId="94" applyFont="1" applyAlignment="1">
      <alignment vertical="center"/>
    </xf>
    <xf numFmtId="0" fontId="24" fillId="0" borderId="0" xfId="94" applyFont="1" applyAlignment="1">
      <alignment horizontal="center" wrapText="1"/>
    </xf>
    <xf numFmtId="0" fontId="6" fillId="0" borderId="0" xfId="48" applyFont="1" applyAlignment="1">
      <alignment horizontal="justify" wrapText="1"/>
    </xf>
    <xf numFmtId="1" fontId="6" fillId="0" borderId="0" xfId="2" applyNumberFormat="1" applyFont="1" applyFill="1" applyBorder="1" applyAlignment="1"/>
    <xf numFmtId="164" fontId="6" fillId="0" borderId="0" xfId="48" applyNumberFormat="1" applyFont="1"/>
    <xf numFmtId="188" fontId="6" fillId="0" borderId="0" xfId="48" applyNumberFormat="1" applyFont="1"/>
    <xf numFmtId="170" fontId="5" fillId="0" borderId="0" xfId="48" applyNumberFormat="1" applyFont="1" applyAlignment="1">
      <alignment horizontal="right"/>
    </xf>
    <xf numFmtId="188" fontId="5" fillId="0" borderId="0" xfId="0" applyNumberFormat="1" applyFont="1"/>
    <xf numFmtId="166" fontId="5" fillId="0" borderId="0" xfId="2" applyNumberFormat="1" applyFont="1" applyBorder="1" applyAlignment="1">
      <alignment horizontal="right"/>
    </xf>
    <xf numFmtId="166" fontId="5" fillId="0" borderId="0" xfId="2" applyNumberFormat="1" applyFont="1" applyFill="1" applyBorder="1" applyAlignment="1">
      <alignment horizontal="right"/>
    </xf>
    <xf numFmtId="169" fontId="5" fillId="0" borderId="0" xfId="2" applyNumberFormat="1" applyFont="1" applyFill="1" applyAlignment="1">
      <alignment horizontal="left"/>
    </xf>
    <xf numFmtId="169" fontId="5" fillId="0" borderId="0" xfId="2" applyNumberFormat="1" applyFont="1" applyFill="1" applyBorder="1" applyAlignment="1">
      <alignment horizontal="left"/>
    </xf>
    <xf numFmtId="0" fontId="24" fillId="0" borderId="0" xfId="95" applyFont="1" applyAlignment="1">
      <alignment horizontal="left" vertical="top" wrapText="1"/>
    </xf>
    <xf numFmtId="170" fontId="5" fillId="0" borderId="0" xfId="0" applyNumberFormat="1" applyFont="1"/>
    <xf numFmtId="0" fontId="27" fillId="0" borderId="0" xfId="0" applyFont="1" applyAlignment="1">
      <alignment horizontal="left" wrapText="1"/>
    </xf>
    <xf numFmtId="49" fontId="5" fillId="0" borderId="0" xfId="0" applyNumberFormat="1" applyFont="1" applyAlignment="1">
      <alignment horizontal="left" vertical="center"/>
    </xf>
    <xf numFmtId="49" fontId="5" fillId="0" borderId="0" xfId="0" applyNumberFormat="1" applyFont="1" applyAlignment="1">
      <alignment horizontal="center" vertical="center"/>
    </xf>
    <xf numFmtId="0" fontId="7" fillId="0" borderId="0" xfId="0" applyFont="1" applyAlignment="1">
      <alignment horizontal="left" vertical="center" wrapText="1"/>
    </xf>
    <xf numFmtId="0" fontId="6" fillId="0" borderId="14" xfId="0" applyFont="1" applyBorder="1" applyAlignment="1">
      <alignment horizontal="center" vertical="center"/>
    </xf>
    <xf numFmtId="0" fontId="6" fillId="0" borderId="17" xfId="0" applyFont="1" applyBorder="1" applyAlignment="1">
      <alignment horizontal="center" vertical="center"/>
    </xf>
    <xf numFmtId="0" fontId="29" fillId="0" borderId="0" xfId="96" applyFont="1" applyAlignment="1">
      <alignment horizontal="left" vertical="top"/>
    </xf>
    <xf numFmtId="1" fontId="6" fillId="0" borderId="0" xfId="0" applyNumberFormat="1" applyFont="1"/>
    <xf numFmtId="0" fontId="7" fillId="0" borderId="0" xfId="0" applyFont="1" applyAlignment="1">
      <alignment horizontal="left" vertical="center"/>
    </xf>
    <xf numFmtId="0" fontId="4" fillId="0" borderId="13" xfId="0" applyFont="1" applyBorder="1" applyAlignment="1">
      <alignment horizontal="center" vertical="center" wrapText="1"/>
    </xf>
    <xf numFmtId="0" fontId="29" fillId="0" borderId="1" xfId="97" applyFont="1" applyBorder="1" applyAlignment="1">
      <alignment horizontal="center" wrapText="1"/>
    </xf>
    <xf numFmtId="0" fontId="6" fillId="0" borderId="1" xfId="97" applyFont="1" applyBorder="1" applyAlignment="1">
      <alignment horizontal="center" vertical="center"/>
    </xf>
    <xf numFmtId="0" fontId="5" fillId="0" borderId="0" xfId="97" applyFont="1" applyAlignment="1">
      <alignment vertical="center"/>
    </xf>
    <xf numFmtId="0" fontId="24" fillId="0" borderId="0" xfId="97" applyFont="1" applyAlignment="1">
      <alignment wrapText="1"/>
    </xf>
    <xf numFmtId="0" fontId="29" fillId="0" borderId="1" xfId="97" applyFont="1" applyBorder="1" applyAlignment="1">
      <alignment horizontal="center" wrapText="1"/>
    </xf>
    <xf numFmtId="0" fontId="24" fillId="0" borderId="0" xfId="97" applyFont="1" applyAlignment="1">
      <alignment horizontal="center" wrapText="1"/>
    </xf>
    <xf numFmtId="0" fontId="29" fillId="0" borderId="0" xfId="97" applyFont="1" applyAlignment="1">
      <alignment horizontal="left" vertical="top" wrapText="1"/>
    </xf>
    <xf numFmtId="9" fontId="6" fillId="0" borderId="0" xfId="58" applyFont="1" applyBorder="1"/>
    <xf numFmtId="0" fontId="5" fillId="0" borderId="0" xfId="97" applyFont="1" applyAlignment="1">
      <alignment horizontal="center" vertical="center"/>
    </xf>
    <xf numFmtId="0" fontId="24" fillId="0" borderId="0" xfId="97" applyFont="1" applyAlignment="1">
      <alignment horizontal="left" vertical="top" wrapText="1"/>
    </xf>
    <xf numFmtId="179" fontId="5" fillId="0" borderId="0" xfId="58" applyNumberFormat="1" applyFont="1" applyBorder="1"/>
    <xf numFmtId="0" fontId="7" fillId="0" borderId="19" xfId="0" applyFont="1" applyBorder="1" applyAlignment="1">
      <alignment horizontal="left" vertical="center" wrapText="1"/>
    </xf>
    <xf numFmtId="0" fontId="27" fillId="0" borderId="0" xfId="0" applyFont="1"/>
    <xf numFmtId="0" fontId="27" fillId="0" borderId="2" xfId="0" applyFont="1" applyBorder="1" applyAlignment="1">
      <alignment horizontal="center" vertical="center"/>
    </xf>
    <xf numFmtId="0" fontId="4" fillId="0" borderId="1" xfId="0" applyFont="1" applyBorder="1" applyAlignment="1">
      <alignment horizontal="center"/>
    </xf>
    <xf numFmtId="0" fontId="27" fillId="0" borderId="13" xfId="0" applyFont="1" applyBorder="1" applyAlignment="1">
      <alignment horizontal="center" vertical="center"/>
    </xf>
    <xf numFmtId="0" fontId="27" fillId="0" borderId="6" xfId="0" applyFont="1" applyBorder="1" applyAlignment="1">
      <alignment horizontal="center" vertical="center"/>
    </xf>
    <xf numFmtId="166" fontId="4" fillId="0" borderId="0" xfId="2" applyNumberFormat="1" applyFont="1" applyBorder="1"/>
    <xf numFmtId="9" fontId="4" fillId="0" borderId="0" xfId="0" applyNumberFormat="1" applyFont="1"/>
    <xf numFmtId="0" fontId="7" fillId="0" borderId="0" xfId="0" applyFont="1" applyAlignment="1">
      <alignment horizontal="left" vertical="center" wrapText="1"/>
    </xf>
    <xf numFmtId="0" fontId="5" fillId="0" borderId="0" xfId="0" applyFont="1" applyAlignment="1">
      <alignment horizontal="left" wrapText="1" indent="3"/>
    </xf>
    <xf numFmtId="0" fontId="29" fillId="0" borderId="1" xfId="96" applyFont="1" applyBorder="1" applyAlignment="1">
      <alignment horizontal="center" vertical="center" wrapText="1"/>
    </xf>
    <xf numFmtId="0" fontId="24" fillId="0" borderId="0" xfId="96" applyFont="1" applyAlignment="1">
      <alignment horizontal="left" vertical="top"/>
    </xf>
    <xf numFmtId="179" fontId="24" fillId="0" borderId="0" xfId="58" applyNumberFormat="1" applyFont="1" applyBorder="1" applyAlignment="1">
      <alignment horizontal="right" vertical="top"/>
    </xf>
    <xf numFmtId="166" fontId="24" fillId="0" borderId="0" xfId="2" applyNumberFormat="1" applyFont="1" applyBorder="1" applyAlignment="1">
      <alignment horizontal="right" vertical="top"/>
    </xf>
    <xf numFmtId="0" fontId="27" fillId="0" borderId="0" xfId="0" applyFont="1" applyAlignment="1">
      <alignment wrapText="1"/>
    </xf>
    <xf numFmtId="0" fontId="29" fillId="0" borderId="0" xfId="48" applyFont="1" applyAlignment="1">
      <alignment horizontal="right"/>
    </xf>
    <xf numFmtId="0" fontId="24" fillId="0" borderId="0" xfId="48" applyFont="1"/>
    <xf numFmtId="0" fontId="29" fillId="0" borderId="0" xfId="48" applyFont="1"/>
    <xf numFmtId="0" fontId="29" fillId="0" borderId="14" xfId="48" applyFont="1" applyBorder="1" applyAlignment="1">
      <alignment horizontal="center" vertical="center" wrapText="1"/>
    </xf>
    <xf numFmtId="0" fontId="29" fillId="0" borderId="15" xfId="48" applyFont="1" applyBorder="1" applyAlignment="1">
      <alignment horizontal="center" vertical="center" wrapText="1"/>
    </xf>
    <xf numFmtId="0" fontId="29" fillId="0" borderId="16" xfId="48" applyFont="1" applyBorder="1" applyAlignment="1">
      <alignment horizontal="center" vertical="center" wrapText="1"/>
    </xf>
    <xf numFmtId="166" fontId="29" fillId="0" borderId="1" xfId="2" applyNumberFormat="1" applyFont="1" applyFill="1" applyBorder="1" applyAlignment="1">
      <alignment horizontal="center"/>
    </xf>
    <xf numFmtId="166" fontId="6" fillId="0" borderId="0" xfId="42" applyNumberFormat="1" applyFont="1" applyAlignment="1">
      <alignment horizontal="left" wrapText="1"/>
    </xf>
    <xf numFmtId="166" fontId="29" fillId="0" borderId="0" xfId="2" applyNumberFormat="1" applyFont="1" applyFill="1" applyBorder="1" applyAlignment="1">
      <alignment horizontal="right"/>
    </xf>
    <xf numFmtId="166" fontId="5" fillId="0" borderId="0" xfId="42" applyNumberFormat="1" applyFont="1"/>
    <xf numFmtId="166" fontId="5" fillId="0" borderId="0" xfId="42" applyNumberFormat="1" applyFont="1" applyAlignment="1">
      <alignment horizontal="left" wrapText="1"/>
    </xf>
    <xf numFmtId="166" fontId="24" fillId="0" borderId="0" xfId="2" applyNumberFormat="1" applyFont="1" applyFill="1" applyBorder="1" applyAlignment="1">
      <alignment horizontal="right"/>
    </xf>
    <xf numFmtId="166" fontId="5" fillId="0" borderId="0" xfId="42" applyNumberFormat="1" applyFont="1" applyAlignment="1">
      <alignment wrapText="1"/>
    </xf>
    <xf numFmtId="0" fontId="6" fillId="0" borderId="0" xfId="42" applyFont="1" applyAlignment="1">
      <alignment vertical="center" wrapText="1"/>
    </xf>
    <xf numFmtId="0" fontId="9" fillId="0" borderId="0" xfId="48" applyAlignment="1">
      <alignment vertical="center" wrapText="1"/>
    </xf>
    <xf numFmtId="0" fontId="6" fillId="0" borderId="0" xfId="42" applyFont="1" applyAlignment="1">
      <alignment vertical="top" wrapText="1"/>
    </xf>
    <xf numFmtId="164" fontId="6" fillId="0" borderId="0" xfId="42" applyNumberFormat="1" applyFont="1" applyAlignment="1">
      <alignment vertical="top" wrapText="1"/>
    </xf>
    <xf numFmtId="0" fontId="5" fillId="0" borderId="0" xfId="42" applyFont="1" applyAlignment="1">
      <alignment vertical="top" wrapText="1"/>
    </xf>
    <xf numFmtId="164" fontId="5" fillId="0" borderId="0" xfId="42" applyNumberFormat="1" applyFont="1" applyAlignment="1">
      <alignment vertical="top" wrapText="1"/>
    </xf>
    <xf numFmtId="164" fontId="5" fillId="0" borderId="0" xfId="42" applyNumberFormat="1" applyFont="1" applyAlignment="1">
      <alignment horizontal="right" vertical="top" wrapText="1"/>
    </xf>
    <xf numFmtId="0" fontId="9" fillId="0" borderId="0" xfId="48" applyAlignment="1">
      <alignment horizontal="justify" wrapText="1"/>
    </xf>
    <xf numFmtId="0" fontId="33" fillId="0" borderId="0" xfId="42" applyFont="1" applyAlignment="1">
      <alignment horizontal="left" wrapText="1"/>
    </xf>
    <xf numFmtId="0" fontId="6" fillId="0" borderId="1" xfId="48" applyFont="1" applyBorder="1" applyAlignment="1">
      <alignment horizontal="center" wrapText="1"/>
    </xf>
    <xf numFmtId="166" fontId="6" fillId="0" borderId="0" xfId="2" applyNumberFormat="1" applyFont="1" applyBorder="1" applyAlignment="1">
      <alignment vertical="top" wrapText="1"/>
    </xf>
    <xf numFmtId="0" fontId="6" fillId="0" borderId="0" xfId="60" applyFont="1" applyAlignment="1">
      <alignment horizontal="left" vertical="center" wrapText="1"/>
    </xf>
    <xf numFmtId="0" fontId="20" fillId="0" borderId="0" xfId="60" applyFont="1"/>
    <xf numFmtId="0" fontId="62" fillId="0" borderId="0" xfId="60" applyFont="1"/>
    <xf numFmtId="0" fontId="6" fillId="0" borderId="1" xfId="60" applyFont="1" applyBorder="1" applyAlignment="1">
      <alignment horizontal="center" vertical="center" wrapText="1"/>
    </xf>
    <xf numFmtId="0" fontId="5" fillId="0" borderId="0" xfId="60" applyFont="1" applyAlignment="1">
      <alignment horizontal="center"/>
    </xf>
    <xf numFmtId="1" fontId="6" fillId="0" borderId="0" xfId="60" applyNumberFormat="1" applyFont="1" applyAlignment="1">
      <alignment horizontal="center"/>
    </xf>
    <xf numFmtId="3" fontId="6" fillId="0" borderId="0" xfId="60" applyNumberFormat="1" applyFont="1" applyAlignment="1">
      <alignment horizontal="center"/>
    </xf>
    <xf numFmtId="1" fontId="62" fillId="0" borderId="0" xfId="60" applyNumberFormat="1" applyFont="1"/>
    <xf numFmtId="3" fontId="5" fillId="0" borderId="0" xfId="60" applyNumberFormat="1" applyFont="1" applyAlignment="1">
      <alignment horizontal="right"/>
    </xf>
    <xf numFmtId="1" fontId="5" fillId="0" borderId="0" xfId="2" applyNumberFormat="1" applyFont="1" applyFill="1" applyAlignment="1">
      <alignment horizontal="center"/>
    </xf>
    <xf numFmtId="3" fontId="5" fillId="0" borderId="0" xfId="2" applyNumberFormat="1" applyFont="1" applyFill="1" applyAlignment="1">
      <alignment horizontal="center"/>
    </xf>
    <xf numFmtId="0" fontId="20" fillId="0" borderId="0" xfId="98" applyFont="1"/>
    <xf numFmtId="189" fontId="5" fillId="0" borderId="0" xfId="2" applyNumberFormat="1" applyFont="1" applyFill="1" applyBorder="1" applyAlignment="1">
      <alignment horizontal="right"/>
    </xf>
    <xf numFmtId="1" fontId="20" fillId="0" borderId="0" xfId="60" applyNumberFormat="1" applyFont="1" applyAlignment="1">
      <alignment horizontal="right"/>
    </xf>
    <xf numFmtId="0" fontId="20" fillId="0" borderId="0" xfId="60" applyFont="1" applyAlignment="1">
      <alignment horizontal="center" wrapText="1"/>
    </xf>
    <xf numFmtId="0" fontId="20" fillId="0" borderId="0" xfId="60" applyFont="1" applyAlignment="1">
      <alignment horizontal="center"/>
    </xf>
    <xf numFmtId="0" fontId="20" fillId="0" borderId="0" xfId="60" applyFont="1" applyAlignment="1">
      <alignment horizontal="fill"/>
    </xf>
    <xf numFmtId="3" fontId="20" fillId="0" borderId="0" xfId="60" applyNumberFormat="1" applyFont="1"/>
    <xf numFmtId="3" fontId="20" fillId="0" borderId="0" xfId="60" applyNumberFormat="1" applyFont="1" applyAlignment="1">
      <alignment horizontal="right"/>
    </xf>
    <xf numFmtId="189" fontId="5" fillId="0" borderId="0" xfId="2" applyNumberFormat="1" applyFont="1" applyFill="1" applyAlignment="1">
      <alignment horizontal="right"/>
    </xf>
    <xf numFmtId="0" fontId="5" fillId="0" borderId="0" xfId="60" applyFont="1" applyAlignment="1">
      <alignment horizontal="left" vertical="center" wrapText="1"/>
    </xf>
    <xf numFmtId="0" fontId="5" fillId="0" borderId="0" xfId="60" applyFont="1" applyAlignment="1">
      <alignment vertical="center" wrapText="1"/>
    </xf>
    <xf numFmtId="3" fontId="5" fillId="0" borderId="0" xfId="60" applyNumberFormat="1" applyFont="1" applyAlignment="1">
      <alignment horizontal="right" vertical="center" wrapText="1"/>
    </xf>
    <xf numFmtId="0" fontId="5" fillId="0" borderId="0" xfId="60" applyFont="1" applyAlignment="1">
      <alignment horizontal="left"/>
    </xf>
    <xf numFmtId="3" fontId="44" fillId="0" borderId="0" xfId="60" applyNumberFormat="1" applyFont="1" applyAlignment="1">
      <alignment horizontal="right"/>
    </xf>
    <xf numFmtId="3" fontId="44" fillId="0" borderId="0" xfId="60" applyNumberFormat="1" applyFont="1"/>
    <xf numFmtId="0" fontId="44" fillId="0" borderId="0" xfId="60" applyFont="1"/>
    <xf numFmtId="1" fontId="44" fillId="0" borderId="0" xfId="60" applyNumberFormat="1" applyFont="1" applyAlignment="1">
      <alignment horizontal="right"/>
    </xf>
    <xf numFmtId="0" fontId="44" fillId="0" borderId="0" xfId="60" applyFont="1" applyAlignment="1">
      <alignment horizontal="left"/>
    </xf>
    <xf numFmtId="3" fontId="5" fillId="0" borderId="0" xfId="99" applyNumberFormat="1" applyFont="1" applyAlignment="1" applyProtection="1">
      <alignment horizontal="left" vertical="center"/>
      <protection locked="0"/>
    </xf>
    <xf numFmtId="0" fontId="6" fillId="0" borderId="19" xfId="0" applyFont="1" applyBorder="1" applyAlignment="1">
      <alignment horizontal="center" vertical="center"/>
    </xf>
    <xf numFmtId="0" fontId="6" fillId="0" borderId="0" xfId="60" applyFont="1" applyAlignment="1">
      <alignment horizontal="left"/>
    </xf>
    <xf numFmtId="164" fontId="6" fillId="0" borderId="0" xfId="60" applyNumberFormat="1" applyFont="1" applyAlignment="1">
      <alignment horizontal="right"/>
    </xf>
    <xf numFmtId="3" fontId="5" fillId="0" borderId="0" xfId="100" applyNumberFormat="1" applyFont="1" applyAlignment="1" applyProtection="1">
      <alignment horizontal="left" vertical="center"/>
      <protection locked="0"/>
    </xf>
    <xf numFmtId="14" fontId="6" fillId="0" borderId="0" xfId="0" applyNumberFormat="1" applyFont="1" applyAlignment="1">
      <alignment horizontal="justify" wrapText="1"/>
    </xf>
    <xf numFmtId="0" fontId="5" fillId="0" borderId="0" xfId="48" applyFont="1" applyAlignment="1">
      <alignment horizontal="center" wrapText="1"/>
    </xf>
    <xf numFmtId="0" fontId="6" fillId="0" borderId="13" xfId="48" applyFont="1" applyBorder="1" applyAlignment="1">
      <alignment horizontal="center" vertical="center" wrapText="1"/>
    </xf>
    <xf numFmtId="0" fontId="68" fillId="0" borderId="2" xfId="48" applyFont="1" applyBorder="1" applyAlignment="1">
      <alignment horizontal="center" vertical="center" wrapText="1"/>
    </xf>
    <xf numFmtId="0" fontId="5" fillId="0" borderId="0" xfId="48" applyFont="1" applyAlignment="1">
      <alignment horizontal="right" wrapText="1"/>
    </xf>
    <xf numFmtId="0" fontId="68" fillId="0" borderId="1" xfId="48" applyFont="1" applyBorder="1" applyAlignment="1">
      <alignment horizontal="center" vertical="center" wrapText="1"/>
    </xf>
    <xf numFmtId="0" fontId="68" fillId="0" borderId="6" xfId="48" applyFont="1" applyBorder="1" applyAlignment="1">
      <alignment horizontal="center" vertical="center" wrapText="1"/>
    </xf>
    <xf numFmtId="179" fontId="5" fillId="0" borderId="0" xfId="48" applyNumberFormat="1" applyFont="1"/>
    <xf numFmtId="166" fontId="6" fillId="0" borderId="0" xfId="48" applyNumberFormat="1" applyFont="1"/>
    <xf numFmtId="164" fontId="6" fillId="0" borderId="0" xfId="2" applyNumberFormat="1" applyFont="1" applyFill="1" applyBorder="1" applyAlignment="1"/>
    <xf numFmtId="164" fontId="6" fillId="0" borderId="0" xfId="2" applyNumberFormat="1" applyFont="1" applyFill="1" applyBorder="1"/>
    <xf numFmtId="164" fontId="6" fillId="0" borderId="0" xfId="58" applyNumberFormat="1" applyFont="1" applyFill="1" applyBorder="1"/>
    <xf numFmtId="179" fontId="6" fillId="0" borderId="0" xfId="48" applyNumberFormat="1" applyFont="1"/>
    <xf numFmtId="10" fontId="5" fillId="0" borderId="0" xfId="48" applyNumberFormat="1" applyFont="1" applyAlignment="1">
      <alignment horizontal="right"/>
    </xf>
    <xf numFmtId="179" fontId="5" fillId="0" borderId="0" xfId="48" applyNumberFormat="1" applyFont="1" applyAlignment="1">
      <alignment horizontal="right"/>
    </xf>
    <xf numFmtId="179" fontId="5" fillId="0" borderId="0" xfId="10" applyNumberFormat="1" applyFont="1" applyFill="1" applyBorder="1" applyAlignment="1"/>
    <xf numFmtId="179" fontId="5" fillId="0" borderId="0" xfId="10" applyNumberFormat="1" applyFont="1" applyFill="1" applyBorder="1"/>
    <xf numFmtId="0" fontId="6" fillId="0" borderId="1" xfId="48" applyFont="1" applyBorder="1" applyAlignment="1">
      <alignment vertical="center" wrapText="1"/>
    </xf>
    <xf numFmtId="14" fontId="6" fillId="0" borderId="0" xfId="0" applyNumberFormat="1" applyFont="1" applyAlignment="1">
      <alignment wrapText="1"/>
    </xf>
    <xf numFmtId="49" fontId="6" fillId="0" borderId="0" xfId="48" applyNumberFormat="1" applyFont="1"/>
    <xf numFmtId="0" fontId="5" fillId="0" borderId="0" xfId="11" applyFont="1" applyAlignment="1">
      <alignment horizontal="left"/>
    </xf>
    <xf numFmtId="3" fontId="5" fillId="0" borderId="0" xfId="11" applyNumberFormat="1" applyFont="1"/>
    <xf numFmtId="0" fontId="6" fillId="0" borderId="0" xfId="48" applyFont="1" applyAlignment="1">
      <alignment horizontal="left"/>
    </xf>
    <xf numFmtId="10" fontId="5" fillId="0" borderId="0" xfId="10" applyNumberFormat="1" applyFont="1" applyFill="1"/>
    <xf numFmtId="3" fontId="5" fillId="0" borderId="0" xfId="101" applyNumberFormat="1" applyFont="1" applyAlignment="1" applyProtection="1">
      <alignment horizontal="left" vertical="center"/>
      <protection locked="0"/>
    </xf>
    <xf numFmtId="164" fontId="5" fillId="0" borderId="0" xfId="2" applyNumberFormat="1" applyFont="1" applyAlignment="1">
      <alignment horizontal="right"/>
    </xf>
    <xf numFmtId="164" fontId="6" fillId="0" borderId="0" xfId="2" applyNumberFormat="1" applyFont="1" applyFill="1" applyBorder="1" applyAlignment="1">
      <alignment horizontal="right"/>
    </xf>
    <xf numFmtId="0" fontId="6" fillId="0" borderId="0" xfId="102" applyFont="1" applyFill="1" applyBorder="1" applyAlignment="1">
      <alignment horizontal="left" vertical="center"/>
    </xf>
    <xf numFmtId="0" fontId="35" fillId="0" borderId="0" xfId="102" applyFont="1" applyFill="1" applyBorder="1" applyAlignment="1">
      <alignment horizontal="left"/>
    </xf>
    <xf numFmtId="0" fontId="6" fillId="0" borderId="1" xfId="102" applyFont="1" applyFill="1" applyBorder="1" applyAlignment="1">
      <alignment horizontal="center"/>
    </xf>
    <xf numFmtId="3" fontId="62" fillId="0" borderId="0" xfId="0" applyNumberFormat="1" applyFont="1"/>
    <xf numFmtId="179" fontId="9" fillId="0" borderId="0" xfId="0" applyNumberFormat="1" applyFont="1"/>
    <xf numFmtId="0" fontId="5" fillId="0" borderId="0" xfId="60" applyFont="1" applyAlignment="1">
      <alignment horizontal="left"/>
    </xf>
    <xf numFmtId="10" fontId="9" fillId="0" borderId="0" xfId="0" applyNumberFormat="1" applyFont="1"/>
    <xf numFmtId="0" fontId="6" fillId="0" borderId="1" xfId="102" applyFont="1" applyFill="1" applyBorder="1" applyAlignment="1">
      <alignment horizontal="center" vertical="center"/>
    </xf>
    <xf numFmtId="167" fontId="6" fillId="0" borderId="0" xfId="0" applyNumberFormat="1" applyFont="1" applyAlignment="1">
      <alignment horizontal="right"/>
    </xf>
    <xf numFmtId="167" fontId="5" fillId="0" borderId="0" xfId="0" applyNumberFormat="1" applyFont="1" applyAlignment="1">
      <alignment horizontal="right"/>
    </xf>
    <xf numFmtId="179" fontId="6" fillId="0" borderId="0" xfId="0" applyNumberFormat="1" applyFont="1"/>
    <xf numFmtId="49" fontId="9" fillId="0" borderId="0" xfId="0" applyNumberFormat="1" applyFont="1"/>
    <xf numFmtId="0" fontId="9" fillId="0" borderId="0" xfId="0" applyFont="1" applyAlignment="1">
      <alignment horizontal="center"/>
    </xf>
    <xf numFmtId="0" fontId="6" fillId="0" borderId="0" xfId="102" applyFont="1" applyFill="1" applyBorder="1" applyAlignment="1">
      <alignment horizontal="left" vertical="center" wrapText="1"/>
    </xf>
    <xf numFmtId="0" fontId="5" fillId="0" borderId="0" xfId="102" applyFont="1" applyFill="1" applyBorder="1" applyAlignment="1"/>
    <xf numFmtId="0" fontId="43" fillId="0" borderId="0" xfId="102" applyFont="1" applyFill="1"/>
    <xf numFmtId="0" fontId="6" fillId="0" borderId="0" xfId="102" applyFont="1" applyFill="1"/>
    <xf numFmtId="0" fontId="44" fillId="0" borderId="0" xfId="102" applyFont="1" applyFill="1" applyBorder="1" applyAlignment="1"/>
    <xf numFmtId="0" fontId="44" fillId="0" borderId="0" xfId="102" applyFont="1" applyFill="1"/>
    <xf numFmtId="0" fontId="6" fillId="0" borderId="1" xfId="102" applyFont="1" applyFill="1" applyBorder="1" applyAlignment="1">
      <alignment horizontal="center" vertical="center" wrapText="1"/>
    </xf>
    <xf numFmtId="0" fontId="6" fillId="0" borderId="0" xfId="60" applyFont="1" applyAlignment="1">
      <alignment wrapText="1"/>
    </xf>
    <xf numFmtId="3" fontId="5" fillId="0" borderId="0" xfId="103" applyNumberFormat="1" applyFont="1" applyAlignment="1" applyProtection="1">
      <alignment horizontal="left" vertical="center"/>
      <protection locked="0"/>
    </xf>
    <xf numFmtId="164" fontId="5" fillId="0" borderId="0" xfId="2" applyNumberFormat="1" applyFont="1" applyFill="1" applyAlignment="1"/>
    <xf numFmtId="3" fontId="20" fillId="0" borderId="0" xfId="0" applyNumberFormat="1" applyFont="1"/>
    <xf numFmtId="0" fontId="69" fillId="0" borderId="0" xfId="0" applyFont="1"/>
    <xf numFmtId="0" fontId="43" fillId="0" borderId="0" xfId="104" applyFont="1" applyFill="1"/>
    <xf numFmtId="0" fontId="6" fillId="0" borderId="0" xfId="102" applyFont="1" applyFill="1" applyBorder="1" applyAlignment="1">
      <alignment horizontal="left" wrapText="1"/>
    </xf>
    <xf numFmtId="3" fontId="6" fillId="0" borderId="1" xfId="0" applyNumberFormat="1" applyFont="1" applyBorder="1" applyAlignment="1">
      <alignment horizontal="center" vertical="center"/>
    </xf>
    <xf numFmtId="0" fontId="6" fillId="0" borderId="1" xfId="104" applyFont="1" applyFill="1" applyBorder="1" applyAlignment="1">
      <alignment horizontal="center" vertical="center"/>
    </xf>
    <xf numFmtId="0" fontId="44" fillId="0" borderId="0" xfId="104" applyFont="1" applyFill="1"/>
    <xf numFmtId="4" fontId="6" fillId="0" borderId="1" xfId="104" applyNumberFormat="1" applyFont="1" applyFill="1" applyBorder="1" applyAlignment="1">
      <alignment horizontal="center" vertical="center"/>
    </xf>
    <xf numFmtId="164" fontId="20" fillId="0" borderId="0" xfId="0" applyNumberFormat="1" applyFont="1"/>
    <xf numFmtId="3" fontId="5" fillId="0" borderId="0" xfId="105" applyNumberFormat="1" applyFont="1" applyAlignment="1" applyProtection="1">
      <alignment horizontal="left" vertical="center"/>
      <protection locked="0"/>
    </xf>
    <xf numFmtId="3" fontId="5" fillId="0" borderId="0" xfId="60" applyNumberFormat="1" applyFont="1" applyAlignment="1">
      <alignment horizontal="center"/>
    </xf>
    <xf numFmtId="0" fontId="44" fillId="0" borderId="0" xfId="0" applyFont="1" applyAlignment="1">
      <alignment horizontal="center"/>
    </xf>
    <xf numFmtId="164" fontId="9" fillId="0" borderId="0" xfId="0" applyNumberFormat="1" applyFont="1"/>
    <xf numFmtId="3" fontId="6" fillId="0" borderId="3" xfId="0" applyNumberFormat="1" applyFont="1" applyBorder="1" applyAlignment="1" applyProtection="1">
      <alignment horizontal="center" vertical="center"/>
      <protection locked="0"/>
    </xf>
    <xf numFmtId="3" fontId="6" fillId="0" borderId="4" xfId="0" applyNumberFormat="1" applyFont="1" applyBorder="1" applyAlignment="1" applyProtection="1">
      <alignment horizontal="center" vertical="center"/>
      <protection locked="0"/>
    </xf>
    <xf numFmtId="3" fontId="6" fillId="0" borderId="5" xfId="0" applyNumberFormat="1" applyFont="1" applyBorder="1" applyAlignment="1" applyProtection="1">
      <alignment horizontal="center" vertical="center"/>
      <protection locked="0"/>
    </xf>
    <xf numFmtId="3" fontId="6" fillId="0" borderId="1" xfId="0" applyNumberFormat="1" applyFont="1" applyBorder="1" applyAlignment="1" applyProtection="1">
      <alignment horizontal="center" vertical="center"/>
      <protection locked="0"/>
    </xf>
    <xf numFmtId="3" fontId="6" fillId="0" borderId="1" xfId="0" applyNumberFormat="1" applyFont="1" applyBorder="1" applyAlignment="1" applyProtection="1">
      <alignment horizontal="center" vertical="center" wrapText="1"/>
      <protection locked="0"/>
    </xf>
    <xf numFmtId="3" fontId="5" fillId="0" borderId="0" xfId="106" applyNumberFormat="1" applyFont="1" applyAlignment="1" applyProtection="1">
      <alignment horizontal="left" vertical="center"/>
      <protection locked="0"/>
    </xf>
    <xf numFmtId="0" fontId="34" fillId="0" borderId="0" xfId="0" applyFont="1" applyAlignment="1">
      <alignment vertical="center" wrapText="1"/>
    </xf>
    <xf numFmtId="0" fontId="48" fillId="0" borderId="0" xfId="0" applyFont="1" applyAlignment="1">
      <alignment vertical="center"/>
    </xf>
    <xf numFmtId="3" fontId="5" fillId="0" borderId="0" xfId="0" applyNumberFormat="1" applyFont="1" applyAlignment="1">
      <alignment horizontal="center" vertical="center" wrapText="1"/>
    </xf>
    <xf numFmtId="14" fontId="5" fillId="0" borderId="0" xfId="0" applyNumberFormat="1" applyFont="1" applyAlignment="1">
      <alignment horizontal="center"/>
    </xf>
    <xf numFmtId="0" fontId="36" fillId="0" borderId="0" xfId="0" applyFont="1" applyAlignment="1">
      <alignment vertical="center" wrapText="1"/>
    </xf>
    <xf numFmtId="0" fontId="34" fillId="0" borderId="0" xfId="0" applyFont="1" applyAlignment="1">
      <alignment horizontal="justify" vertical="center" wrapText="1"/>
    </xf>
    <xf numFmtId="14" fontId="5" fillId="0" borderId="0" xfId="0" applyNumberFormat="1" applyFont="1" applyAlignment="1">
      <alignment horizontal="center" vertical="center" wrapText="1"/>
    </xf>
    <xf numFmtId="0" fontId="5" fillId="0" borderId="0" xfId="0" quotePrefix="1" applyFont="1" applyAlignment="1">
      <alignment horizontal="center" vertical="center" wrapText="1"/>
    </xf>
    <xf numFmtId="0" fontId="70" fillId="0" borderId="0" xfId="42" applyFont="1" applyAlignment="1">
      <alignment horizontal="left" vertical="top"/>
    </xf>
    <xf numFmtId="0" fontId="6" fillId="0" borderId="0" xfId="42" applyFont="1" applyAlignment="1">
      <alignment horizontal="left" vertical="center"/>
    </xf>
    <xf numFmtId="167" fontId="6" fillId="0" borderId="0" xfId="2" applyNumberFormat="1" applyFont="1" applyFill="1" applyBorder="1" applyAlignment="1">
      <alignment horizontal="right"/>
    </xf>
    <xf numFmtId="3" fontId="5" fillId="0" borderId="0" xfId="107" applyNumberFormat="1" applyFont="1" applyAlignment="1" applyProtection="1">
      <alignment horizontal="left" vertical="center"/>
      <protection locked="0"/>
    </xf>
    <xf numFmtId="167" fontId="5" fillId="0" borderId="0" xfId="2" applyNumberFormat="1" applyFont="1" applyFill="1" applyBorder="1" applyAlignment="1">
      <alignment horizontal="right"/>
    </xf>
    <xf numFmtId="167" fontId="5" fillId="0" borderId="0" xfId="2" applyNumberFormat="1" applyFont="1" applyFill="1" applyBorder="1" applyAlignment="1">
      <alignment horizontal="center"/>
    </xf>
    <xf numFmtId="0" fontId="5" fillId="6" borderId="0" xfId="0" quotePrefix="1" applyFont="1" applyFill="1"/>
    <xf numFmtId="0" fontId="5" fillId="0" borderId="0" xfId="42" applyFont="1" applyAlignment="1">
      <alignment horizontal="left" vertical="top" wrapText="1"/>
    </xf>
    <xf numFmtId="0" fontId="6" fillId="0" borderId="0" xfId="42" applyFont="1" applyAlignment="1">
      <alignment horizontal="left" vertical="top" wrapText="1"/>
    </xf>
    <xf numFmtId="3" fontId="5" fillId="0" borderId="0" xfId="108" applyNumberFormat="1" applyFont="1" applyAlignment="1" applyProtection="1">
      <alignment horizontal="left" vertical="center"/>
      <protection locked="0"/>
    </xf>
    <xf numFmtId="0" fontId="7" fillId="6" borderId="0" xfId="0" quotePrefix="1" applyFont="1" applyFill="1"/>
    <xf numFmtId="166" fontId="6" fillId="0" borderId="0" xfId="42" applyNumberFormat="1" applyFont="1"/>
    <xf numFmtId="166" fontId="5" fillId="0" borderId="0" xfId="2" applyNumberFormat="1" applyFont="1" applyFill="1" applyBorder="1" applyAlignment="1">
      <alignment wrapText="1"/>
    </xf>
    <xf numFmtId="166" fontId="7" fillId="0" borderId="0" xfId="2" applyNumberFormat="1" applyFont="1" applyFill="1" applyBorder="1" applyAlignment="1">
      <alignment horizontal="right" wrapText="1"/>
    </xf>
    <xf numFmtId="3" fontId="5" fillId="0" borderId="0" xfId="0" quotePrefix="1" applyNumberFormat="1" applyFont="1" applyAlignment="1" applyProtection="1">
      <alignment horizontal="left" vertical="center"/>
      <protection locked="0"/>
    </xf>
    <xf numFmtId="0" fontId="7" fillId="0" borderId="0" xfId="0" applyFont="1" applyAlignment="1">
      <alignment horizontal="justify" vertical="center" wrapText="1"/>
    </xf>
    <xf numFmtId="0" fontId="71" fillId="0" borderId="0" xfId="0" applyFont="1" applyAlignment="1">
      <alignment horizontal="justify" vertical="center" wrapText="1"/>
    </xf>
    <xf numFmtId="0" fontId="6" fillId="0" borderId="1" xfId="42" applyFont="1" applyBorder="1" applyAlignment="1">
      <alignment horizontal="center" wrapText="1"/>
    </xf>
    <xf numFmtId="0" fontId="24" fillId="0" borderId="0" xfId="0" applyFont="1" applyAlignment="1">
      <alignment horizontal="justify" vertical="center"/>
    </xf>
    <xf numFmtId="166" fontId="5" fillId="0" borderId="0" xfId="2" applyNumberFormat="1" applyFont="1" applyFill="1" applyBorder="1" applyAlignment="1">
      <alignment horizontal="center"/>
    </xf>
    <xf numFmtId="166" fontId="6" fillId="0" borderId="0" xfId="2" applyNumberFormat="1" applyFont="1" applyFill="1" applyBorder="1" applyAlignment="1">
      <alignment horizontal="center" wrapText="1"/>
    </xf>
    <xf numFmtId="0" fontId="5" fillId="0" borderId="0" xfId="0" applyFont="1" applyAlignment="1">
      <alignment horizontal="justify" vertical="center"/>
    </xf>
    <xf numFmtId="166" fontId="5" fillId="0" borderId="0" xfId="2" applyNumberFormat="1" applyFont="1" applyFill="1" applyBorder="1" applyAlignment="1">
      <alignment horizontal="center" wrapText="1"/>
    </xf>
    <xf numFmtId="0" fontId="6" fillId="0" borderId="1" xfId="42" applyFont="1" applyBorder="1" applyAlignment="1">
      <alignment horizontal="left" vertical="top" wrapText="1"/>
    </xf>
    <xf numFmtId="0" fontId="6" fillId="0" borderId="1" xfId="42" applyFont="1" applyBorder="1" applyAlignment="1">
      <alignment horizontal="center" vertical="top" wrapText="1"/>
    </xf>
    <xf numFmtId="166" fontId="6" fillId="0" borderId="0" xfId="2" applyNumberFormat="1" applyFont="1" applyFill="1" applyBorder="1" applyAlignment="1">
      <alignment horizontal="center"/>
    </xf>
    <xf numFmtId="0" fontId="6" fillId="0" borderId="3" xfId="42" applyFont="1" applyBorder="1" applyAlignment="1">
      <alignment horizontal="center" vertical="top" wrapText="1"/>
    </xf>
    <xf numFmtId="0" fontId="6" fillId="0" borderId="4" xfId="42" applyFont="1" applyBorder="1" applyAlignment="1">
      <alignment horizontal="center" vertical="top" wrapText="1"/>
    </xf>
    <xf numFmtId="0" fontId="6" fillId="0" borderId="5" xfId="42" applyFont="1" applyBorder="1" applyAlignment="1">
      <alignment horizontal="center" vertical="top" wrapText="1"/>
    </xf>
    <xf numFmtId="2" fontId="5" fillId="0" borderId="0" xfId="0" applyNumberFormat="1" applyFont="1" applyAlignment="1">
      <alignment horizontal="right"/>
    </xf>
    <xf numFmtId="170" fontId="5" fillId="0" borderId="0" xfId="0" applyNumberFormat="1" applyFont="1" applyAlignment="1">
      <alignment wrapText="1"/>
    </xf>
    <xf numFmtId="170" fontId="5" fillId="0" borderId="0" xfId="0" applyNumberFormat="1" applyFont="1" applyAlignment="1">
      <alignment horizontal="right"/>
    </xf>
    <xf numFmtId="0" fontId="5" fillId="0" borderId="0" xfId="42" applyFont="1" applyAlignment="1">
      <alignment horizontal="justify" vertical="top" wrapText="1"/>
    </xf>
    <xf numFmtId="170" fontId="5" fillId="0" borderId="0" xfId="0" applyNumberFormat="1" applyFont="1" applyAlignment="1">
      <alignment horizontal="right" wrapText="1"/>
    </xf>
    <xf numFmtId="0" fontId="7" fillId="0" borderId="0" xfId="0" applyFont="1" applyAlignment="1">
      <alignment horizontal="justify" vertical="center"/>
    </xf>
    <xf numFmtId="2" fontId="7" fillId="0" borderId="0" xfId="0" applyNumberFormat="1" applyFont="1"/>
    <xf numFmtId="170" fontId="5" fillId="0" borderId="0" xfId="0" applyNumberFormat="1" applyFont="1" applyAlignment="1">
      <alignment horizontal="center" wrapText="1"/>
    </xf>
    <xf numFmtId="0" fontId="7" fillId="0" borderId="0" xfId="0" applyFont="1" applyAlignment="1">
      <alignment horizontal="left" vertical="center"/>
    </xf>
    <xf numFmtId="0" fontId="33" fillId="0" borderId="0" xfId="0" applyFont="1" applyAlignment="1">
      <alignment horizontal="left" vertical="center" wrapText="1"/>
    </xf>
    <xf numFmtId="170" fontId="7" fillId="0" borderId="0" xfId="0" applyNumberFormat="1" applyFont="1" applyAlignment="1">
      <alignment horizontal="center" wrapText="1"/>
    </xf>
    <xf numFmtId="0" fontId="6" fillId="0" borderId="0" xfId="0" applyFont="1" applyAlignment="1">
      <alignment horizontal="justify" vertical="center" wrapText="1"/>
    </xf>
    <xf numFmtId="3" fontId="6" fillId="0" borderId="0" xfId="0" applyNumberFormat="1" applyFont="1" applyAlignment="1">
      <alignment horizontal="right" vertical="center" wrapText="1"/>
    </xf>
    <xf numFmtId="3" fontId="5" fillId="0" borderId="0" xfId="0" applyNumberFormat="1" applyFont="1" applyAlignment="1" applyProtection="1">
      <alignment horizontal="justify" vertical="center" wrapText="1"/>
      <protection locked="0"/>
    </xf>
    <xf numFmtId="0" fontId="4" fillId="0" borderId="0" xfId="109" applyFont="1" applyAlignment="1">
      <alignment horizontal="left" vertical="center" wrapText="1"/>
    </xf>
    <xf numFmtId="0" fontId="4" fillId="0" borderId="1" xfId="109" applyFont="1" applyBorder="1" applyAlignment="1">
      <alignment horizontal="center" vertical="center" wrapText="1"/>
    </xf>
    <xf numFmtId="0" fontId="4" fillId="0" borderId="1" xfId="109" applyFont="1" applyBorder="1" applyAlignment="1">
      <alignment horizontal="center" vertical="center" wrapText="1"/>
    </xf>
    <xf numFmtId="0" fontId="4" fillId="0" borderId="0" xfId="109" applyFont="1" applyAlignment="1">
      <alignment horizontal="justify" vertical="center" wrapText="1"/>
    </xf>
    <xf numFmtId="3" fontId="4" fillId="0" borderId="0" xfId="109" applyNumberFormat="1" applyFont="1" applyAlignment="1">
      <alignment horizontal="right" vertical="center" wrapText="1"/>
    </xf>
    <xf numFmtId="179" fontId="4" fillId="0" borderId="0" xfId="109" applyNumberFormat="1" applyFont="1" applyAlignment="1">
      <alignment horizontal="right" vertical="center" wrapText="1"/>
    </xf>
    <xf numFmtId="0" fontId="7" fillId="0" borderId="0" xfId="109" applyFont="1" applyAlignment="1">
      <alignment horizontal="justify" vertical="center"/>
    </xf>
    <xf numFmtId="3" fontId="7" fillId="0" borderId="0" xfId="109" applyNumberFormat="1" applyFont="1" applyAlignment="1">
      <alignment horizontal="right" vertical="center"/>
    </xf>
    <xf numFmtId="10" fontId="7" fillId="0" borderId="0" xfId="109" applyNumberFormat="1" applyFont="1" applyAlignment="1">
      <alignment horizontal="right" vertical="center"/>
    </xf>
    <xf numFmtId="0" fontId="7" fillId="0" borderId="0" xfId="109" applyFont="1" applyAlignment="1">
      <alignment horizontal="justify" vertical="center" wrapText="1"/>
    </xf>
    <xf numFmtId="3" fontId="7" fillId="0" borderId="0" xfId="109" applyNumberFormat="1" applyFont="1" applyAlignment="1">
      <alignment horizontal="right" vertical="center" wrapText="1"/>
    </xf>
    <xf numFmtId="0" fontId="33" fillId="0" borderId="0" xfId="0" applyFont="1" applyAlignment="1">
      <alignment vertical="center"/>
    </xf>
    <xf numFmtId="3" fontId="6" fillId="0" borderId="0" xfId="0" applyNumberFormat="1" applyFont="1" applyAlignment="1">
      <alignment vertical="center"/>
    </xf>
    <xf numFmtId="3" fontId="5" fillId="0" borderId="0" xfId="110" applyNumberFormat="1" applyFont="1" applyAlignment="1" applyProtection="1">
      <alignment horizontal="left" vertical="center"/>
      <protection locked="0"/>
    </xf>
    <xf numFmtId="0" fontId="6" fillId="6" borderId="2" xfId="0" applyFont="1" applyFill="1" applyBorder="1" applyAlignment="1">
      <alignment horizontal="center" vertical="center"/>
    </xf>
    <xf numFmtId="0" fontId="6" fillId="6" borderId="1" xfId="0" applyFont="1" applyFill="1" applyBorder="1" applyAlignment="1">
      <alignment horizontal="center" vertical="center"/>
    </xf>
    <xf numFmtId="0" fontId="6" fillId="6" borderId="13" xfId="0" applyFont="1" applyFill="1" applyBorder="1" applyAlignment="1">
      <alignment horizontal="center" vertical="center"/>
    </xf>
    <xf numFmtId="0" fontId="4" fillId="6" borderId="1" xfId="0" applyFont="1" applyFill="1" applyBorder="1" applyAlignment="1">
      <alignment horizontal="center" vertical="center" wrapText="1"/>
    </xf>
    <xf numFmtId="0" fontId="6" fillId="6" borderId="1" xfId="0" applyFont="1" applyFill="1" applyBorder="1" applyAlignment="1">
      <alignment horizontal="center" vertical="center" wrapText="1"/>
    </xf>
    <xf numFmtId="0" fontId="6" fillId="6" borderId="6" xfId="0" applyFont="1" applyFill="1" applyBorder="1" applyAlignment="1">
      <alignment horizontal="center" vertical="center"/>
    </xf>
    <xf numFmtId="0" fontId="6" fillId="6" borderId="1" xfId="62" applyFont="1" applyFill="1" applyBorder="1" applyAlignment="1">
      <alignment horizontal="center" vertical="center"/>
    </xf>
    <xf numFmtId="0" fontId="6" fillId="0" borderId="0" xfId="62" applyFont="1" applyAlignment="1">
      <alignment horizontal="center" vertical="center"/>
    </xf>
    <xf numFmtId="177" fontId="6" fillId="0" borderId="0" xfId="0" applyNumberFormat="1" applyFont="1" applyAlignment="1">
      <alignment vertical="center"/>
    </xf>
    <xf numFmtId="0" fontId="36" fillId="0" borderId="0" xfId="0" applyFont="1" applyAlignment="1">
      <alignment vertical="center"/>
    </xf>
    <xf numFmtId="177" fontId="5" fillId="0" borderId="0" xfId="0" applyNumberFormat="1" applyFont="1" applyAlignment="1">
      <alignment vertical="center"/>
    </xf>
    <xf numFmtId="175" fontId="5" fillId="0" borderId="0" xfId="0" applyNumberFormat="1" applyFont="1" applyAlignment="1">
      <alignment vertical="center"/>
    </xf>
    <xf numFmtId="3" fontId="6" fillId="0" borderId="0" xfId="0" applyNumberFormat="1" applyFont="1" applyAlignment="1">
      <alignment horizontal="center" vertical="center"/>
    </xf>
    <xf numFmtId="164" fontId="6" fillId="0" borderId="0" xfId="0" applyNumberFormat="1" applyFont="1" applyAlignment="1">
      <alignment vertical="center"/>
    </xf>
    <xf numFmtId="0" fontId="7" fillId="0" borderId="0" xfId="111" applyFont="1" applyAlignment="1">
      <alignment vertical="center"/>
    </xf>
    <xf numFmtId="0" fontId="4" fillId="0" borderId="1" xfId="111" applyFont="1" applyBorder="1" applyAlignment="1">
      <alignment horizontal="center" vertical="center" wrapText="1"/>
    </xf>
    <xf numFmtId="0" fontId="7" fillId="0" borderId="1" xfId="111" applyFont="1" applyBorder="1" applyAlignment="1">
      <alignment horizontal="center" vertical="center" wrapText="1"/>
    </xf>
    <xf numFmtId="0" fontId="4" fillId="0" borderId="1" xfId="111" applyFont="1" applyBorder="1" applyAlignment="1">
      <alignment horizontal="center" vertical="center"/>
    </xf>
    <xf numFmtId="0" fontId="4" fillId="0" borderId="1" xfId="111" applyFont="1" applyBorder="1" applyAlignment="1">
      <alignment horizontal="center" vertical="center" wrapText="1"/>
    </xf>
    <xf numFmtId="0" fontId="4" fillId="0" borderId="0" xfId="111" applyFont="1" applyAlignment="1">
      <alignment horizontal="left" vertical="center" wrapText="1"/>
    </xf>
    <xf numFmtId="3" fontId="4" fillId="0" borderId="0" xfId="111" applyNumberFormat="1" applyFont="1" applyAlignment="1">
      <alignment horizontal="right" vertical="center"/>
    </xf>
    <xf numFmtId="164" fontId="4" fillId="0" borderId="0" xfId="111" applyNumberFormat="1" applyFont="1" applyAlignment="1">
      <alignment horizontal="right" vertical="center"/>
    </xf>
    <xf numFmtId="0" fontId="7" fillId="0" borderId="0" xfId="111" applyFont="1" applyAlignment="1">
      <alignment vertical="center" wrapText="1"/>
    </xf>
    <xf numFmtId="164" fontId="7" fillId="0" borderId="0" xfId="111" applyNumberFormat="1" applyFont="1" applyAlignment="1">
      <alignment horizontal="right" vertical="center"/>
    </xf>
    <xf numFmtId="175" fontId="7" fillId="0" borderId="0" xfId="111" applyNumberFormat="1" applyFont="1" applyAlignment="1">
      <alignment horizontal="right" vertical="center"/>
    </xf>
    <xf numFmtId="0" fontId="5" fillId="0" borderId="0" xfId="111" applyFont="1" applyAlignment="1">
      <alignment horizontal="right" vertical="center"/>
    </xf>
    <xf numFmtId="175" fontId="5" fillId="0" borderId="0" xfId="111" applyNumberFormat="1" applyFont="1" applyAlignment="1">
      <alignment horizontal="right" vertical="center"/>
    </xf>
    <xf numFmtId="0" fontId="7" fillId="0" borderId="0" xfId="111" applyFont="1" applyAlignment="1">
      <alignment horizontal="right" vertical="center"/>
    </xf>
    <xf numFmtId="0" fontId="4" fillId="0" borderId="0" xfId="111" applyFont="1" applyAlignment="1">
      <alignment horizontal="center" vertical="center"/>
    </xf>
    <xf numFmtId="166" fontId="4" fillId="0" borderId="0" xfId="2" applyNumberFormat="1" applyFont="1" applyFill="1" applyBorder="1" applyAlignment="1">
      <alignment horizontal="right" vertical="center"/>
    </xf>
    <xf numFmtId="166" fontId="6" fillId="0" borderId="0" xfId="2" applyNumberFormat="1" applyFont="1" applyFill="1" applyBorder="1" applyAlignment="1">
      <alignment horizontal="right" vertical="center"/>
    </xf>
    <xf numFmtId="166" fontId="4" fillId="6" borderId="0" xfId="2" applyNumberFormat="1" applyFont="1" applyFill="1" applyBorder="1" applyAlignment="1">
      <alignment horizontal="right" vertical="center"/>
    </xf>
    <xf numFmtId="0" fontId="7" fillId="0" borderId="0" xfId="111" applyFont="1" applyAlignment="1">
      <alignment horizontal="left" vertical="center"/>
    </xf>
    <xf numFmtId="0" fontId="4" fillId="0" borderId="0" xfId="111" applyFont="1" applyAlignment="1">
      <alignment horizontal="left" vertical="center"/>
    </xf>
    <xf numFmtId="190" fontId="4" fillId="0" borderId="0" xfId="2" applyNumberFormat="1" applyFont="1" applyFill="1" applyBorder="1" applyAlignment="1">
      <alignment horizontal="right" vertical="center"/>
    </xf>
    <xf numFmtId="164" fontId="4" fillId="0" borderId="0" xfId="2" applyNumberFormat="1" applyFont="1" applyFill="1" applyBorder="1" applyAlignment="1">
      <alignment horizontal="right" vertical="center"/>
    </xf>
    <xf numFmtId="191" fontId="6" fillId="0" borderId="0" xfId="2" applyNumberFormat="1" applyFont="1" applyFill="1" applyBorder="1" applyAlignment="1">
      <alignment horizontal="right" vertical="center"/>
    </xf>
    <xf numFmtId="191" fontId="4" fillId="0" borderId="0" xfId="2" applyNumberFormat="1" applyFont="1" applyFill="1" applyBorder="1" applyAlignment="1">
      <alignment horizontal="right" vertical="center"/>
    </xf>
    <xf numFmtId="191" fontId="7" fillId="0" borderId="0" xfId="2" applyNumberFormat="1" applyFont="1" applyFill="1" applyBorder="1" applyAlignment="1">
      <alignment horizontal="right" vertical="center"/>
    </xf>
    <xf numFmtId="164" fontId="6" fillId="0" borderId="0" xfId="2" applyNumberFormat="1" applyFont="1" applyFill="1" applyBorder="1" applyAlignment="1">
      <alignment horizontal="right" vertical="center"/>
    </xf>
    <xf numFmtId="192" fontId="6" fillId="0" borderId="0" xfId="2" applyNumberFormat="1" applyFont="1" applyFill="1" applyBorder="1" applyAlignment="1">
      <alignment horizontal="right" vertical="center"/>
    </xf>
    <xf numFmtId="164" fontId="5" fillId="0" borderId="0" xfId="111" applyNumberFormat="1" applyFont="1" applyAlignment="1">
      <alignment horizontal="right" vertical="center"/>
    </xf>
    <xf numFmtId="192" fontId="5" fillId="0" borderId="0" xfId="2" applyNumberFormat="1" applyFont="1" applyFill="1" applyBorder="1" applyAlignment="1">
      <alignment horizontal="right" vertical="center"/>
    </xf>
    <xf numFmtId="3" fontId="5" fillId="0" borderId="0" xfId="112" applyNumberFormat="1" applyFont="1" applyAlignment="1" applyProtection="1">
      <alignment horizontal="left" vertical="center"/>
      <protection locked="0"/>
    </xf>
    <xf numFmtId="164" fontId="5" fillId="0" borderId="0" xfId="48" applyNumberFormat="1" applyFont="1" applyAlignment="1">
      <alignment horizontal="right" vertical="center"/>
    </xf>
    <xf numFmtId="3" fontId="5" fillId="0" borderId="0" xfId="48" applyNumberFormat="1" applyFont="1" applyAlignment="1" applyProtection="1">
      <alignment horizontal="left" vertical="center" wrapText="1"/>
      <protection locked="0"/>
    </xf>
    <xf numFmtId="3" fontId="5" fillId="0" borderId="0" xfId="48" applyNumberFormat="1" applyFont="1" applyAlignment="1" applyProtection="1">
      <alignment vertical="center" wrapText="1"/>
      <protection locked="0"/>
    </xf>
    <xf numFmtId="0" fontId="7" fillId="0" borderId="0" xfId="113" applyFont="1" applyAlignment="1">
      <alignment vertical="center"/>
    </xf>
    <xf numFmtId="0" fontId="48" fillId="0" borderId="0" xfId="113" applyFont="1" applyAlignment="1">
      <alignment vertical="center"/>
    </xf>
    <xf numFmtId="0" fontId="48" fillId="0" borderId="0" xfId="48" applyFont="1" applyAlignment="1">
      <alignment vertical="center"/>
    </xf>
    <xf numFmtId="0" fontId="48" fillId="0" borderId="0" xfId="48" applyFont="1"/>
    <xf numFmtId="0" fontId="6" fillId="0" borderId="0" xfId="113" applyFont="1" applyAlignment="1">
      <alignment vertical="center" wrapText="1"/>
    </xf>
    <xf numFmtId="0" fontId="6" fillId="0" borderId="0" xfId="113" applyFont="1" applyAlignment="1">
      <alignment vertical="center"/>
    </xf>
    <xf numFmtId="0" fontId="6" fillId="0" borderId="0" xfId="113" applyFont="1" applyAlignment="1">
      <alignment horizontal="center" vertical="center" wrapText="1"/>
    </xf>
    <xf numFmtId="164" fontId="6" fillId="0" borderId="0" xfId="113" applyNumberFormat="1" applyFont="1" applyAlignment="1">
      <alignment vertical="center" wrapText="1"/>
    </xf>
    <xf numFmtId="164" fontId="6" fillId="0" borderId="0" xfId="2" applyNumberFormat="1" applyFont="1" applyFill="1" applyBorder="1" applyAlignment="1">
      <alignment horizontal="right" vertical="center" wrapText="1"/>
    </xf>
    <xf numFmtId="3" fontId="5" fillId="0" borderId="0" xfId="114" applyNumberFormat="1" applyFont="1" applyAlignment="1" applyProtection="1">
      <alignment horizontal="left" vertical="center"/>
      <protection locked="0"/>
    </xf>
    <xf numFmtId="164" fontId="5" fillId="0" borderId="0" xfId="114" applyNumberFormat="1" applyFont="1" applyAlignment="1" applyProtection="1">
      <alignment horizontal="right" vertical="center"/>
      <protection locked="0"/>
    </xf>
    <xf numFmtId="164" fontId="5" fillId="0" borderId="0" xfId="48" applyNumberFormat="1" applyFont="1" applyAlignment="1" applyProtection="1">
      <alignment horizontal="right" vertical="center" wrapText="1"/>
      <protection locked="0"/>
    </xf>
    <xf numFmtId="164" fontId="5" fillId="0" borderId="0" xfId="113" applyNumberFormat="1" applyFont="1" applyAlignment="1">
      <alignment horizontal="right" vertical="center"/>
    </xf>
    <xf numFmtId="164" fontId="5" fillId="0" borderId="0" xfId="113" applyNumberFormat="1" applyFont="1" applyAlignment="1">
      <alignment vertical="center"/>
    </xf>
    <xf numFmtId="164" fontId="5" fillId="0" borderId="0" xfId="113" applyNumberFormat="1" applyFont="1" applyAlignment="1">
      <alignment horizontal="right" vertical="center" wrapText="1"/>
    </xf>
    <xf numFmtId="3" fontId="5" fillId="0" borderId="0" xfId="48" applyNumberFormat="1" applyFont="1" applyAlignment="1" applyProtection="1">
      <alignment horizontal="right" vertical="center"/>
      <protection locked="0"/>
    </xf>
    <xf numFmtId="0" fontId="5" fillId="0" borderId="0" xfId="113" applyFont="1" applyAlignment="1">
      <alignment horizontal="right" vertical="center"/>
    </xf>
    <xf numFmtId="3" fontId="5" fillId="0" borderId="0" xfId="113" applyNumberFormat="1" applyFont="1" applyAlignment="1">
      <alignment horizontal="right" vertical="center"/>
    </xf>
    <xf numFmtId="178" fontId="5" fillId="0" borderId="0" xfId="113" applyNumberFormat="1" applyFont="1" applyAlignment="1">
      <alignment horizontal="right" vertical="center"/>
    </xf>
    <xf numFmtId="3" fontId="5" fillId="0" borderId="0" xfId="48" applyNumberFormat="1" applyFont="1" applyAlignment="1" applyProtection="1">
      <alignment horizontal="right" vertical="center" wrapText="1"/>
      <protection locked="0"/>
    </xf>
    <xf numFmtId="0" fontId="5" fillId="0" borderId="0" xfId="113" applyFont="1" applyAlignment="1">
      <alignment horizontal="right" vertical="center" wrapText="1"/>
    </xf>
    <xf numFmtId="3" fontId="5" fillId="0" borderId="0" xfId="113" applyNumberFormat="1" applyFont="1" applyAlignment="1">
      <alignment horizontal="right" vertical="center" wrapText="1"/>
    </xf>
    <xf numFmtId="178" fontId="5" fillId="0" borderId="0" xfId="113" applyNumberFormat="1" applyFont="1" applyAlignment="1">
      <alignment horizontal="right" vertical="center" wrapText="1"/>
    </xf>
    <xf numFmtId="177" fontId="5" fillId="0" borderId="0" xfId="113" applyNumberFormat="1" applyFont="1" applyAlignment="1">
      <alignment horizontal="right" vertical="center" wrapText="1"/>
    </xf>
    <xf numFmtId="0" fontId="7" fillId="0" borderId="0" xfId="115" applyFont="1" applyAlignment="1">
      <alignment vertical="center"/>
    </xf>
    <xf numFmtId="0" fontId="4" fillId="0" borderId="1" xfId="115" applyFont="1" applyBorder="1" applyAlignment="1">
      <alignment horizontal="center" vertical="center" wrapText="1"/>
    </xf>
    <xf numFmtId="0" fontId="4" fillId="0" borderId="1" xfId="115" applyFont="1" applyBorder="1" applyAlignment="1">
      <alignment horizontal="justify" vertical="center" wrapText="1"/>
    </xf>
    <xf numFmtId="0" fontId="7" fillId="0" borderId="1" xfId="115" applyFont="1" applyBorder="1" applyAlignment="1">
      <alignment horizontal="center" vertical="center" wrapText="1"/>
    </xf>
    <xf numFmtId="0" fontId="7" fillId="0" borderId="1" xfId="115" applyFont="1" applyBorder="1" applyAlignment="1">
      <alignment horizontal="justify" vertical="center" wrapText="1"/>
    </xf>
    <xf numFmtId="0" fontId="4" fillId="0" borderId="1" xfId="115" applyFont="1" applyBorder="1" applyAlignment="1">
      <alignment horizontal="center" vertical="center"/>
    </xf>
    <xf numFmtId="0" fontId="4" fillId="0" borderId="1" xfId="115" applyFont="1" applyBorder="1" applyAlignment="1">
      <alignment horizontal="center" vertical="center" wrapText="1"/>
    </xf>
    <xf numFmtId="0" fontId="4" fillId="0" borderId="0" xfId="115" applyFont="1" applyAlignment="1">
      <alignment horizontal="left" vertical="center" wrapText="1"/>
    </xf>
    <xf numFmtId="0" fontId="7" fillId="0" borderId="0" xfId="115" applyFont="1" applyAlignment="1">
      <alignment horizontal="justify" vertical="center" wrapText="1"/>
    </xf>
    <xf numFmtId="164" fontId="4" fillId="0" borderId="0" xfId="115" applyNumberFormat="1" applyFont="1" applyAlignment="1">
      <alignment horizontal="center" vertical="center"/>
    </xf>
    <xf numFmtId="0" fontId="7" fillId="0" borderId="0" xfId="115" applyFont="1" applyAlignment="1">
      <alignment vertical="center" wrapText="1"/>
    </xf>
    <xf numFmtId="164" fontId="7" fillId="0" borderId="0" xfId="115" applyNumberFormat="1" applyFont="1" applyAlignment="1">
      <alignment vertical="center"/>
    </xf>
    <xf numFmtId="164" fontId="7" fillId="0" borderId="0" xfId="115" applyNumberFormat="1" applyFont="1" applyAlignment="1">
      <alignment horizontal="right" vertical="center"/>
    </xf>
    <xf numFmtId="0" fontId="4" fillId="0" borderId="0" xfId="115" applyFont="1" applyAlignment="1">
      <alignment horizontal="center" vertical="center"/>
    </xf>
    <xf numFmtId="166" fontId="4" fillId="0" borderId="0" xfId="2" applyNumberFormat="1" applyFont="1" applyFill="1" applyBorder="1" applyAlignment="1">
      <alignment vertical="center"/>
    </xf>
    <xf numFmtId="191" fontId="4" fillId="0" borderId="0" xfId="2" applyNumberFormat="1" applyFont="1" applyFill="1" applyBorder="1" applyAlignment="1">
      <alignment vertical="center"/>
    </xf>
    <xf numFmtId="0" fontId="7" fillId="0" borderId="0" xfId="115" applyFont="1" applyAlignment="1">
      <alignment horizontal="left" vertical="center"/>
    </xf>
    <xf numFmtId="0" fontId="4" fillId="0" borderId="0" xfId="115" applyFont="1" applyAlignment="1">
      <alignment horizontal="left" vertical="center" wrapText="1"/>
    </xf>
    <xf numFmtId="0" fontId="4" fillId="0" borderId="0" xfId="115" applyFont="1" applyAlignment="1">
      <alignment horizontal="left" vertical="center"/>
    </xf>
    <xf numFmtId="164" fontId="4" fillId="0" borderId="0" xfId="2" applyNumberFormat="1" applyFont="1" applyFill="1" applyBorder="1" applyAlignment="1">
      <alignment vertical="center"/>
    </xf>
    <xf numFmtId="164" fontId="7" fillId="0" borderId="0" xfId="48" applyNumberFormat="1" applyFont="1" applyAlignment="1">
      <alignment vertical="center"/>
    </xf>
    <xf numFmtId="164" fontId="7" fillId="0" borderId="0" xfId="2" applyNumberFormat="1" applyFont="1" applyFill="1" applyBorder="1" applyAlignment="1">
      <alignment vertical="center"/>
    </xf>
    <xf numFmtId="164" fontId="22" fillId="0" borderId="0" xfId="48" applyNumberFormat="1" applyFont="1" applyAlignment="1">
      <alignment vertical="center"/>
    </xf>
    <xf numFmtId="177" fontId="7" fillId="0" borderId="0" xfId="48" applyNumberFormat="1" applyFont="1" applyAlignment="1">
      <alignment vertical="center"/>
    </xf>
    <xf numFmtId="0" fontId="7" fillId="0" borderId="0" xfId="115" applyFont="1" applyAlignment="1">
      <alignment horizontal="right" vertical="center"/>
    </xf>
    <xf numFmtId="175" fontId="7" fillId="0" borderId="0" xfId="115" applyNumberFormat="1" applyFont="1" applyAlignment="1">
      <alignment horizontal="right" vertical="center"/>
    </xf>
    <xf numFmtId="191" fontId="7" fillId="0" borderId="0" xfId="2" applyNumberFormat="1" applyFont="1" applyFill="1" applyBorder="1" applyAlignment="1">
      <alignment vertical="center"/>
    </xf>
    <xf numFmtId="0" fontId="7" fillId="6" borderId="0" xfId="115" applyFont="1" applyFill="1" applyAlignment="1">
      <alignment horizontal="right" vertical="center"/>
    </xf>
    <xf numFmtId="175" fontId="7" fillId="6" borderId="0" xfId="115" applyNumberFormat="1" applyFont="1" applyFill="1" applyAlignment="1">
      <alignment horizontal="right" vertical="center"/>
    </xf>
    <xf numFmtId="0" fontId="6" fillId="0" borderId="1" xfId="113" applyFont="1" applyBorder="1" applyAlignment="1">
      <alignment horizontal="center" vertical="center" wrapText="1"/>
    </xf>
    <xf numFmtId="0" fontId="6" fillId="0" borderId="3" xfId="113" applyFont="1" applyBorder="1" applyAlignment="1">
      <alignment horizontal="center" vertical="center"/>
    </xf>
    <xf numFmtId="0" fontId="6" fillId="0" borderId="4" xfId="113" applyFont="1" applyBorder="1" applyAlignment="1">
      <alignment horizontal="center" vertical="center"/>
    </xf>
    <xf numFmtId="0" fontId="6" fillId="0" borderId="5" xfId="113" applyFont="1" applyBorder="1" applyAlignment="1">
      <alignment vertical="center"/>
    </xf>
    <xf numFmtId="0" fontId="6" fillId="0" borderId="5" xfId="113" applyFont="1" applyBorder="1" applyAlignment="1">
      <alignment horizontal="center" vertical="center"/>
    </xf>
    <xf numFmtId="0" fontId="6" fillId="0" borderId="1" xfId="113" applyFont="1" applyBorder="1" applyAlignment="1">
      <alignment horizontal="center" vertical="center" wrapText="1"/>
    </xf>
    <xf numFmtId="0" fontId="7" fillId="0" borderId="0" xfId="116" applyFont="1" applyAlignment="1">
      <alignment vertical="center"/>
    </xf>
    <xf numFmtId="0" fontId="4" fillId="0" borderId="1" xfId="116" applyFont="1" applyBorder="1" applyAlignment="1">
      <alignment horizontal="center" vertical="center" wrapText="1"/>
    </xf>
    <xf numFmtId="0" fontId="6" fillId="0" borderId="1" xfId="116" applyFont="1" applyBorder="1" applyAlignment="1">
      <alignment horizontal="center" vertical="center"/>
    </xf>
    <xf numFmtId="0" fontId="4" fillId="0" borderId="1" xfId="116" applyFont="1" applyBorder="1" applyAlignment="1">
      <alignment horizontal="center" vertical="center" wrapText="1"/>
    </xf>
    <xf numFmtId="0" fontId="4" fillId="0" borderId="1" xfId="116" applyFont="1" applyBorder="1" applyAlignment="1">
      <alignment horizontal="center" vertical="center"/>
    </xf>
    <xf numFmtId="0" fontId="4" fillId="0" borderId="0" xfId="116" applyFont="1" applyAlignment="1">
      <alignment vertical="center"/>
    </xf>
    <xf numFmtId="0" fontId="4" fillId="0" borderId="0" xfId="116" applyFont="1" applyAlignment="1">
      <alignment vertical="center" wrapText="1"/>
    </xf>
    <xf numFmtId="3" fontId="4" fillId="0" borderId="0" xfId="116" applyNumberFormat="1" applyFont="1" applyAlignment="1">
      <alignment vertical="center"/>
    </xf>
    <xf numFmtId="0" fontId="7" fillId="0" borderId="0" xfId="116" applyFont="1" applyAlignment="1">
      <alignment vertical="center" wrapText="1"/>
    </xf>
    <xf numFmtId="175" fontId="7" fillId="0" borderId="0" xfId="116" applyNumberFormat="1" applyFont="1" applyAlignment="1">
      <alignment vertical="center"/>
    </xf>
    <xf numFmtId="0" fontId="4" fillId="0" borderId="1" xfId="117" applyFont="1" applyBorder="1" applyAlignment="1">
      <alignment horizontal="center" vertical="center" wrapText="1"/>
    </xf>
    <xf numFmtId="0" fontId="4" fillId="0" borderId="1" xfId="117" applyFont="1" applyBorder="1" applyAlignment="1">
      <alignment horizontal="center" vertical="center"/>
    </xf>
    <xf numFmtId="0" fontId="4" fillId="0" borderId="0" xfId="117" applyFont="1" applyAlignment="1">
      <alignment vertical="center" wrapText="1"/>
    </xf>
    <xf numFmtId="164" fontId="4" fillId="0" borderId="0" xfId="117" applyNumberFormat="1" applyFont="1" applyAlignment="1">
      <alignment vertical="center"/>
    </xf>
    <xf numFmtId="0" fontId="7" fillId="0" borderId="0" xfId="117" applyFont="1" applyAlignment="1">
      <alignment horizontal="left" vertical="center" indent="3"/>
    </xf>
    <xf numFmtId="164" fontId="7" fillId="0" borderId="0" xfId="117" applyNumberFormat="1" applyFont="1" applyAlignment="1">
      <alignment vertical="center"/>
    </xf>
    <xf numFmtId="0" fontId="4" fillId="0" borderId="0" xfId="117" applyFont="1" applyAlignment="1">
      <alignment vertical="center"/>
    </xf>
    <xf numFmtId="164" fontId="5" fillId="0" borderId="0" xfId="117" applyNumberFormat="1" applyFont="1" applyAlignment="1">
      <alignment vertical="center"/>
    </xf>
    <xf numFmtId="164" fontId="7" fillId="0" borderId="0" xfId="117" applyNumberFormat="1" applyFont="1" applyAlignment="1">
      <alignment horizontal="right" vertical="center"/>
    </xf>
    <xf numFmtId="0" fontId="24" fillId="0" borderId="0" xfId="117" applyFont="1" applyAlignment="1">
      <alignment horizontal="left" vertical="center" wrapText="1"/>
    </xf>
    <xf numFmtId="0" fontId="24" fillId="0" borderId="0" xfId="117" applyFont="1" applyAlignment="1">
      <alignment horizontal="left" vertical="center" wrapText="1"/>
    </xf>
    <xf numFmtId="0" fontId="33" fillId="0" borderId="0" xfId="48" applyFont="1" applyAlignment="1">
      <alignment vertical="center"/>
    </xf>
    <xf numFmtId="0" fontId="5" fillId="0" borderId="0" xfId="0" applyFont="1" applyAlignment="1">
      <alignment horizontal="right" wrapText="1"/>
    </xf>
    <xf numFmtId="3" fontId="5" fillId="0" borderId="0" xfId="118" applyNumberFormat="1" applyFont="1" applyAlignment="1" applyProtection="1">
      <alignment horizontal="left" vertical="center"/>
      <protection locked="0"/>
    </xf>
    <xf numFmtId="3" fontId="7" fillId="0" borderId="0" xfId="0" applyNumberFormat="1" applyFont="1" applyAlignment="1">
      <alignment horizontal="right"/>
    </xf>
    <xf numFmtId="0" fontId="5" fillId="0" borderId="0" xfId="48" applyFont="1" applyAlignment="1">
      <alignment horizontal="right"/>
    </xf>
    <xf numFmtId="166" fontId="6" fillId="0" borderId="0" xfId="2" applyNumberFormat="1" applyFont="1" applyFill="1" applyAlignment="1">
      <alignment horizontal="right"/>
    </xf>
    <xf numFmtId="166" fontId="5" fillId="0" borderId="0" xfId="0" applyNumberFormat="1" applyFont="1"/>
    <xf numFmtId="3" fontId="7" fillId="0" borderId="0" xfId="48" applyNumberFormat="1" applyFont="1" applyAlignment="1">
      <alignment horizontal="right"/>
    </xf>
    <xf numFmtId="166" fontId="5" fillId="0" borderId="0" xfId="0" applyNumberFormat="1" applyFont="1" applyAlignment="1">
      <alignment horizontal="right"/>
    </xf>
    <xf numFmtId="3" fontId="7" fillId="0" borderId="0" xfId="48" applyNumberFormat="1" applyFont="1"/>
    <xf numFmtId="166" fontId="6" fillId="0" borderId="1" xfId="2" applyNumberFormat="1" applyFont="1" applyFill="1" applyBorder="1" applyAlignment="1">
      <alignment horizontal="center" vertical="center"/>
    </xf>
    <xf numFmtId="166" fontId="5" fillId="0" borderId="0" xfId="2" applyNumberFormat="1" applyFont="1" applyFill="1" applyAlignment="1">
      <alignment vertical="center"/>
    </xf>
    <xf numFmtId="0" fontId="5" fillId="0" borderId="0" xfId="48" applyFont="1" applyAlignment="1">
      <alignment horizontal="right" vertical="center"/>
    </xf>
    <xf numFmtId="0" fontId="4" fillId="0" borderId="0" xfId="0" applyFont="1" applyAlignment="1">
      <alignment vertical="center" wrapText="1"/>
    </xf>
    <xf numFmtId="3" fontId="4" fillId="0" borderId="0" xfId="2" applyNumberFormat="1" applyFont="1" applyFill="1" applyBorder="1" applyAlignment="1">
      <alignment vertical="center" wrapText="1"/>
    </xf>
    <xf numFmtId="166" fontId="4" fillId="0" borderId="0" xfId="2" applyNumberFormat="1" applyFont="1" applyFill="1" applyBorder="1" applyAlignment="1">
      <alignment vertical="center" wrapText="1"/>
    </xf>
    <xf numFmtId="3" fontId="7" fillId="0" borderId="0" xfId="2" applyNumberFormat="1" applyFont="1" applyFill="1" applyBorder="1" applyAlignment="1">
      <alignment horizontal="right" vertical="center"/>
    </xf>
    <xf numFmtId="1" fontId="7" fillId="0" borderId="0" xfId="2" applyNumberFormat="1" applyFont="1" applyFill="1" applyBorder="1" applyAlignment="1">
      <alignment horizontal="right" vertical="center"/>
    </xf>
    <xf numFmtId="0" fontId="6" fillId="0" borderId="0" xfId="48" applyFont="1" applyAlignment="1">
      <alignment vertical="top"/>
    </xf>
    <xf numFmtId="0" fontId="6" fillId="0" borderId="0" xfId="48" applyFont="1" applyAlignment="1">
      <alignment vertical="top" wrapText="1"/>
    </xf>
    <xf numFmtId="3" fontId="5" fillId="0" borderId="0" xfId="0" quotePrefix="1" applyNumberFormat="1" applyFont="1" applyAlignment="1" applyProtection="1">
      <alignment horizontal="left" vertical="center"/>
      <protection locked="0"/>
    </xf>
    <xf numFmtId="3" fontId="5" fillId="0" borderId="0" xfId="0" quotePrefix="1" applyNumberFormat="1" applyFont="1" applyAlignment="1" applyProtection="1">
      <alignment vertical="center"/>
      <protection locked="0"/>
    </xf>
    <xf numFmtId="164" fontId="5" fillId="0" borderId="0" xfId="119" applyNumberFormat="1" applyFont="1" applyAlignment="1">
      <alignment horizontal="right"/>
    </xf>
    <xf numFmtId="0" fontId="4" fillId="0" borderId="1" xfId="0" applyFont="1" applyBorder="1" applyAlignment="1">
      <alignment horizontal="center" vertical="center" wrapText="1"/>
    </xf>
    <xf numFmtId="3" fontId="5" fillId="0" borderId="0" xfId="120" applyNumberFormat="1" applyFont="1" applyAlignment="1" applyProtection="1">
      <alignment horizontal="left" vertical="center"/>
      <protection locked="0"/>
    </xf>
    <xf numFmtId="0" fontId="16" fillId="0" borderId="0" xfId="0" applyFont="1"/>
    <xf numFmtId="0" fontId="16" fillId="0" borderId="0" xfId="0" applyFont="1" applyAlignment="1">
      <alignment vertical="center"/>
    </xf>
    <xf numFmtId="0" fontId="6" fillId="0" borderId="8" xfId="0" applyFont="1" applyBorder="1" applyAlignment="1">
      <alignment horizontal="left" vertical="top" wrapText="1"/>
    </xf>
    <xf numFmtId="0" fontId="23" fillId="0" borderId="0" xfId="0" applyFont="1" applyAlignment="1">
      <alignment horizontal="center" vertical="center"/>
    </xf>
    <xf numFmtId="0" fontId="23" fillId="0" borderId="1" xfId="0" applyFont="1" applyBorder="1" applyAlignment="1">
      <alignment horizontal="center" vertical="center" wrapText="1"/>
    </xf>
    <xf numFmtId="0" fontId="0" fillId="0" borderId="1" xfId="0" applyBorder="1"/>
    <xf numFmtId="0" fontId="15" fillId="0" borderId="0" xfId="39" applyFont="1" applyAlignment="1" applyProtection="1"/>
    <xf numFmtId="0" fontId="28" fillId="0" borderId="0" xfId="38" applyFont="1" applyAlignment="1" applyProtection="1"/>
  </cellXfs>
  <cellStyles count="121">
    <cellStyle name="20% - Énfasis1 2" xfId="32" xr:uid="{00000000-0005-0000-0000-000000000000}"/>
    <cellStyle name="20% - Énfasis3 2" xfId="30" xr:uid="{00000000-0005-0000-0000-000001000000}"/>
    <cellStyle name="20% - Énfasis6 2" xfId="33" xr:uid="{00000000-0005-0000-0000-000002000000}"/>
    <cellStyle name="Énfasis2 2" xfId="31" xr:uid="{00000000-0005-0000-0000-000003000000}"/>
    <cellStyle name="Hipervínculo" xfId="38" builtinId="8"/>
    <cellStyle name="Hipervínculo 2" xfId="39" xr:uid="{05346CAC-3BE4-499F-B2BC-46A5B7A58CF8}"/>
    <cellStyle name="Millares 2" xfId="2" xr:uid="{00000000-0005-0000-0000-000005000000}"/>
    <cellStyle name="Moneda 2" xfId="61" xr:uid="{21D8313E-BE2E-436F-AF07-04A86FC993B9}"/>
    <cellStyle name="Normal" xfId="0" builtinId="0"/>
    <cellStyle name="Normal 10" xfId="5" xr:uid="{00000000-0005-0000-0000-000007000000}"/>
    <cellStyle name="Normal 10_Cultura y Tiempo libre 2011 base 2012 PGM - EMV  2013" xfId="48" xr:uid="{25240144-3F94-49CA-B72B-134B405D0E60}"/>
    <cellStyle name="Normal 14" xfId="4" xr:uid="{00000000-0005-0000-0000-000008000000}"/>
    <cellStyle name="Normal 14 2" xfId="43" xr:uid="{C9A373B5-274D-4D26-89DF-87E9C28FF918}"/>
    <cellStyle name="Normal 17" xfId="71" xr:uid="{C29A2FB5-776B-4653-935F-099A540C12E5}"/>
    <cellStyle name="Normal 18" xfId="109" xr:uid="{B60A1B94-0525-4A13-8BCF-5595EBAD251F}"/>
    <cellStyle name="Normal 2 18" xfId="8" xr:uid="{00000000-0005-0000-0000-000009000000}"/>
    <cellStyle name="Normal 2 2 3_Cultura y Tiempo libre 2011 base 2012 PGM - EMV  2013" xfId="11" xr:uid="{00000000-0005-0000-0000-00000A000000}"/>
    <cellStyle name="Normal 20" xfId="23" xr:uid="{00000000-0005-0000-0000-00000B000000}"/>
    <cellStyle name="Normal 22 2" xfId="116" xr:uid="{19F1D963-16E9-4385-A1CB-34072BDBB0F9}"/>
    <cellStyle name="Normal 26" xfId="111" xr:uid="{E3C07EEF-A4AB-41D7-B93C-492C50FAF0BD}"/>
    <cellStyle name="Normal 27" xfId="115" xr:uid="{1C48C885-ED4E-4EC9-956A-E77E92CA550C}"/>
    <cellStyle name="Normal 28" xfId="113" xr:uid="{890D1FDC-B3C3-4B2A-857E-ABB206E64006}"/>
    <cellStyle name="Normal 29 2" xfId="117" xr:uid="{FAD4CFEA-87F3-423D-8A3B-42BD4DEB498A}"/>
    <cellStyle name="Normal 3 10" xfId="36" xr:uid="{00000000-0005-0000-0000-00000C000000}"/>
    <cellStyle name="Normal 32 10" xfId="7" xr:uid="{00000000-0005-0000-0000-00000D000000}"/>
    <cellStyle name="Normal 32 2" xfId="103" xr:uid="{AFF2D5F1-EBD6-4A4F-B898-A62AEA6C0BFA}"/>
    <cellStyle name="Normal 32 21" xfId="63" xr:uid="{4B7FE3F9-3CBC-49F0-B4B6-376089AC78D3}"/>
    <cellStyle name="Normal 32 22" xfId="64" xr:uid="{1167406A-E48E-4092-81E3-2E7F17CF23FA}"/>
    <cellStyle name="Normal 32 23" xfId="65" xr:uid="{32C061AC-2AC5-48D1-B85F-9E426DBA416D}"/>
    <cellStyle name="Normal 32 24" xfId="66" xr:uid="{CE558BFF-B025-48F5-8803-201F3A594CBE}"/>
    <cellStyle name="Normal 32 25" xfId="67" xr:uid="{4C7B302C-D3D9-4F54-A264-912EA0C85547}"/>
    <cellStyle name="Normal 32 26" xfId="68" xr:uid="{B04D3B3D-6C7B-454E-ADB7-8B3A81FC27FA}"/>
    <cellStyle name="Normal 32 27" xfId="77" xr:uid="{1B003ED2-74E6-476F-85F3-B537D8878A1F}"/>
    <cellStyle name="Normal 32 28" xfId="78" xr:uid="{9DEAFFBF-E1B9-4B32-B7AA-ED8FE0928EE2}"/>
    <cellStyle name="Normal 32 29" xfId="6" xr:uid="{00000000-0005-0000-0000-00000E000000}"/>
    <cellStyle name="Normal 32 3" xfId="105" xr:uid="{473BE00E-FA74-4CFA-AE1C-90D3533F4260}"/>
    <cellStyle name="Normal 32 30" xfId="69" xr:uid="{C6D8182F-8F19-4A65-B48B-DA46C6F7F1EE}"/>
    <cellStyle name="Normal 32 31" xfId="59" xr:uid="{8A418A31-00B4-425F-990C-FD3BDAF2F210}"/>
    <cellStyle name="Normal 32 33" xfId="72" xr:uid="{3462A051-9391-43BB-B833-2BF8055B3C7C}"/>
    <cellStyle name="Normal 32 34" xfId="73" xr:uid="{CDD7971F-720B-45DE-97E0-A3CC1171D81C}"/>
    <cellStyle name="Normal 32 35" xfId="74" xr:uid="{330F2BB6-CC06-4436-BEB8-791D427332B2}"/>
    <cellStyle name="Normal 32 36" xfId="75" xr:uid="{A2179483-395C-4023-99C7-1DDDD948856B}"/>
    <cellStyle name="Normal 32 37" xfId="19" xr:uid="{00000000-0005-0000-0000-00000F000000}"/>
    <cellStyle name="Normal 32 38" xfId="21" xr:uid="{00000000-0005-0000-0000-000010000000}"/>
    <cellStyle name="Normal 32 39" xfId="22" xr:uid="{00000000-0005-0000-0000-000011000000}"/>
    <cellStyle name="Normal 32 4" xfId="99" xr:uid="{F5A55570-409B-453C-9486-68115B1E7EDB}"/>
    <cellStyle name="Normal 32 40" xfId="24" xr:uid="{00000000-0005-0000-0000-000012000000}"/>
    <cellStyle name="Normal 32 41" xfId="17" xr:uid="{00000000-0005-0000-0000-000013000000}"/>
    <cellStyle name="Normal 32 43" xfId="76" xr:uid="{A95669D4-AFCF-4B7E-B7D3-83E32EBE742B}"/>
    <cellStyle name="Normal 32 44" xfId="20" xr:uid="{00000000-0005-0000-0000-000014000000}"/>
    <cellStyle name="Normal 32 45" xfId="25" xr:uid="{00000000-0005-0000-0000-000015000000}"/>
    <cellStyle name="Normal 32 46" xfId="26" xr:uid="{00000000-0005-0000-0000-000016000000}"/>
    <cellStyle name="Normal 32 47" xfId="27" xr:uid="{00000000-0005-0000-0000-000017000000}"/>
    <cellStyle name="Normal 32 48" xfId="110" xr:uid="{876157C5-664E-4870-B27E-89BFD40D18AB}"/>
    <cellStyle name="Normal 32 49" xfId="112" xr:uid="{833F9D15-3E91-4993-BAFD-38F0BB95A269}"/>
    <cellStyle name="Normal 32 5" xfId="101" xr:uid="{BA5BF8BB-3578-4F1A-A556-08098D2689DC}"/>
    <cellStyle name="Normal 32 50" xfId="114" xr:uid="{E9FED024-6BCE-4CD7-9627-636F9BB02E15}"/>
    <cellStyle name="Normal 32 51" xfId="29" xr:uid="{00000000-0005-0000-0000-000018000000}"/>
    <cellStyle name="Normal 32 52" xfId="118" xr:uid="{6B00A395-5F07-44C7-A9F3-8F74EB5C371B}"/>
    <cellStyle name="Normal 32 53" xfId="120" xr:uid="{DFDDB5E4-156E-48DC-B430-3CB524C61CC4}"/>
    <cellStyle name="Normal 32 57" xfId="81" xr:uid="{7B4DA22A-52B2-415D-865B-DD914E6EC89F}"/>
    <cellStyle name="Normal 32 58" xfId="82" xr:uid="{E5B38A4B-01A2-4B9F-A08A-D1F75699E48D}"/>
    <cellStyle name="Normal 32 59" xfId="83" xr:uid="{ED0BFA9A-760E-4815-ADB8-C19966BC5CC4}"/>
    <cellStyle name="Normal 32 6" xfId="106" xr:uid="{63862A7F-6CB9-45AB-A633-D36F6F6F3524}"/>
    <cellStyle name="Normal 32 60" xfId="84" xr:uid="{4F4F3C95-B974-4EB2-AA2A-537242BA5719}"/>
    <cellStyle name="Normal 32 61" xfId="85" xr:uid="{B08DD79D-7010-4CBB-AB0B-B8408A4E2507}"/>
    <cellStyle name="Normal 32 63" xfId="86" xr:uid="{C72FA8C4-DCF0-4BCB-9915-71B781951585}"/>
    <cellStyle name="Normal 32 64" xfId="87" xr:uid="{CEA05B56-5B0E-4507-861A-B7A562BBEE16}"/>
    <cellStyle name="Normal 32 65" xfId="88" xr:uid="{C3775105-4F5F-4A97-BF2C-B6330C22F6C6}"/>
    <cellStyle name="Normal 32 66" xfId="107" xr:uid="{F3E0561E-A348-447A-9018-B3EE227A92F9}"/>
    <cellStyle name="Normal 32 67" xfId="108" xr:uid="{7B2CE6E7-CF20-472F-B642-DB902E0CF975}"/>
    <cellStyle name="Normal 32 68" xfId="89" xr:uid="{5889A90F-4B04-4289-9909-3E6719750C3D}"/>
    <cellStyle name="Normal 32 69" xfId="80" xr:uid="{7F4FD949-9717-4C0C-A0DC-767D63495E04}"/>
    <cellStyle name="Normal 32 7" xfId="100" xr:uid="{03FFD927-0DA2-42FE-BDAD-C481DC970533}"/>
    <cellStyle name="Normal 32 70" xfId="79" xr:uid="{4414240A-4E9B-45B7-9E06-1D462188BFBA}"/>
    <cellStyle name="Normal 32 9 11" xfId="15" xr:uid="{00000000-0005-0000-0000-000019000000}"/>
    <cellStyle name="Normal 32 9 12" xfId="16" xr:uid="{00000000-0005-0000-0000-00001A000000}"/>
    <cellStyle name="Normal 32 9 13" xfId="35" xr:uid="{00000000-0005-0000-0000-00001B000000}"/>
    <cellStyle name="Normal 32 9 3" xfId="34" xr:uid="{00000000-0005-0000-0000-00001C000000}"/>
    <cellStyle name="Normal 32 9 5" xfId="14" xr:uid="{00000000-0005-0000-0000-00001D000000}"/>
    <cellStyle name="Normal 32 9 9" xfId="12" xr:uid="{00000000-0005-0000-0000-00001E000000}"/>
    <cellStyle name="Normal 37" xfId="9" xr:uid="{00000000-0005-0000-0000-00001F000000}"/>
    <cellStyle name="Normal 37 2" xfId="47" xr:uid="{E0F7EEB7-64D2-4F51-991D-7FCB251DE75D}"/>
    <cellStyle name="Normal 40" xfId="3" xr:uid="{00000000-0005-0000-0000-000020000000}"/>
    <cellStyle name="Normal 40 2" xfId="41" xr:uid="{7F87ACBE-9939-4C37-8DEC-3B41EC7307F7}"/>
    <cellStyle name="Normal 41" xfId="1" xr:uid="{00000000-0005-0000-0000-000021000000}"/>
    <cellStyle name="Normal 42" xfId="13" xr:uid="{00000000-0005-0000-0000-000022000000}"/>
    <cellStyle name="Normal 42 2" xfId="50" xr:uid="{CD872D3F-E12B-4707-AFB5-E0405113273B}"/>
    <cellStyle name="Normal 43" xfId="18" xr:uid="{00000000-0005-0000-0000-000023000000}"/>
    <cellStyle name="Normal 5 10" xfId="37" xr:uid="{00000000-0005-0000-0000-000024000000}"/>
    <cellStyle name="Normal_153-02" xfId="98" xr:uid="{F36C0883-33F5-43AC-985E-55441A888B31}"/>
    <cellStyle name="Normal_153-03 compendio 2008" xfId="60" xr:uid="{4A95855C-B990-47C3-8AB4-8A7F9498D323}"/>
    <cellStyle name="Normal_Anuario CTL 2006 al 28 nov 2007" xfId="42" xr:uid="{4A21C085-7DC2-4AD6-A38C-8704A93C869E}"/>
    <cellStyle name="Normal_Anuario CTL 2006 al 28 nov 2007_Informe  Anual Cultura y Tiempo libre 2010 v1 2" xfId="119" xr:uid="{182BDFB9-D8E6-4E17-B721-68FB2FB86BFD}"/>
    <cellStyle name="Normal_Carabineros Estadísticas Apr. y Den. para Anuario de Cultura y Tiempo Libre 2010 2" xfId="51" xr:uid="{5B070DAE-5EA9-453E-A980-94A93333D4D7}"/>
    <cellStyle name="Normal_CINES PORREGIÓN 2005 CALIFICACIÓN CINEMATOGRÁFICA" xfId="102" xr:uid="{5601C88C-8A2E-4ED7-9CD4-EA9F48E597A5}"/>
    <cellStyle name="Normal_CINES PORREGIÓN 2005 MESES" xfId="104" xr:uid="{941C2DD3-7395-4A9B-92F3-883B8E9033B1}"/>
    <cellStyle name="Normal_COMERCIO EXTERIOR 2010 FINAL (2) 2" xfId="45" xr:uid="{98D217C9-ECCE-483C-AB1A-B186CDB90EDD}"/>
    <cellStyle name="Normal_cuadro presupuesto 2006" xfId="49" xr:uid="{6A124F7A-81F5-4D76-8F1F-B97167258C86}"/>
    <cellStyle name="Normal_Cuadros Anuario 2006-INDICADORES TRANSVERSALES" xfId="46" xr:uid="{610586DD-67D4-44E9-A104-EFA9B8052C20}"/>
    <cellStyle name="Normal_Datos 2005" xfId="62" xr:uid="{25E6D564-F8F2-4F18-B70E-CAF9610E2124}"/>
    <cellStyle name="Normal_DELITOS INVEST. POR COMUNAS" xfId="53" xr:uid="{18979875-3E29-49C1-9500-8E25ACB0BEC2}"/>
    <cellStyle name="Normal_FINAL MUTUALES 2010 2" xfId="44" xr:uid="{0FB3520D-5136-41C0-811B-DFDF8CDCB8F4}"/>
    <cellStyle name="Normal_Fondo CNTV oferta y consumo" xfId="96" xr:uid="{D79E9636-8EC5-447D-8BAD-93B6234ABAFC}"/>
    <cellStyle name="Normal_gastos e ingresos radioemisoras" xfId="90" xr:uid="{FE8AF1B9-15C7-446A-AF3D-F45E103018EF}"/>
    <cellStyle name="Normal_Genero oferta y consumo" xfId="92" xr:uid="{CED3A64F-FE36-45E2-96E4-703C9841D63B}"/>
    <cellStyle name="Normal_Hoja1" xfId="70" xr:uid="{50CF9CDE-A652-4A28-B99C-9D9DBEC762C2}"/>
    <cellStyle name="Normal_PDI ANUARIO CULTURA 2010 2" xfId="52" xr:uid="{4F907A07-4AA1-45AE-931C-2994A36A98AC}"/>
    <cellStyle name="Normal_PDI ANUARIO CULTURA 2010_Cultura y Tiempo libre 2011 base 2012 PGM - EMV  2013" xfId="54" xr:uid="{911D4C3B-1659-4475-BDC3-286622B6F84A}"/>
    <cellStyle name="Normal_PDI Anuario Cultura JENADEC 2010" xfId="55" xr:uid="{7073B9ED-52A2-454F-A74A-F05C34ED165C}"/>
    <cellStyle name="Normal_PENAL A INE CAPJ" xfId="56" xr:uid="{197F5EB1-37BB-404E-8A25-2B4915D32DC3}"/>
    <cellStyle name="Normal_PENAL A INE CAPJ 2" xfId="57" xr:uid="{D3212F4C-529F-4066-8B7D-2DAB4E6EE1E6}"/>
    <cellStyle name="Normal_Planilla de Datos BN.xls 2007-2006-2005" xfId="40" xr:uid="{A7743DB3-B5E6-483D-801C-7205D8FC5795}"/>
    <cellStyle name="Normal_Procedencia oferta y consumo" xfId="93" xr:uid="{22413C62-99D8-4006-87E6-00AD7749828F}"/>
    <cellStyle name="Normal_Prog Inf segun Procedencia" xfId="97" xr:uid="{CED15E6F-341C-48CB-8490-C7DD33653A43}"/>
    <cellStyle name="Normal_Prog.Extrnaj. Según Género" xfId="95" xr:uid="{45B048D2-BE0C-4FA2-AF6B-5631B2BD60A8}"/>
    <cellStyle name="Normal_Programación Nac.Segun Genero" xfId="94" xr:uid="{74781372-7BDA-4A2E-AEB6-98EF855E111C}"/>
    <cellStyle name="Normal_Pub Obj oferta y consumo" xfId="91" xr:uid="{0F0D3F87-6370-4855-A97C-0D5F6CB554B4}"/>
    <cellStyle name="Porcentaje 2" xfId="58" xr:uid="{ACB0AC13-8147-4CAE-B9AC-2240ABC14A83}"/>
    <cellStyle name="Porcentual 2" xfId="10" xr:uid="{00000000-0005-0000-0000-000025000000}"/>
    <cellStyle name="Porcentual 2 2" xfId="28" xr:uid="{00000000-0005-0000-0000-000026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303" Type="http://schemas.openxmlformats.org/officeDocument/2006/relationships/worksheet" Target="worksheets/sheet303.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324" Type="http://schemas.openxmlformats.org/officeDocument/2006/relationships/externalLink" Target="externalLinks/externalLink3.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247" Type="http://schemas.openxmlformats.org/officeDocument/2006/relationships/worksheet" Target="worksheets/sheet247.xml"/><Relationship Id="rId107" Type="http://schemas.openxmlformats.org/officeDocument/2006/relationships/worksheet" Target="worksheets/sheet107.xml"/><Relationship Id="rId268" Type="http://schemas.openxmlformats.org/officeDocument/2006/relationships/worksheet" Target="worksheets/sheet268.xml"/><Relationship Id="rId289" Type="http://schemas.openxmlformats.org/officeDocument/2006/relationships/worksheet" Target="worksheets/sheet289.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314" Type="http://schemas.openxmlformats.org/officeDocument/2006/relationships/worksheet" Target="worksheets/sheet314.xml"/><Relationship Id="rId335" Type="http://schemas.openxmlformats.org/officeDocument/2006/relationships/theme" Target="theme/theme1.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58" Type="http://schemas.openxmlformats.org/officeDocument/2006/relationships/worksheet" Target="worksheets/sheet258.xml"/><Relationship Id="rId279" Type="http://schemas.openxmlformats.org/officeDocument/2006/relationships/worksheet" Target="worksheets/sheet279.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worksheet" Target="worksheets/sheet304.xml"/><Relationship Id="rId325" Type="http://schemas.openxmlformats.org/officeDocument/2006/relationships/externalLink" Target="externalLinks/externalLink4.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269" Type="http://schemas.openxmlformats.org/officeDocument/2006/relationships/worksheet" Target="worksheets/sheet269.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280" Type="http://schemas.openxmlformats.org/officeDocument/2006/relationships/worksheet" Target="worksheets/sheet280.xml"/><Relationship Id="rId315" Type="http://schemas.openxmlformats.org/officeDocument/2006/relationships/worksheet" Target="worksheets/sheet315.xml"/><Relationship Id="rId336" Type="http://schemas.openxmlformats.org/officeDocument/2006/relationships/styles" Target="styles.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291" Type="http://schemas.openxmlformats.org/officeDocument/2006/relationships/worksheet" Target="worksheets/sheet291.xml"/><Relationship Id="rId305" Type="http://schemas.openxmlformats.org/officeDocument/2006/relationships/worksheet" Target="worksheets/sheet305.xml"/><Relationship Id="rId326" Type="http://schemas.openxmlformats.org/officeDocument/2006/relationships/externalLink" Target="externalLinks/externalLink5.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281" Type="http://schemas.openxmlformats.org/officeDocument/2006/relationships/worksheet" Target="worksheets/sheet281.xml"/><Relationship Id="rId316" Type="http://schemas.openxmlformats.org/officeDocument/2006/relationships/worksheet" Target="worksheets/sheet316.xml"/><Relationship Id="rId337" Type="http://schemas.openxmlformats.org/officeDocument/2006/relationships/sharedStrings" Target="sharedStrings.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50" Type="http://schemas.openxmlformats.org/officeDocument/2006/relationships/worksheet" Target="worksheets/sheet250.xml"/><Relationship Id="rId271" Type="http://schemas.openxmlformats.org/officeDocument/2006/relationships/worksheet" Target="worksheets/sheet271.xml"/><Relationship Id="rId292" Type="http://schemas.openxmlformats.org/officeDocument/2006/relationships/worksheet" Target="worksheets/sheet292.xml"/><Relationship Id="rId306" Type="http://schemas.openxmlformats.org/officeDocument/2006/relationships/worksheet" Target="worksheets/sheet306.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327" Type="http://schemas.openxmlformats.org/officeDocument/2006/relationships/externalLink" Target="externalLinks/externalLink6.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worksheet" Target="worksheets/sheet240.xml"/><Relationship Id="rId261" Type="http://schemas.openxmlformats.org/officeDocument/2006/relationships/worksheet" Target="worksheets/sheet261.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317" Type="http://schemas.openxmlformats.org/officeDocument/2006/relationships/worksheet" Target="worksheets/sheet317.xml"/><Relationship Id="rId338" Type="http://schemas.openxmlformats.org/officeDocument/2006/relationships/calcChain" Target="calcChain.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worksheet" Target="worksheets/sheet230.xml"/><Relationship Id="rId235" Type="http://schemas.openxmlformats.org/officeDocument/2006/relationships/worksheet" Target="worksheets/sheet235.xml"/><Relationship Id="rId251" Type="http://schemas.openxmlformats.org/officeDocument/2006/relationships/worksheet" Target="worksheets/sheet251.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worksheet" Target="worksheets/sheet298.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72" Type="http://schemas.openxmlformats.org/officeDocument/2006/relationships/worksheet" Target="worksheets/sheet272.xml"/><Relationship Id="rId293" Type="http://schemas.openxmlformats.org/officeDocument/2006/relationships/worksheet" Target="worksheets/sheet293.xml"/><Relationship Id="rId302" Type="http://schemas.openxmlformats.org/officeDocument/2006/relationships/worksheet" Target="worksheets/sheet302.xml"/><Relationship Id="rId307" Type="http://schemas.openxmlformats.org/officeDocument/2006/relationships/worksheet" Target="worksheets/sheet307.xml"/><Relationship Id="rId323" Type="http://schemas.openxmlformats.org/officeDocument/2006/relationships/externalLink" Target="externalLinks/externalLink2.xml"/><Relationship Id="rId328" Type="http://schemas.openxmlformats.org/officeDocument/2006/relationships/externalLink" Target="externalLinks/externalLink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241" Type="http://schemas.openxmlformats.org/officeDocument/2006/relationships/worksheet" Target="worksheets/sheet241.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262" Type="http://schemas.openxmlformats.org/officeDocument/2006/relationships/worksheet" Target="worksheets/sheet262.xml"/><Relationship Id="rId283" Type="http://schemas.openxmlformats.org/officeDocument/2006/relationships/worksheet" Target="worksheets/sheet283.xml"/><Relationship Id="rId313" Type="http://schemas.openxmlformats.org/officeDocument/2006/relationships/worksheet" Target="worksheets/sheet313.xml"/><Relationship Id="rId318" Type="http://schemas.openxmlformats.org/officeDocument/2006/relationships/worksheet" Target="worksheets/sheet318.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334" Type="http://schemas.openxmlformats.org/officeDocument/2006/relationships/externalLink" Target="externalLinks/externalLink13.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294" Type="http://schemas.openxmlformats.org/officeDocument/2006/relationships/worksheet" Target="worksheets/sheet294.xml"/><Relationship Id="rId308" Type="http://schemas.openxmlformats.org/officeDocument/2006/relationships/worksheet" Target="worksheets/sheet308.xml"/><Relationship Id="rId329" Type="http://schemas.openxmlformats.org/officeDocument/2006/relationships/externalLink" Target="externalLinks/externalLink8.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19" Type="http://schemas.openxmlformats.org/officeDocument/2006/relationships/worksheet" Target="worksheets/sheet319.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330" Type="http://schemas.openxmlformats.org/officeDocument/2006/relationships/externalLink" Target="externalLinks/externalLink9.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worksheet" Target="worksheets/sheet295.xml"/><Relationship Id="rId309" Type="http://schemas.openxmlformats.org/officeDocument/2006/relationships/worksheet" Target="worksheets/sheet309.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320" Type="http://schemas.openxmlformats.org/officeDocument/2006/relationships/worksheet" Target="worksheets/sheet320.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310" Type="http://schemas.openxmlformats.org/officeDocument/2006/relationships/worksheet" Target="worksheets/sheet310.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331" Type="http://schemas.openxmlformats.org/officeDocument/2006/relationships/externalLink" Target="externalLinks/externalLink10.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worksheet" Target="worksheets/sheet296.xml"/><Relationship Id="rId300" Type="http://schemas.openxmlformats.org/officeDocument/2006/relationships/worksheet" Target="worksheets/sheet300.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321" Type="http://schemas.openxmlformats.org/officeDocument/2006/relationships/worksheet" Target="worksheets/sheet321.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311" Type="http://schemas.openxmlformats.org/officeDocument/2006/relationships/worksheet" Target="worksheets/sheet311.xml"/><Relationship Id="rId332" Type="http://schemas.openxmlformats.org/officeDocument/2006/relationships/externalLink" Target="externalLinks/externalLink11.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297" Type="http://schemas.openxmlformats.org/officeDocument/2006/relationships/worksheet" Target="worksheets/sheet297.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worksheet" Target="worksheets/sheet301.xml"/><Relationship Id="rId322" Type="http://schemas.openxmlformats.org/officeDocument/2006/relationships/externalLink" Target="externalLinks/externalLink1.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287" Type="http://schemas.openxmlformats.org/officeDocument/2006/relationships/worksheet" Target="worksheets/sheet287.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312" Type="http://schemas.openxmlformats.org/officeDocument/2006/relationships/worksheet" Target="worksheets/sheet312.xml"/><Relationship Id="rId333" Type="http://schemas.openxmlformats.org/officeDocument/2006/relationships/externalLink" Target="externalLinks/externalLink12.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L" sz="1200"/>
              <a:t>Número de proyectos seleccionados por fondos concursables. 2009-2013</a:t>
            </a:r>
          </a:p>
        </c:rich>
      </c:tx>
      <c:overlay val="0"/>
    </c:title>
    <c:autoTitleDeleted val="0"/>
    <c:plotArea>
      <c:layout/>
      <c:barChart>
        <c:barDir val="col"/>
        <c:grouping val="clustered"/>
        <c:varyColors val="0"/>
        <c:ser>
          <c:idx val="1"/>
          <c:order val="0"/>
          <c:tx>
            <c:strRef>
              <c:f>'2.5-01'!$A$20</c:f>
              <c:strCache>
                <c:ptCount val="1"/>
                <c:pt idx="0">
                  <c:v>Fondart (nacional y regional)</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'2.5-01'!$B$18:$F$18</c:f>
              <c:numCache>
                <c:formatCode>General</c:formatCode>
                <c:ptCount val="5"/>
                <c:pt idx="0">
                  <c:v>2009</c:v>
                </c:pt>
                <c:pt idx="1">
                  <c:v>2010</c:v>
                </c:pt>
                <c:pt idx="2">
                  <c:v>2011</c:v>
                </c:pt>
                <c:pt idx="3">
                  <c:v>2012</c:v>
                </c:pt>
                <c:pt idx="4">
                  <c:v>2013</c:v>
                </c:pt>
              </c:numCache>
            </c:numRef>
          </c:cat>
          <c:val>
            <c:numRef>
              <c:f>'2.5-01'!$B$20:$F$20</c:f>
              <c:numCache>
                <c:formatCode>#,##0</c:formatCode>
                <c:ptCount val="5"/>
                <c:pt idx="0">
                  <c:v>679</c:v>
                </c:pt>
                <c:pt idx="1">
                  <c:v>674</c:v>
                </c:pt>
                <c:pt idx="2">
                  <c:v>601</c:v>
                </c:pt>
                <c:pt idx="3">
                  <c:v>849</c:v>
                </c:pt>
                <c:pt idx="4">
                  <c:v>1020</c:v>
                </c:pt>
              </c:numCache>
            </c:numRef>
          </c:val>
          <c:extLst>
            <c:ext xmlns:c16="http://schemas.microsoft.com/office/drawing/2014/chart" uri="{C3380CC4-5D6E-409C-BE32-E72D297353CC}">
              <c16:uniqueId val="{00000000-7270-4188-8E87-487121994B68}"/>
            </c:ext>
          </c:extLst>
        </c:ser>
        <c:ser>
          <c:idx val="2"/>
          <c:order val="1"/>
          <c:tx>
            <c:strRef>
              <c:f>'2.5-01'!$A$21</c:f>
              <c:strCache>
                <c:ptCount val="1"/>
                <c:pt idx="0">
                  <c:v>Fondo del libro y la lectura</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'2.5-01'!$B$18:$F$18</c:f>
              <c:numCache>
                <c:formatCode>General</c:formatCode>
                <c:ptCount val="5"/>
                <c:pt idx="0">
                  <c:v>2009</c:v>
                </c:pt>
                <c:pt idx="1">
                  <c:v>2010</c:v>
                </c:pt>
                <c:pt idx="2">
                  <c:v>2011</c:v>
                </c:pt>
                <c:pt idx="3">
                  <c:v>2012</c:v>
                </c:pt>
                <c:pt idx="4">
                  <c:v>2013</c:v>
                </c:pt>
              </c:numCache>
            </c:numRef>
          </c:cat>
          <c:val>
            <c:numRef>
              <c:f>'2.5-01'!$B$21:$F$21</c:f>
              <c:numCache>
                <c:formatCode>#,##0</c:formatCode>
                <c:ptCount val="5"/>
                <c:pt idx="0">
                  <c:v>334</c:v>
                </c:pt>
                <c:pt idx="1">
                  <c:v>316</c:v>
                </c:pt>
                <c:pt idx="2">
                  <c:v>263</c:v>
                </c:pt>
                <c:pt idx="3">
                  <c:v>433</c:v>
                </c:pt>
                <c:pt idx="4">
                  <c:v>473</c:v>
                </c:pt>
              </c:numCache>
            </c:numRef>
          </c:val>
          <c:extLst>
            <c:ext xmlns:c16="http://schemas.microsoft.com/office/drawing/2014/chart" uri="{C3380CC4-5D6E-409C-BE32-E72D297353CC}">
              <c16:uniqueId val="{00000001-7270-4188-8E87-487121994B68}"/>
            </c:ext>
          </c:extLst>
        </c:ser>
        <c:ser>
          <c:idx val="3"/>
          <c:order val="2"/>
          <c:tx>
            <c:strRef>
              <c:f>'2.5-01'!$A$22</c:f>
              <c:strCache>
                <c:ptCount val="1"/>
                <c:pt idx="0">
                  <c:v>Fondo de la música nacional</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'2.5-01'!$B$18:$F$18</c:f>
              <c:numCache>
                <c:formatCode>General</c:formatCode>
                <c:ptCount val="5"/>
                <c:pt idx="0">
                  <c:v>2009</c:v>
                </c:pt>
                <c:pt idx="1">
                  <c:v>2010</c:v>
                </c:pt>
                <c:pt idx="2">
                  <c:v>2011</c:v>
                </c:pt>
                <c:pt idx="3">
                  <c:v>2012</c:v>
                </c:pt>
                <c:pt idx="4">
                  <c:v>2013</c:v>
                </c:pt>
              </c:numCache>
            </c:numRef>
          </c:cat>
          <c:val>
            <c:numRef>
              <c:f>'2.5-01'!$B$22:$F$22</c:f>
              <c:numCache>
                <c:formatCode>#,##0</c:formatCode>
                <c:ptCount val="5"/>
                <c:pt idx="0">
                  <c:v>137</c:v>
                </c:pt>
                <c:pt idx="1">
                  <c:v>212</c:v>
                </c:pt>
                <c:pt idx="2">
                  <c:v>209</c:v>
                </c:pt>
                <c:pt idx="3">
                  <c:v>276</c:v>
                </c:pt>
                <c:pt idx="4">
                  <c:v>327</c:v>
                </c:pt>
              </c:numCache>
            </c:numRef>
          </c:val>
          <c:extLst>
            <c:ext xmlns:c16="http://schemas.microsoft.com/office/drawing/2014/chart" uri="{C3380CC4-5D6E-409C-BE32-E72D297353CC}">
              <c16:uniqueId val="{00000002-7270-4188-8E87-487121994B68}"/>
            </c:ext>
          </c:extLst>
        </c:ser>
        <c:ser>
          <c:idx val="4"/>
          <c:order val="3"/>
          <c:tx>
            <c:strRef>
              <c:f>'2.5-01'!$A$23</c:f>
              <c:strCache>
                <c:ptCount val="1"/>
                <c:pt idx="0">
                  <c:v>Fondo audiovisual</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'2.5-01'!$B$18:$F$18</c:f>
              <c:numCache>
                <c:formatCode>General</c:formatCode>
                <c:ptCount val="5"/>
                <c:pt idx="0">
                  <c:v>2009</c:v>
                </c:pt>
                <c:pt idx="1">
                  <c:v>2010</c:v>
                </c:pt>
                <c:pt idx="2">
                  <c:v>2011</c:v>
                </c:pt>
                <c:pt idx="3">
                  <c:v>2012</c:v>
                </c:pt>
                <c:pt idx="4">
                  <c:v>2013</c:v>
                </c:pt>
              </c:numCache>
            </c:numRef>
          </c:cat>
          <c:val>
            <c:numRef>
              <c:f>'2.5-01'!$B$23:$F$23</c:f>
              <c:numCache>
                <c:formatCode>#,##0</c:formatCode>
                <c:ptCount val="5"/>
                <c:pt idx="0">
                  <c:v>180</c:v>
                </c:pt>
                <c:pt idx="1">
                  <c:v>180</c:v>
                </c:pt>
                <c:pt idx="2">
                  <c:v>119</c:v>
                </c:pt>
                <c:pt idx="3">
                  <c:v>168</c:v>
                </c:pt>
                <c:pt idx="4">
                  <c:v>178</c:v>
                </c:pt>
              </c:numCache>
            </c:numRef>
          </c:val>
          <c:extLst>
            <c:ext xmlns:c16="http://schemas.microsoft.com/office/drawing/2014/chart" uri="{C3380CC4-5D6E-409C-BE32-E72D297353CC}">
              <c16:uniqueId val="{00000003-7270-4188-8E87-487121994B68}"/>
            </c:ext>
          </c:extLst>
        </c:ser>
        <c:dLbls>
          <c:showLegendKey val="0"/>
          <c:showVal val="0"/>
          <c:showCatName val="0"/>
          <c:showSerName val="0"/>
          <c:showPercent val="0"/>
          <c:showBubbleSize val="0"/>
        </c:dLbls>
        <c:gapWidth val="150"/>
        <c:axId val="118404992"/>
        <c:axId val="118406528"/>
      </c:barChart>
      <c:catAx>
        <c:axId val="118404992"/>
        <c:scaling>
          <c:orientation val="minMax"/>
        </c:scaling>
        <c:delete val="0"/>
        <c:axPos val="b"/>
        <c:numFmt formatCode="General" sourceLinked="1"/>
        <c:majorTickMark val="none"/>
        <c:minorTickMark val="none"/>
        <c:tickLblPos val="nextTo"/>
        <c:crossAx val="118406528"/>
        <c:crosses val="autoZero"/>
        <c:auto val="1"/>
        <c:lblAlgn val="ctr"/>
        <c:lblOffset val="100"/>
        <c:noMultiLvlLbl val="0"/>
      </c:catAx>
      <c:valAx>
        <c:axId val="118406528"/>
        <c:scaling>
          <c:orientation val="minMax"/>
        </c:scaling>
        <c:delete val="0"/>
        <c:axPos val="l"/>
        <c:majorGridlines/>
        <c:numFmt formatCode="#,##0" sourceLinked="1"/>
        <c:majorTickMark val="none"/>
        <c:minorTickMark val="none"/>
        <c:tickLblPos val="nextTo"/>
        <c:crossAx val="118404992"/>
        <c:crosses val="autoZero"/>
        <c:crossBetween val="between"/>
      </c:valAx>
    </c:plotArea>
    <c:legend>
      <c:legendPos val="r"/>
      <c:overlay val="0"/>
    </c:legend>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sz="1200"/>
            </a:pPr>
            <a:r>
              <a:rPr lang="es-CL" sz="1200"/>
              <a:t>Montos de distribución de derechos de ejecución autor, SCD 2009-2013</a:t>
            </a:r>
          </a:p>
        </c:rich>
      </c:tx>
      <c:layout>
        <c:manualLayout>
          <c:xMode val="edge"/>
          <c:yMode val="edge"/>
          <c:x val="0.12956810631229887"/>
          <c:y val="3.5087719298245612E-2"/>
        </c:manualLayout>
      </c:layout>
      <c:overlay val="0"/>
    </c:title>
    <c:autoTitleDeleted val="0"/>
    <c:plotArea>
      <c:layout>
        <c:manualLayout>
          <c:layoutTarget val="inner"/>
          <c:xMode val="edge"/>
          <c:yMode val="edge"/>
          <c:x val="0.13510520487264674"/>
          <c:y val="0.1559460330616621"/>
          <c:w val="0.84662236987818384"/>
          <c:h val="0.6578962717379625"/>
        </c:manualLayout>
      </c:layout>
      <c:barChart>
        <c:barDir val="col"/>
        <c:grouping val="clustered"/>
        <c:varyColors val="0"/>
        <c:ser>
          <c:idx val="0"/>
          <c:order val="0"/>
          <c:tx>
            <c:strRef>
              <c:f>'3.5-12'!$A$18</c:f>
              <c:strCache>
                <c:ptCount val="1"/>
                <c:pt idx="0">
                  <c:v>Autores nacionales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'3.5-12'!$B$16:$F$16</c:f>
              <c:numCache>
                <c:formatCode>General</c:formatCode>
                <c:ptCount val="5"/>
                <c:pt idx="0">
                  <c:v>2009</c:v>
                </c:pt>
                <c:pt idx="1">
                  <c:v>2010</c:v>
                </c:pt>
                <c:pt idx="2">
                  <c:v>2011</c:v>
                </c:pt>
                <c:pt idx="3">
                  <c:v>2012</c:v>
                </c:pt>
                <c:pt idx="4">
                  <c:v>2013</c:v>
                </c:pt>
              </c:numCache>
            </c:numRef>
          </c:cat>
          <c:val>
            <c:numRef>
              <c:f>'3.5-12'!$B$18:$F$18</c:f>
              <c:numCache>
                <c:formatCode>#,##0</c:formatCode>
                <c:ptCount val="5"/>
                <c:pt idx="0">
                  <c:v>1040701491</c:v>
                </c:pt>
                <c:pt idx="1">
                  <c:v>1178419120</c:v>
                </c:pt>
                <c:pt idx="2">
                  <c:v>1307132912</c:v>
                </c:pt>
                <c:pt idx="3">
                  <c:v>1474820887</c:v>
                </c:pt>
                <c:pt idx="4">
                  <c:v>1810278275</c:v>
                </c:pt>
              </c:numCache>
            </c:numRef>
          </c:val>
          <c:extLst>
            <c:ext xmlns:c16="http://schemas.microsoft.com/office/drawing/2014/chart" uri="{C3380CC4-5D6E-409C-BE32-E72D297353CC}">
              <c16:uniqueId val="{00000000-7460-49B6-9EC9-CE3A97DE3721}"/>
            </c:ext>
          </c:extLst>
        </c:ser>
        <c:ser>
          <c:idx val="1"/>
          <c:order val="1"/>
          <c:tx>
            <c:strRef>
              <c:f>'3.5-12'!$A$19</c:f>
              <c:strCache>
                <c:ptCount val="1"/>
                <c:pt idx="0">
                  <c:v>Editores locales</c:v>
                </c:pt>
              </c:strCache>
            </c:strRef>
          </c:tx>
          <c:spPr>
            <a:solidFill>
              <a:schemeClr val="accent6">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'3.5-12'!$B$16:$F$16</c:f>
              <c:numCache>
                <c:formatCode>General</c:formatCode>
                <c:ptCount val="5"/>
                <c:pt idx="0">
                  <c:v>2009</c:v>
                </c:pt>
                <c:pt idx="1">
                  <c:v>2010</c:v>
                </c:pt>
                <c:pt idx="2">
                  <c:v>2011</c:v>
                </c:pt>
                <c:pt idx="3">
                  <c:v>2012</c:v>
                </c:pt>
                <c:pt idx="4">
                  <c:v>2013</c:v>
                </c:pt>
              </c:numCache>
            </c:numRef>
          </c:cat>
          <c:val>
            <c:numRef>
              <c:f>'3.5-12'!$B$19:$F$19</c:f>
              <c:numCache>
                <c:formatCode>#,##0</c:formatCode>
                <c:ptCount val="5"/>
                <c:pt idx="0">
                  <c:v>1920623381</c:v>
                </c:pt>
                <c:pt idx="1">
                  <c:v>2268375174</c:v>
                </c:pt>
                <c:pt idx="2">
                  <c:v>2508433594</c:v>
                </c:pt>
                <c:pt idx="3">
                  <c:v>2964090787</c:v>
                </c:pt>
                <c:pt idx="4">
                  <c:v>3433107578</c:v>
                </c:pt>
              </c:numCache>
            </c:numRef>
          </c:val>
          <c:extLst>
            <c:ext xmlns:c16="http://schemas.microsoft.com/office/drawing/2014/chart" uri="{C3380CC4-5D6E-409C-BE32-E72D297353CC}">
              <c16:uniqueId val="{00000001-7460-49B6-9EC9-CE3A97DE3721}"/>
            </c:ext>
          </c:extLst>
        </c:ser>
        <c:ser>
          <c:idx val="2"/>
          <c:order val="2"/>
          <c:tx>
            <c:strRef>
              <c:f>'3.5-12'!$A$20</c:f>
              <c:strCache>
                <c:ptCount val="1"/>
                <c:pt idx="0">
                  <c:v>Sociedades extranjeras</c:v>
                </c:pt>
              </c:strCache>
            </c:strRef>
          </c:tx>
          <c:spPr>
            <a:solidFill>
              <a:schemeClr val="accent6">
                <a:lumMod val="75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'3.5-12'!$B$16:$F$16</c:f>
              <c:numCache>
                <c:formatCode>General</c:formatCode>
                <c:ptCount val="5"/>
                <c:pt idx="0">
                  <c:v>2009</c:v>
                </c:pt>
                <c:pt idx="1">
                  <c:v>2010</c:v>
                </c:pt>
                <c:pt idx="2">
                  <c:v>2011</c:v>
                </c:pt>
                <c:pt idx="3">
                  <c:v>2012</c:v>
                </c:pt>
                <c:pt idx="4">
                  <c:v>2013</c:v>
                </c:pt>
              </c:numCache>
            </c:numRef>
          </c:cat>
          <c:val>
            <c:numRef>
              <c:f>'3.5-12'!$B$20:$F$20</c:f>
              <c:numCache>
                <c:formatCode>#,##0</c:formatCode>
                <c:ptCount val="5"/>
                <c:pt idx="0">
                  <c:v>2560406285</c:v>
                </c:pt>
                <c:pt idx="1">
                  <c:v>3561315545</c:v>
                </c:pt>
                <c:pt idx="2">
                  <c:v>4029423570</c:v>
                </c:pt>
                <c:pt idx="3">
                  <c:v>4797073107</c:v>
                </c:pt>
                <c:pt idx="4">
                  <c:v>5345181783</c:v>
                </c:pt>
              </c:numCache>
            </c:numRef>
          </c:val>
          <c:extLst>
            <c:ext xmlns:c16="http://schemas.microsoft.com/office/drawing/2014/chart" uri="{C3380CC4-5D6E-409C-BE32-E72D297353CC}">
              <c16:uniqueId val="{00000002-7460-49B6-9EC9-CE3A97DE3721}"/>
            </c:ext>
          </c:extLst>
        </c:ser>
        <c:dLbls>
          <c:showLegendKey val="0"/>
          <c:showVal val="0"/>
          <c:showCatName val="0"/>
          <c:showSerName val="0"/>
          <c:showPercent val="0"/>
          <c:showBubbleSize val="0"/>
        </c:dLbls>
        <c:gapWidth val="150"/>
        <c:axId val="65853696"/>
        <c:axId val="64762240"/>
      </c:barChart>
      <c:catAx>
        <c:axId val="65853696"/>
        <c:scaling>
          <c:orientation val="minMax"/>
        </c:scaling>
        <c:delete val="0"/>
        <c:axPos val="b"/>
        <c:title>
          <c:tx>
            <c:rich>
              <a:bodyPr/>
              <a:lstStyle/>
              <a:p>
                <a:pPr>
                  <a:defRPr b="0"/>
                </a:pPr>
                <a:r>
                  <a:rPr lang="es-CL" b="0"/>
                  <a:t>Año</a:t>
                </a:r>
              </a:p>
            </c:rich>
          </c:tx>
          <c:layout>
            <c:manualLayout>
              <c:xMode val="edge"/>
              <c:yMode val="edge"/>
              <c:x val="0.46511627906977654"/>
              <c:y val="0.85672760203221165"/>
            </c:manualLayout>
          </c:layout>
          <c:overlay val="0"/>
        </c:title>
        <c:numFmt formatCode="General" sourceLinked="1"/>
        <c:majorTickMark val="out"/>
        <c:minorTickMark val="none"/>
        <c:tickLblPos val="nextTo"/>
        <c:txPr>
          <a:bodyPr rot="0" vert="horz"/>
          <a:lstStyle/>
          <a:p>
            <a:pPr>
              <a:defRPr/>
            </a:pPr>
            <a:endParaRPr lang="es-CL"/>
          </a:p>
        </c:txPr>
        <c:crossAx val="64762240"/>
        <c:crosses val="autoZero"/>
        <c:auto val="1"/>
        <c:lblAlgn val="ctr"/>
        <c:lblOffset val="100"/>
        <c:tickLblSkip val="1"/>
        <c:tickMarkSkip val="1"/>
        <c:noMultiLvlLbl val="0"/>
      </c:catAx>
      <c:valAx>
        <c:axId val="64762240"/>
        <c:scaling>
          <c:orientation val="minMax"/>
        </c:scaling>
        <c:delete val="0"/>
        <c:axPos val="l"/>
        <c:majorGridlines/>
        <c:title>
          <c:tx>
            <c:rich>
              <a:bodyPr/>
              <a:lstStyle/>
              <a:p>
                <a:pPr>
                  <a:defRPr b="0"/>
                </a:pPr>
                <a:r>
                  <a:rPr lang="es-CL" b="0"/>
                  <a:t>Montos</a:t>
                </a:r>
              </a:p>
            </c:rich>
          </c:tx>
          <c:layout>
            <c:manualLayout>
              <c:xMode val="edge"/>
              <c:yMode val="edge"/>
              <c:x val="1.827242524917002E-2"/>
              <c:y val="0.39376341115256086"/>
            </c:manualLayout>
          </c:layout>
          <c:overlay val="0"/>
        </c:title>
        <c:numFmt formatCode="#,##0" sourceLinked="1"/>
        <c:majorTickMark val="out"/>
        <c:minorTickMark val="none"/>
        <c:tickLblPos val="nextTo"/>
        <c:txPr>
          <a:bodyPr rot="0" vert="horz"/>
          <a:lstStyle/>
          <a:p>
            <a:pPr>
              <a:defRPr/>
            </a:pPr>
            <a:endParaRPr lang="es-CL"/>
          </a:p>
        </c:txPr>
        <c:crossAx val="65853696"/>
        <c:crosses val="autoZero"/>
        <c:crossBetween val="between"/>
        <c:dispUnits>
          <c:builtInUnit val="millions"/>
        </c:dispUnits>
      </c:valAx>
    </c:plotArea>
    <c:legend>
      <c:legendPos val="r"/>
      <c:layout>
        <c:manualLayout>
          <c:xMode val="edge"/>
          <c:yMode val="edge"/>
          <c:x val="5.5921033126673118E-2"/>
          <c:y val="0.91813141778330365"/>
          <c:w val="0.93585528553116915"/>
          <c:h val="5.8479839142914096E-2"/>
        </c:manualLayout>
      </c:layout>
      <c:overlay val="0"/>
    </c:legend>
    <c:plotVisOnly val="1"/>
    <c:dispBlanksAs val="gap"/>
    <c:showDLblsOverMax val="0"/>
  </c:chart>
  <c:printSettings>
    <c:headerFooter alignWithMargins="0"/>
    <c:pageMargins b="1" l="0.75000000000001465" r="0.75000000000001465" t="1" header="0" footer="0"/>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s-CL" sz="1200"/>
              <a:t>Montos de recaudación y distribución de derechos de ejecución autor</a:t>
            </a:r>
            <a:r>
              <a:rPr lang="es-CL" sz="1200" baseline="0"/>
              <a:t> por la </a:t>
            </a:r>
            <a:r>
              <a:rPr lang="es-CL" sz="1200"/>
              <a:t>SCD. 2009-2013</a:t>
            </a:r>
          </a:p>
        </c:rich>
      </c:tx>
      <c:overlay val="0"/>
    </c:title>
    <c:autoTitleDeleted val="0"/>
    <c:plotArea>
      <c:layout/>
      <c:barChart>
        <c:barDir val="col"/>
        <c:grouping val="clustered"/>
        <c:varyColors val="0"/>
        <c:ser>
          <c:idx val="0"/>
          <c:order val="0"/>
          <c:tx>
            <c:strRef>
              <c:f>'3.5-13'!$A$19</c:f>
              <c:strCache>
                <c:ptCount val="1"/>
                <c:pt idx="0">
                  <c:v>Recaudación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'3.5-13'!$B$18:$F$18</c:f>
              <c:numCache>
                <c:formatCode>General</c:formatCode>
                <c:ptCount val="5"/>
                <c:pt idx="0">
                  <c:v>2009</c:v>
                </c:pt>
                <c:pt idx="1">
                  <c:v>2010</c:v>
                </c:pt>
                <c:pt idx="2">
                  <c:v>2011</c:v>
                </c:pt>
                <c:pt idx="3">
                  <c:v>2012</c:v>
                </c:pt>
                <c:pt idx="4">
                  <c:v>2013</c:v>
                </c:pt>
              </c:numCache>
            </c:numRef>
          </c:cat>
          <c:val>
            <c:numRef>
              <c:f>'3.5-13'!$B$19:$F$19</c:f>
              <c:numCache>
                <c:formatCode>#,##0</c:formatCode>
                <c:ptCount val="5"/>
                <c:pt idx="0">
                  <c:v>88076369</c:v>
                </c:pt>
                <c:pt idx="1">
                  <c:v>132905476</c:v>
                </c:pt>
                <c:pt idx="2">
                  <c:v>93685036</c:v>
                </c:pt>
                <c:pt idx="3">
                  <c:v>151694202</c:v>
                </c:pt>
                <c:pt idx="4">
                  <c:v>119931127</c:v>
                </c:pt>
              </c:numCache>
            </c:numRef>
          </c:val>
          <c:extLst>
            <c:ext xmlns:c16="http://schemas.microsoft.com/office/drawing/2014/chart" uri="{C3380CC4-5D6E-409C-BE32-E72D297353CC}">
              <c16:uniqueId val="{00000000-5560-4438-B11F-3406061C0B04}"/>
            </c:ext>
          </c:extLst>
        </c:ser>
        <c:ser>
          <c:idx val="1"/>
          <c:order val="1"/>
          <c:tx>
            <c:strRef>
              <c:f>'3.5-13'!$A$20</c:f>
              <c:strCache>
                <c:ptCount val="1"/>
                <c:pt idx="0">
                  <c:v>Distribución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'3.5-13'!$B$18:$F$18</c:f>
              <c:numCache>
                <c:formatCode>General</c:formatCode>
                <c:ptCount val="5"/>
                <c:pt idx="0">
                  <c:v>2009</c:v>
                </c:pt>
                <c:pt idx="1">
                  <c:v>2010</c:v>
                </c:pt>
                <c:pt idx="2">
                  <c:v>2011</c:v>
                </c:pt>
                <c:pt idx="3">
                  <c:v>2012</c:v>
                </c:pt>
                <c:pt idx="4">
                  <c:v>2013</c:v>
                </c:pt>
              </c:numCache>
            </c:numRef>
          </c:cat>
          <c:val>
            <c:numRef>
              <c:f>'3.5-13'!$B$20:$F$20</c:f>
              <c:numCache>
                <c:formatCode>#,##0</c:formatCode>
                <c:ptCount val="5"/>
                <c:pt idx="0">
                  <c:v>94999952</c:v>
                </c:pt>
                <c:pt idx="1">
                  <c:v>87772250</c:v>
                </c:pt>
                <c:pt idx="2">
                  <c:v>74340998</c:v>
                </c:pt>
                <c:pt idx="3">
                  <c:v>186162609</c:v>
                </c:pt>
                <c:pt idx="4">
                  <c:v>149283568</c:v>
                </c:pt>
              </c:numCache>
            </c:numRef>
          </c:val>
          <c:extLst>
            <c:ext xmlns:c16="http://schemas.microsoft.com/office/drawing/2014/chart" uri="{C3380CC4-5D6E-409C-BE32-E72D297353CC}">
              <c16:uniqueId val="{00000001-5560-4438-B11F-3406061C0B04}"/>
            </c:ext>
          </c:extLst>
        </c:ser>
        <c:dLbls>
          <c:showLegendKey val="0"/>
          <c:showVal val="0"/>
          <c:showCatName val="0"/>
          <c:showSerName val="0"/>
          <c:showPercent val="0"/>
          <c:showBubbleSize val="0"/>
        </c:dLbls>
        <c:gapWidth val="75"/>
        <c:overlap val="-25"/>
        <c:axId val="64810368"/>
        <c:axId val="64427136"/>
      </c:barChart>
      <c:catAx>
        <c:axId val="64810368"/>
        <c:scaling>
          <c:orientation val="minMax"/>
        </c:scaling>
        <c:delete val="0"/>
        <c:axPos val="b"/>
        <c:numFmt formatCode="General" sourceLinked="1"/>
        <c:majorTickMark val="none"/>
        <c:minorTickMark val="none"/>
        <c:tickLblPos val="nextTo"/>
        <c:txPr>
          <a:bodyPr rot="0" vert="horz"/>
          <a:lstStyle/>
          <a:p>
            <a:pPr>
              <a:defRPr/>
            </a:pPr>
            <a:endParaRPr lang="es-CL"/>
          </a:p>
        </c:txPr>
        <c:crossAx val="64427136"/>
        <c:crosses val="autoZero"/>
        <c:auto val="1"/>
        <c:lblAlgn val="ctr"/>
        <c:lblOffset val="100"/>
        <c:tickLblSkip val="1"/>
        <c:tickMarkSkip val="1"/>
        <c:noMultiLvlLbl val="0"/>
      </c:catAx>
      <c:valAx>
        <c:axId val="64427136"/>
        <c:scaling>
          <c:orientation val="minMax"/>
        </c:scaling>
        <c:delete val="0"/>
        <c:axPos val="l"/>
        <c:majorGridlines/>
        <c:numFmt formatCode="#,##0" sourceLinked="1"/>
        <c:majorTickMark val="none"/>
        <c:minorTickMark val="none"/>
        <c:tickLblPos val="nextTo"/>
        <c:spPr>
          <a:ln w="9525">
            <a:noFill/>
          </a:ln>
        </c:spPr>
        <c:txPr>
          <a:bodyPr rot="-5400000" vert="horz"/>
          <a:lstStyle/>
          <a:p>
            <a:pPr>
              <a:defRPr/>
            </a:pPr>
            <a:endParaRPr lang="es-CL"/>
          </a:p>
        </c:txPr>
        <c:crossAx val="64810368"/>
        <c:crosses val="autoZero"/>
        <c:crossBetween val="between"/>
        <c:dispUnits>
          <c:builtInUnit val="millions"/>
        </c:dispUnits>
      </c:valAx>
    </c:plotArea>
    <c:legend>
      <c:legendPos val="b"/>
      <c:overlay val="0"/>
    </c:legend>
    <c:plotVisOnly val="0"/>
    <c:dispBlanksAs val="gap"/>
    <c:showDLblsOverMax val="0"/>
  </c:chart>
  <c:printSettings>
    <c:headerFooter alignWithMargins="0"/>
    <c:pageMargins b="1" l="0.75000000000001465" r="0.75000000000001465" t="1" header="0" footer="0"/>
    <c:pageSetup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sz="800">
                <a:latin typeface="Verdana" pitchFamily="34" charset="0"/>
                <a:ea typeface="Verdana" pitchFamily="34" charset="0"/>
                <a:cs typeface="Verdana" pitchFamily="34" charset="0"/>
              </a:defRPr>
            </a:pPr>
            <a:r>
              <a:rPr lang="es-CL" sz="800">
                <a:latin typeface="Verdana" pitchFamily="34" charset="0"/>
                <a:ea typeface="Verdana" pitchFamily="34" charset="0"/>
                <a:cs typeface="Verdana" pitchFamily="34" charset="0"/>
              </a:rPr>
              <a:t>Ventas de material discográfico. 2009-2013</a:t>
            </a:r>
          </a:p>
        </c:rich>
      </c:tx>
      <c:overlay val="0"/>
    </c:title>
    <c:autoTitleDeleted val="0"/>
    <c:plotArea>
      <c:layout/>
      <c:barChart>
        <c:barDir val="col"/>
        <c:grouping val="clustered"/>
        <c:varyColors val="0"/>
        <c:ser>
          <c:idx val="0"/>
          <c:order val="0"/>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'3.5-18'!$B$24:$F$24</c:f>
              <c:numCache>
                <c:formatCode>General</c:formatCode>
                <c:ptCount val="5"/>
                <c:pt idx="0">
                  <c:v>2009</c:v>
                </c:pt>
                <c:pt idx="1">
                  <c:v>2010</c:v>
                </c:pt>
                <c:pt idx="2">
                  <c:v>2011</c:v>
                </c:pt>
                <c:pt idx="3">
                  <c:v>2012</c:v>
                </c:pt>
                <c:pt idx="4">
                  <c:v>2013</c:v>
                </c:pt>
              </c:numCache>
            </c:numRef>
          </c:cat>
          <c:val>
            <c:numRef>
              <c:f>'3.5-18'!$B$25:$F$25</c:f>
              <c:numCache>
                <c:formatCode>#,##0</c:formatCode>
                <c:ptCount val="5"/>
                <c:pt idx="0">
                  <c:v>6101173</c:v>
                </c:pt>
                <c:pt idx="1">
                  <c:v>6412163</c:v>
                </c:pt>
                <c:pt idx="2">
                  <c:v>6038280</c:v>
                </c:pt>
                <c:pt idx="3">
                  <c:v>8208947</c:v>
                </c:pt>
                <c:pt idx="4">
                  <c:v>8325178</c:v>
                </c:pt>
              </c:numCache>
            </c:numRef>
          </c:val>
          <c:extLst>
            <c:ext xmlns:c16="http://schemas.microsoft.com/office/drawing/2014/chart" uri="{C3380CC4-5D6E-409C-BE32-E72D297353CC}">
              <c16:uniqueId val="{00000000-655D-4E73-9A6F-7B4BB77FFBC2}"/>
            </c:ext>
          </c:extLst>
        </c:ser>
        <c:dLbls>
          <c:showLegendKey val="0"/>
          <c:showVal val="0"/>
          <c:showCatName val="0"/>
          <c:showSerName val="0"/>
          <c:showPercent val="0"/>
          <c:showBubbleSize val="0"/>
        </c:dLbls>
        <c:gapWidth val="150"/>
        <c:axId val="67287296"/>
        <c:axId val="67293184"/>
      </c:barChart>
      <c:catAx>
        <c:axId val="67287296"/>
        <c:scaling>
          <c:orientation val="minMax"/>
        </c:scaling>
        <c:delete val="0"/>
        <c:axPos val="b"/>
        <c:numFmt formatCode="General" sourceLinked="1"/>
        <c:majorTickMark val="none"/>
        <c:minorTickMark val="none"/>
        <c:tickLblPos val="nextTo"/>
        <c:txPr>
          <a:bodyPr rot="0" vert="horz"/>
          <a:lstStyle/>
          <a:p>
            <a:pPr>
              <a:defRPr/>
            </a:pPr>
            <a:endParaRPr lang="es-CL"/>
          </a:p>
        </c:txPr>
        <c:crossAx val="67293184"/>
        <c:crosses val="autoZero"/>
        <c:auto val="0"/>
        <c:lblAlgn val="ctr"/>
        <c:lblOffset val="100"/>
        <c:tickLblSkip val="1"/>
        <c:tickMarkSkip val="1"/>
        <c:noMultiLvlLbl val="0"/>
      </c:catAx>
      <c:valAx>
        <c:axId val="67293184"/>
        <c:scaling>
          <c:orientation val="minMax"/>
        </c:scaling>
        <c:delete val="0"/>
        <c:axPos val="l"/>
        <c:majorGridlines/>
        <c:numFmt formatCode="#,##0" sourceLinked="1"/>
        <c:majorTickMark val="none"/>
        <c:minorTickMark val="none"/>
        <c:tickLblPos val="nextTo"/>
        <c:txPr>
          <a:bodyPr rot="0" vert="horz"/>
          <a:lstStyle/>
          <a:p>
            <a:pPr>
              <a:defRPr/>
            </a:pPr>
            <a:endParaRPr lang="es-CL"/>
          </a:p>
        </c:txPr>
        <c:crossAx val="67287296"/>
        <c:crosses val="autoZero"/>
        <c:crossBetween val="between"/>
      </c:valAx>
    </c:plotArea>
    <c:plotVisOnly val="1"/>
    <c:dispBlanksAs val="gap"/>
    <c:showDLblsOverMax val="0"/>
  </c:chart>
  <c:printSettings>
    <c:headerFooter alignWithMargins="0">
      <c:oddHeader>&amp;A</c:oddHeader>
      <c:oddFooter>Page &amp;P</c:oddFooter>
    </c:headerFooter>
    <c:pageMargins b="0.39370078740157488" l="0.39370078740157488" r="0.39370078740157488" t="0.59055118110230065" header="0.51181102362204722" footer="0.51181102362204722"/>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sz="800">
                <a:latin typeface="Verdana" pitchFamily="34" charset="0"/>
                <a:ea typeface="Verdana" pitchFamily="34" charset="0"/>
                <a:cs typeface="Verdana" pitchFamily="34" charset="0"/>
              </a:defRPr>
            </a:pPr>
            <a:r>
              <a:rPr lang="es-CL" sz="800">
                <a:latin typeface="Verdana" pitchFamily="34" charset="0"/>
                <a:ea typeface="Verdana" pitchFamily="34" charset="0"/>
                <a:cs typeface="Verdana" pitchFamily="34" charset="0"/>
              </a:rPr>
              <a:t>Unidades vendidas de material discográfico. 2009-2013</a:t>
            </a:r>
          </a:p>
        </c:rich>
      </c:tx>
      <c:overlay val="0"/>
    </c:title>
    <c:autoTitleDeleted val="0"/>
    <c:plotArea>
      <c:layout/>
      <c:barChart>
        <c:barDir val="col"/>
        <c:grouping val="clustered"/>
        <c:varyColors val="0"/>
        <c:ser>
          <c:idx val="1"/>
          <c:order val="0"/>
          <c:spPr>
            <a:solidFill>
              <a:schemeClr val="accent6">
                <a:lumMod val="75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'3.5-18'!$B$24:$F$24</c:f>
              <c:numCache>
                <c:formatCode>General</c:formatCode>
                <c:ptCount val="5"/>
                <c:pt idx="0">
                  <c:v>2009</c:v>
                </c:pt>
                <c:pt idx="1">
                  <c:v>2010</c:v>
                </c:pt>
                <c:pt idx="2">
                  <c:v>2011</c:v>
                </c:pt>
                <c:pt idx="3">
                  <c:v>2012</c:v>
                </c:pt>
                <c:pt idx="4">
                  <c:v>2013</c:v>
                </c:pt>
              </c:numCache>
            </c:numRef>
          </c:cat>
          <c:val>
            <c:numRef>
              <c:f>'3.5-18'!$B$26:$F$26</c:f>
              <c:numCache>
                <c:formatCode>#,##0</c:formatCode>
                <c:ptCount val="5"/>
                <c:pt idx="0">
                  <c:v>2375042</c:v>
                </c:pt>
                <c:pt idx="1">
                  <c:v>2520963</c:v>
                </c:pt>
                <c:pt idx="2">
                  <c:v>2625203</c:v>
                </c:pt>
                <c:pt idx="3">
                  <c:v>3503223</c:v>
                </c:pt>
                <c:pt idx="4">
                  <c:v>3136146</c:v>
                </c:pt>
              </c:numCache>
            </c:numRef>
          </c:val>
          <c:extLst>
            <c:ext xmlns:c16="http://schemas.microsoft.com/office/drawing/2014/chart" uri="{C3380CC4-5D6E-409C-BE32-E72D297353CC}">
              <c16:uniqueId val="{00000000-5ED4-447B-9208-01C77BD8F708}"/>
            </c:ext>
          </c:extLst>
        </c:ser>
        <c:dLbls>
          <c:showLegendKey val="0"/>
          <c:showVal val="0"/>
          <c:showCatName val="0"/>
          <c:showSerName val="0"/>
          <c:showPercent val="0"/>
          <c:showBubbleSize val="0"/>
        </c:dLbls>
        <c:gapWidth val="150"/>
        <c:axId val="67325952"/>
        <c:axId val="67327488"/>
      </c:barChart>
      <c:catAx>
        <c:axId val="67325952"/>
        <c:scaling>
          <c:orientation val="minMax"/>
        </c:scaling>
        <c:delete val="0"/>
        <c:axPos val="b"/>
        <c:numFmt formatCode="General" sourceLinked="1"/>
        <c:majorTickMark val="none"/>
        <c:minorTickMark val="none"/>
        <c:tickLblPos val="nextTo"/>
        <c:txPr>
          <a:bodyPr rot="0" vert="horz"/>
          <a:lstStyle/>
          <a:p>
            <a:pPr>
              <a:defRPr/>
            </a:pPr>
            <a:endParaRPr lang="es-CL"/>
          </a:p>
        </c:txPr>
        <c:crossAx val="67327488"/>
        <c:crosses val="autoZero"/>
        <c:auto val="0"/>
        <c:lblAlgn val="ctr"/>
        <c:lblOffset val="100"/>
        <c:tickLblSkip val="1"/>
        <c:tickMarkSkip val="1"/>
        <c:noMultiLvlLbl val="0"/>
      </c:catAx>
      <c:valAx>
        <c:axId val="67327488"/>
        <c:scaling>
          <c:orientation val="minMax"/>
        </c:scaling>
        <c:delete val="0"/>
        <c:axPos val="l"/>
        <c:majorGridlines/>
        <c:numFmt formatCode="#,##0" sourceLinked="1"/>
        <c:majorTickMark val="none"/>
        <c:minorTickMark val="none"/>
        <c:tickLblPos val="nextTo"/>
        <c:txPr>
          <a:bodyPr rot="0" vert="horz"/>
          <a:lstStyle/>
          <a:p>
            <a:pPr>
              <a:defRPr/>
            </a:pPr>
            <a:endParaRPr lang="es-CL"/>
          </a:p>
        </c:txPr>
        <c:crossAx val="67325952"/>
        <c:crosses val="autoZero"/>
        <c:crossBetween val="between"/>
      </c:valAx>
    </c:plotArea>
    <c:plotVisOnly val="1"/>
    <c:dispBlanksAs val="gap"/>
    <c:showDLblsOverMax val="0"/>
  </c:chart>
  <c:printSettings>
    <c:headerFooter alignWithMargins="0"/>
    <c:pageMargins b="1" l="0.75000000000001465" r="0.75000000000001465" t="1" header="0" footer="0"/>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a:pPr>
            <a:r>
              <a:rPr lang="en-US" sz="1200"/>
              <a:t>Número de títulos</a:t>
            </a:r>
            <a:r>
              <a:rPr lang="en-US" sz="1200" baseline="0"/>
              <a:t> comprados para las bibliotecas públicas de la Dibam. 2013</a:t>
            </a:r>
            <a:endParaRPr lang="en-US" sz="1200"/>
          </a:p>
        </c:rich>
      </c:tx>
      <c:overlay val="0"/>
    </c:title>
    <c:autoTitleDeleted val="0"/>
    <c:plotArea>
      <c:layout/>
      <c:barChart>
        <c:barDir val="bar"/>
        <c:grouping val="clustered"/>
        <c:varyColors val="0"/>
        <c:ser>
          <c:idx val="0"/>
          <c:order val="0"/>
          <c:tx>
            <c:strRef>
              <c:f>'3.6.1-04'!$B$21</c:f>
              <c:strCache>
                <c:ptCount val="1"/>
                <c:pt idx="0">
                  <c:v>Cantidad de títulos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'3.6.1-04'!$A$22:$A$30</c:f>
              <c:strCache>
                <c:ptCount val="9"/>
                <c:pt idx="0">
                  <c:v>Obras generales </c:v>
                </c:pt>
                <c:pt idx="1">
                  <c:v>Filosofía y psicología</c:v>
                </c:pt>
                <c:pt idx="2">
                  <c:v>Religión</c:v>
                </c:pt>
                <c:pt idx="3">
                  <c:v>Ciencias sociales</c:v>
                </c:pt>
                <c:pt idx="4">
                  <c:v>Ciencias naturales y matemáticas</c:v>
                </c:pt>
                <c:pt idx="5">
                  <c:v>Tecnología (ciencias aplicadas)</c:v>
                </c:pt>
                <c:pt idx="6">
                  <c:v>Las artes - bellas artes y artes decorativas</c:v>
                </c:pt>
                <c:pt idx="7">
                  <c:v>Literatura y retórica</c:v>
                </c:pt>
                <c:pt idx="8">
                  <c:v>Geografía e historia </c:v>
                </c:pt>
              </c:strCache>
            </c:strRef>
          </c:cat>
          <c:val>
            <c:numRef>
              <c:f>'3.6.1-04'!$B$22:$B$30</c:f>
              <c:numCache>
                <c:formatCode>_-* #,##0_-;\-* #,##0_-;_-* "-"_-;_-@_-</c:formatCode>
                <c:ptCount val="9"/>
                <c:pt idx="0">
                  <c:v>5</c:v>
                </c:pt>
                <c:pt idx="1">
                  <c:v>25</c:v>
                </c:pt>
                <c:pt idx="2">
                  <c:v>0</c:v>
                </c:pt>
                <c:pt idx="3">
                  <c:v>15</c:v>
                </c:pt>
                <c:pt idx="4">
                  <c:v>9</c:v>
                </c:pt>
                <c:pt idx="5">
                  <c:v>21</c:v>
                </c:pt>
                <c:pt idx="6">
                  <c:v>27</c:v>
                </c:pt>
                <c:pt idx="7">
                  <c:v>141</c:v>
                </c:pt>
                <c:pt idx="8">
                  <c:v>5</c:v>
                </c:pt>
              </c:numCache>
            </c:numRef>
          </c:val>
          <c:extLst>
            <c:ext xmlns:c16="http://schemas.microsoft.com/office/drawing/2014/chart" uri="{C3380CC4-5D6E-409C-BE32-E72D297353CC}">
              <c16:uniqueId val="{00000000-4A86-4829-806D-2447DDA93EE9}"/>
            </c:ext>
          </c:extLst>
        </c:ser>
        <c:dLbls>
          <c:showLegendKey val="0"/>
          <c:showVal val="0"/>
          <c:showCatName val="0"/>
          <c:showSerName val="0"/>
          <c:showPercent val="0"/>
          <c:showBubbleSize val="0"/>
        </c:dLbls>
        <c:gapWidth val="75"/>
        <c:overlap val="-25"/>
        <c:axId val="113121920"/>
        <c:axId val="113148288"/>
      </c:barChart>
      <c:catAx>
        <c:axId val="113121920"/>
        <c:scaling>
          <c:orientation val="minMax"/>
        </c:scaling>
        <c:delete val="0"/>
        <c:axPos val="l"/>
        <c:numFmt formatCode="General" sourceLinked="0"/>
        <c:majorTickMark val="none"/>
        <c:minorTickMark val="none"/>
        <c:tickLblPos val="nextTo"/>
        <c:crossAx val="113148288"/>
        <c:crosses val="autoZero"/>
        <c:auto val="1"/>
        <c:lblAlgn val="ctr"/>
        <c:lblOffset val="100"/>
        <c:noMultiLvlLbl val="0"/>
      </c:catAx>
      <c:valAx>
        <c:axId val="113148288"/>
        <c:scaling>
          <c:orientation val="minMax"/>
        </c:scaling>
        <c:delete val="0"/>
        <c:axPos val="b"/>
        <c:majorGridlines/>
        <c:numFmt formatCode="_-* #,##0_-;\-* #,##0_-;_-* &quot;-&quot;_-;_-@_-" sourceLinked="1"/>
        <c:majorTickMark val="none"/>
        <c:minorTickMark val="none"/>
        <c:tickLblPos val="nextTo"/>
        <c:spPr>
          <a:ln w="9525">
            <a:noFill/>
          </a:ln>
        </c:spPr>
        <c:crossAx val="113121920"/>
        <c:crosses val="autoZero"/>
        <c:crossBetween val="between"/>
      </c:valAx>
    </c:plotArea>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800" b="1" i="0" u="none" strike="noStrike" baseline="0">
                <a:solidFill>
                  <a:srgbClr val="000000"/>
                </a:solidFill>
                <a:latin typeface="Verdana"/>
                <a:ea typeface="Verdana"/>
                <a:cs typeface="Verdana"/>
              </a:defRPr>
            </a:pPr>
            <a:r>
              <a:rPr lang="es-CL"/>
              <a:t>Número de títulos de libros registrados en I.S.B.N., 
2009 - 2013
</a:t>
            </a:r>
          </a:p>
        </c:rich>
      </c:tx>
      <c:layout>
        <c:manualLayout>
          <c:xMode val="edge"/>
          <c:yMode val="edge"/>
          <c:x val="0.23536744581974697"/>
          <c:y val="4.6428473867215103E-2"/>
        </c:manualLayout>
      </c:layout>
      <c:overlay val="0"/>
      <c:spPr>
        <a:noFill/>
        <a:ln w="25400">
          <a:noFill/>
        </a:ln>
      </c:spPr>
    </c:title>
    <c:autoTitleDeleted val="0"/>
    <c:plotArea>
      <c:layout>
        <c:manualLayout>
          <c:layoutTarget val="inner"/>
          <c:xMode val="edge"/>
          <c:yMode val="edge"/>
          <c:x val="0.12050739957716435"/>
          <c:y val="0.25572566742767538"/>
          <c:w val="0.84989429175475684"/>
          <c:h val="0.59923775800211299"/>
        </c:manualLayout>
      </c:layout>
      <c:lineChart>
        <c:grouping val="standard"/>
        <c:varyColors val="0"/>
        <c:ser>
          <c:idx val="1"/>
          <c:order val="0"/>
          <c:spPr>
            <a:ln w="12700">
              <a:solidFill>
                <a:srgbClr val="FF00FF"/>
              </a:solidFill>
              <a:prstDash val="solid"/>
            </a:ln>
          </c:spPr>
          <c:marker>
            <c:symbol val="circle"/>
            <c:size val="5"/>
            <c:spPr>
              <a:solidFill>
                <a:srgbClr val="FF00FF"/>
              </a:solidFill>
              <a:ln>
                <a:solidFill>
                  <a:srgbClr val="FF00FF"/>
                </a:solidFill>
                <a:prstDash val="solid"/>
              </a:ln>
            </c:spPr>
          </c:marker>
          <c:dLbls>
            <c:spPr>
              <a:noFill/>
              <a:ln>
                <a:noFill/>
              </a:ln>
              <a:effectLst/>
            </c:spPr>
            <c:txPr>
              <a:bodyPr/>
              <a:lstStyle/>
              <a:p>
                <a:pPr>
                  <a:defRPr lang="es-ES"/>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'3.6.2-03'!$B$27:$F$27</c:f>
              <c:numCache>
                <c:formatCode>General</c:formatCode>
                <c:ptCount val="5"/>
                <c:pt idx="0">
                  <c:v>2009</c:v>
                </c:pt>
                <c:pt idx="1">
                  <c:v>2010</c:v>
                </c:pt>
                <c:pt idx="2">
                  <c:v>2011</c:v>
                </c:pt>
                <c:pt idx="3">
                  <c:v>2012</c:v>
                </c:pt>
                <c:pt idx="4">
                  <c:v>2013</c:v>
                </c:pt>
              </c:numCache>
            </c:numRef>
          </c:cat>
          <c:val>
            <c:numRef>
              <c:f>'3.6.2-03'!$B$28:$F$28</c:f>
              <c:numCache>
                <c:formatCode>#,##0</c:formatCode>
                <c:ptCount val="5"/>
                <c:pt idx="0">
                  <c:v>4462</c:v>
                </c:pt>
                <c:pt idx="1">
                  <c:v>5107</c:v>
                </c:pt>
                <c:pt idx="2">
                  <c:v>5720</c:v>
                </c:pt>
                <c:pt idx="3" formatCode="_-* #,##0_-;\-* #,##0_-;_-* &quot;-&quot;??_-;_-@_-">
                  <c:v>6045</c:v>
                </c:pt>
                <c:pt idx="4">
                  <c:v>5952</c:v>
                </c:pt>
              </c:numCache>
            </c:numRef>
          </c:val>
          <c:smooth val="0"/>
          <c:extLst>
            <c:ext xmlns:c16="http://schemas.microsoft.com/office/drawing/2014/chart" uri="{C3380CC4-5D6E-409C-BE32-E72D297353CC}">
              <c16:uniqueId val="{00000000-D1F9-4FC1-88EB-D229DE40B2AB}"/>
            </c:ext>
          </c:extLst>
        </c:ser>
        <c:dLbls>
          <c:showLegendKey val="0"/>
          <c:showVal val="0"/>
          <c:showCatName val="0"/>
          <c:showSerName val="0"/>
          <c:showPercent val="0"/>
          <c:showBubbleSize val="0"/>
        </c:dLbls>
        <c:marker val="1"/>
        <c:smooth val="0"/>
        <c:axId val="124106624"/>
        <c:axId val="124108160"/>
      </c:lineChart>
      <c:catAx>
        <c:axId val="1241066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lang="es-ES" sz="800" b="0" i="0" u="none" strike="noStrike" baseline="0">
                <a:solidFill>
                  <a:srgbClr val="000000"/>
                </a:solidFill>
                <a:latin typeface="Verdana"/>
                <a:ea typeface="Verdana"/>
                <a:cs typeface="Verdana"/>
              </a:defRPr>
            </a:pPr>
            <a:endParaRPr lang="es-CL"/>
          </a:p>
        </c:txPr>
        <c:crossAx val="124108160"/>
        <c:crosses val="autoZero"/>
        <c:auto val="1"/>
        <c:lblAlgn val="ctr"/>
        <c:lblOffset val="100"/>
        <c:tickLblSkip val="1"/>
        <c:tickMarkSkip val="1"/>
        <c:noMultiLvlLbl val="0"/>
      </c:catAx>
      <c:valAx>
        <c:axId val="12410816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lang="es-ES" sz="800" b="0" i="0" u="none" strike="noStrike" baseline="0">
                <a:solidFill>
                  <a:srgbClr val="000000"/>
                </a:solidFill>
                <a:latin typeface="Verdana"/>
                <a:ea typeface="Verdana"/>
                <a:cs typeface="Verdana"/>
              </a:defRPr>
            </a:pPr>
            <a:endParaRPr lang="es-CL"/>
          </a:p>
        </c:txPr>
        <c:crossAx val="124106624"/>
        <c:crosses val="autoZero"/>
        <c:crossBetween val="between"/>
      </c:valAx>
      <c:spPr>
        <a:solidFill>
          <a:srgbClr val="FFFFFF"/>
        </a:solidFill>
        <a:ln w="12700">
          <a:solidFill>
            <a:srgbClr val="333333"/>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Verdana"/>
          <a:ea typeface="Verdana"/>
          <a:cs typeface="Verdana"/>
        </a:defRPr>
      </a:pPr>
      <a:endParaRPr lang="es-CL"/>
    </a:p>
  </c:txPr>
  <c:printSettings>
    <c:headerFooter alignWithMargins="0"/>
    <c:pageMargins b="1" l="0.75000000000001465" r="0.75000000000001465" t="1" header="0" footer="0"/>
    <c:pageSetup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lang="es-ES" sz="800">
                <a:latin typeface="Verdana" pitchFamily="34" charset="0"/>
                <a:ea typeface="Verdana" pitchFamily="34" charset="0"/>
                <a:cs typeface="Verdana" pitchFamily="34" charset="0"/>
              </a:defRPr>
            </a:pPr>
            <a:r>
              <a:rPr lang="es-CL" sz="800">
                <a:latin typeface="Verdana" pitchFamily="34" charset="0"/>
                <a:ea typeface="Verdana" pitchFamily="34" charset="0"/>
                <a:cs typeface="Verdana" pitchFamily="34" charset="0"/>
              </a:rPr>
              <a:t>Número de títulos de literatura chilena registrados en  I.S.B.N., según género, 2009 - 2013</a:t>
            </a:r>
          </a:p>
        </c:rich>
      </c:tx>
      <c:overlay val="0"/>
    </c:title>
    <c:autoTitleDeleted val="0"/>
    <c:plotArea>
      <c:layout>
        <c:manualLayout>
          <c:layoutTarget val="inner"/>
          <c:xMode val="edge"/>
          <c:yMode val="edge"/>
          <c:x val="9.1262135922330082E-2"/>
          <c:y val="0.18905511811023931"/>
          <c:w val="0.87650367492609682"/>
          <c:h val="0.6033479026034807"/>
        </c:manualLayout>
      </c:layout>
      <c:barChart>
        <c:barDir val="col"/>
        <c:grouping val="clustered"/>
        <c:varyColors val="0"/>
        <c:ser>
          <c:idx val="0"/>
          <c:order val="0"/>
          <c:tx>
            <c:strRef>
              <c:f>'3.6.2-05'!$A$16</c:f>
              <c:strCache>
                <c:ptCount val="1"/>
                <c:pt idx="0">
                  <c:v>Poesía</c:v>
                </c:pt>
              </c:strCache>
            </c:strRef>
          </c:tx>
          <c:spPr>
            <a:solidFill>
              <a:srgbClr val="002060"/>
            </a:solidFill>
          </c:spPr>
          <c:invertIfNegative val="0"/>
          <c:dLbls>
            <c:spPr>
              <a:noFill/>
              <a:ln>
                <a:noFill/>
              </a:ln>
              <a:effectLst/>
            </c:spPr>
            <c:txPr>
              <a:bodyPr/>
              <a:lstStyle/>
              <a:p>
                <a:pPr>
                  <a:defRPr lang="es-ES"/>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'3.6.2-05'!$B$15:$F$15</c:f>
              <c:numCache>
                <c:formatCode>General</c:formatCode>
                <c:ptCount val="5"/>
                <c:pt idx="0">
                  <c:v>2009</c:v>
                </c:pt>
                <c:pt idx="1">
                  <c:v>2010</c:v>
                </c:pt>
                <c:pt idx="2">
                  <c:v>2011</c:v>
                </c:pt>
                <c:pt idx="3">
                  <c:v>2012</c:v>
                </c:pt>
                <c:pt idx="4">
                  <c:v>2013</c:v>
                </c:pt>
              </c:numCache>
            </c:numRef>
          </c:cat>
          <c:val>
            <c:numRef>
              <c:f>'3.6.2-05'!$B$16:$F$16</c:f>
              <c:numCache>
                <c:formatCode>General</c:formatCode>
                <c:ptCount val="5"/>
                <c:pt idx="0">
                  <c:v>297</c:v>
                </c:pt>
                <c:pt idx="1">
                  <c:v>303</c:v>
                </c:pt>
                <c:pt idx="2">
                  <c:v>290</c:v>
                </c:pt>
                <c:pt idx="3">
                  <c:v>279</c:v>
                </c:pt>
                <c:pt idx="4">
                  <c:v>326</c:v>
                </c:pt>
              </c:numCache>
            </c:numRef>
          </c:val>
          <c:extLst>
            <c:ext xmlns:c16="http://schemas.microsoft.com/office/drawing/2014/chart" uri="{C3380CC4-5D6E-409C-BE32-E72D297353CC}">
              <c16:uniqueId val="{00000000-F95E-4E6A-B444-FAA7FAA9F213}"/>
            </c:ext>
          </c:extLst>
        </c:ser>
        <c:ser>
          <c:idx val="1"/>
          <c:order val="1"/>
          <c:tx>
            <c:strRef>
              <c:f>'3.6.2-05'!$A$17</c:f>
              <c:strCache>
                <c:ptCount val="1"/>
                <c:pt idx="0">
                  <c:v>Narrativa</c:v>
                </c:pt>
              </c:strCache>
            </c:strRef>
          </c:tx>
          <c:spPr>
            <a:solidFill>
              <a:schemeClr val="accent1">
                <a:lumMod val="75000"/>
              </a:schemeClr>
            </a:solidFill>
          </c:spPr>
          <c:invertIfNegative val="0"/>
          <c:dLbls>
            <c:spPr>
              <a:noFill/>
              <a:ln>
                <a:noFill/>
              </a:ln>
              <a:effectLst/>
            </c:spPr>
            <c:txPr>
              <a:bodyPr/>
              <a:lstStyle/>
              <a:p>
                <a:pPr>
                  <a:defRPr lang="es-ES"/>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'3.6.2-05'!$B$15:$F$15</c:f>
              <c:numCache>
                <c:formatCode>General</c:formatCode>
                <c:ptCount val="5"/>
                <c:pt idx="0">
                  <c:v>2009</c:v>
                </c:pt>
                <c:pt idx="1">
                  <c:v>2010</c:v>
                </c:pt>
                <c:pt idx="2">
                  <c:v>2011</c:v>
                </c:pt>
                <c:pt idx="3">
                  <c:v>2012</c:v>
                </c:pt>
                <c:pt idx="4">
                  <c:v>2013</c:v>
                </c:pt>
              </c:numCache>
            </c:numRef>
          </c:cat>
          <c:val>
            <c:numRef>
              <c:f>'3.6.2-05'!$B$17:$F$17</c:f>
              <c:numCache>
                <c:formatCode>General</c:formatCode>
                <c:ptCount val="5"/>
                <c:pt idx="0">
                  <c:v>263</c:v>
                </c:pt>
                <c:pt idx="1">
                  <c:v>268</c:v>
                </c:pt>
                <c:pt idx="2">
                  <c:v>378</c:v>
                </c:pt>
                <c:pt idx="3">
                  <c:v>373</c:v>
                </c:pt>
                <c:pt idx="4">
                  <c:v>480</c:v>
                </c:pt>
              </c:numCache>
            </c:numRef>
          </c:val>
          <c:extLst>
            <c:ext xmlns:c16="http://schemas.microsoft.com/office/drawing/2014/chart" uri="{C3380CC4-5D6E-409C-BE32-E72D297353CC}">
              <c16:uniqueId val="{00000001-F95E-4E6A-B444-FAA7FAA9F213}"/>
            </c:ext>
          </c:extLst>
        </c:ser>
        <c:ser>
          <c:idx val="2"/>
          <c:order val="2"/>
          <c:tx>
            <c:strRef>
              <c:f>'3.6.2-05'!$A$18</c:f>
              <c:strCache>
                <c:ptCount val="1"/>
                <c:pt idx="0">
                  <c:v>Lit. Infantil</c:v>
                </c:pt>
              </c:strCache>
            </c:strRef>
          </c:tx>
          <c:spPr>
            <a:solidFill>
              <a:schemeClr val="accent1">
                <a:lumMod val="60000"/>
                <a:lumOff val="40000"/>
              </a:schemeClr>
            </a:solidFill>
          </c:spPr>
          <c:invertIfNegative val="0"/>
          <c:dLbls>
            <c:spPr>
              <a:noFill/>
              <a:ln>
                <a:noFill/>
              </a:ln>
              <a:effectLst/>
            </c:spPr>
            <c:txPr>
              <a:bodyPr/>
              <a:lstStyle/>
              <a:p>
                <a:pPr>
                  <a:defRPr lang="es-ES"/>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'3.6.2-05'!$B$15:$F$15</c:f>
              <c:numCache>
                <c:formatCode>General</c:formatCode>
                <c:ptCount val="5"/>
                <c:pt idx="0">
                  <c:v>2009</c:v>
                </c:pt>
                <c:pt idx="1">
                  <c:v>2010</c:v>
                </c:pt>
                <c:pt idx="2">
                  <c:v>2011</c:v>
                </c:pt>
                <c:pt idx="3">
                  <c:v>2012</c:v>
                </c:pt>
                <c:pt idx="4">
                  <c:v>2013</c:v>
                </c:pt>
              </c:numCache>
            </c:numRef>
          </c:cat>
          <c:val>
            <c:numRef>
              <c:f>'3.6.2-05'!$B$18:$F$18</c:f>
              <c:numCache>
                <c:formatCode>General</c:formatCode>
                <c:ptCount val="5"/>
                <c:pt idx="0">
                  <c:v>344</c:v>
                </c:pt>
                <c:pt idx="1">
                  <c:v>332</c:v>
                </c:pt>
                <c:pt idx="2">
                  <c:v>542</c:v>
                </c:pt>
                <c:pt idx="3">
                  <c:v>382</c:v>
                </c:pt>
                <c:pt idx="4">
                  <c:v>458</c:v>
                </c:pt>
              </c:numCache>
            </c:numRef>
          </c:val>
          <c:extLst>
            <c:ext xmlns:c16="http://schemas.microsoft.com/office/drawing/2014/chart" uri="{C3380CC4-5D6E-409C-BE32-E72D297353CC}">
              <c16:uniqueId val="{00000002-F95E-4E6A-B444-FAA7FAA9F213}"/>
            </c:ext>
          </c:extLst>
        </c:ser>
        <c:ser>
          <c:idx val="3"/>
          <c:order val="3"/>
          <c:tx>
            <c:strRef>
              <c:f>'3.6.2-05'!$A$19</c:f>
              <c:strCache>
                <c:ptCount val="1"/>
                <c:pt idx="0">
                  <c:v>Ensayos</c:v>
                </c:pt>
              </c:strCache>
            </c:strRef>
          </c:tx>
          <c:spPr>
            <a:solidFill>
              <a:schemeClr val="accent1">
                <a:lumMod val="40000"/>
                <a:lumOff val="60000"/>
              </a:schemeClr>
            </a:solidFill>
          </c:spPr>
          <c:invertIfNegative val="0"/>
          <c:dLbls>
            <c:spPr>
              <a:noFill/>
              <a:ln>
                <a:noFill/>
              </a:ln>
              <a:effectLst/>
            </c:spPr>
            <c:txPr>
              <a:bodyPr/>
              <a:lstStyle/>
              <a:p>
                <a:pPr>
                  <a:defRPr lang="es-ES"/>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'3.6.2-05'!$B$15:$F$15</c:f>
              <c:numCache>
                <c:formatCode>General</c:formatCode>
                <c:ptCount val="5"/>
                <c:pt idx="0">
                  <c:v>2009</c:v>
                </c:pt>
                <c:pt idx="1">
                  <c:v>2010</c:v>
                </c:pt>
                <c:pt idx="2">
                  <c:v>2011</c:v>
                </c:pt>
                <c:pt idx="3">
                  <c:v>2012</c:v>
                </c:pt>
                <c:pt idx="4">
                  <c:v>2013</c:v>
                </c:pt>
              </c:numCache>
            </c:numRef>
          </c:cat>
          <c:val>
            <c:numRef>
              <c:f>'3.6.2-05'!$B$19:$F$19</c:f>
              <c:numCache>
                <c:formatCode>General</c:formatCode>
                <c:ptCount val="5"/>
                <c:pt idx="0">
                  <c:v>122</c:v>
                </c:pt>
                <c:pt idx="1">
                  <c:v>95</c:v>
                </c:pt>
                <c:pt idx="2">
                  <c:v>130</c:v>
                </c:pt>
                <c:pt idx="3">
                  <c:v>150</c:v>
                </c:pt>
                <c:pt idx="4">
                  <c:v>186</c:v>
                </c:pt>
              </c:numCache>
            </c:numRef>
          </c:val>
          <c:extLst>
            <c:ext xmlns:c16="http://schemas.microsoft.com/office/drawing/2014/chart" uri="{C3380CC4-5D6E-409C-BE32-E72D297353CC}">
              <c16:uniqueId val="{00000003-F95E-4E6A-B444-FAA7FAA9F213}"/>
            </c:ext>
          </c:extLst>
        </c:ser>
        <c:dLbls>
          <c:showLegendKey val="0"/>
          <c:showVal val="0"/>
          <c:showCatName val="0"/>
          <c:showSerName val="0"/>
          <c:showPercent val="0"/>
          <c:showBubbleSize val="0"/>
        </c:dLbls>
        <c:gapWidth val="150"/>
        <c:axId val="122737408"/>
        <c:axId val="122738944"/>
      </c:barChart>
      <c:catAx>
        <c:axId val="122737408"/>
        <c:scaling>
          <c:orientation val="minMax"/>
        </c:scaling>
        <c:delete val="0"/>
        <c:axPos val="b"/>
        <c:numFmt formatCode="General" sourceLinked="1"/>
        <c:majorTickMark val="out"/>
        <c:minorTickMark val="none"/>
        <c:tickLblPos val="nextTo"/>
        <c:txPr>
          <a:bodyPr rot="0" vert="horz"/>
          <a:lstStyle/>
          <a:p>
            <a:pPr>
              <a:defRPr lang="es-ES"/>
            </a:pPr>
            <a:endParaRPr lang="es-CL"/>
          </a:p>
        </c:txPr>
        <c:crossAx val="122738944"/>
        <c:crosses val="autoZero"/>
        <c:auto val="1"/>
        <c:lblAlgn val="ctr"/>
        <c:lblOffset val="100"/>
        <c:tickLblSkip val="1"/>
        <c:tickMarkSkip val="1"/>
        <c:noMultiLvlLbl val="0"/>
      </c:catAx>
      <c:valAx>
        <c:axId val="122738944"/>
        <c:scaling>
          <c:orientation val="minMax"/>
        </c:scaling>
        <c:delete val="0"/>
        <c:axPos val="l"/>
        <c:majorGridlines/>
        <c:title>
          <c:tx>
            <c:rich>
              <a:bodyPr/>
              <a:lstStyle/>
              <a:p>
                <a:pPr>
                  <a:defRPr lang="es-ES" sz="800">
                    <a:latin typeface="Verdana" pitchFamily="34" charset="0"/>
                    <a:ea typeface="Verdana" pitchFamily="34" charset="0"/>
                    <a:cs typeface="Verdana" pitchFamily="34" charset="0"/>
                  </a:defRPr>
                </a:pPr>
                <a:r>
                  <a:rPr lang="es-CL" sz="800">
                    <a:latin typeface="Verdana" pitchFamily="34" charset="0"/>
                    <a:ea typeface="Verdana" pitchFamily="34" charset="0"/>
                    <a:cs typeface="Verdana" pitchFamily="34" charset="0"/>
                  </a:rPr>
                  <a:t>TÍTULOS</a:t>
                </a:r>
              </a:p>
            </c:rich>
          </c:tx>
          <c:layout>
            <c:manualLayout>
              <c:xMode val="edge"/>
              <c:yMode val="edge"/>
              <c:x val="5.6151791598737424E-3"/>
              <c:y val="0.39663607335708401"/>
            </c:manualLayout>
          </c:layout>
          <c:overlay val="0"/>
        </c:title>
        <c:numFmt formatCode="General" sourceLinked="1"/>
        <c:majorTickMark val="out"/>
        <c:minorTickMark val="none"/>
        <c:tickLblPos val="nextTo"/>
        <c:txPr>
          <a:bodyPr rot="0" vert="horz"/>
          <a:lstStyle/>
          <a:p>
            <a:pPr>
              <a:defRPr lang="es-ES"/>
            </a:pPr>
            <a:endParaRPr lang="es-CL"/>
          </a:p>
        </c:txPr>
        <c:crossAx val="122737408"/>
        <c:crosses val="autoZero"/>
        <c:crossBetween val="between"/>
      </c:valAx>
    </c:plotArea>
    <c:legend>
      <c:legendPos val="b"/>
      <c:layout>
        <c:manualLayout>
          <c:xMode val="edge"/>
          <c:yMode val="edge"/>
          <c:x val="0.27566547573623784"/>
          <c:y val="0.91047595165254025"/>
          <c:w val="0.43300565402892921"/>
          <c:h val="7.6785194844275123E-2"/>
        </c:manualLayout>
      </c:layout>
      <c:overlay val="0"/>
      <c:txPr>
        <a:bodyPr/>
        <a:lstStyle/>
        <a:p>
          <a:pPr>
            <a:defRPr lang="es-ES"/>
          </a:pPr>
          <a:endParaRPr lang="es-CL"/>
        </a:p>
      </c:txPr>
    </c:legend>
    <c:plotVisOnly val="1"/>
    <c:dispBlanksAs val="gap"/>
    <c:showDLblsOverMax val="0"/>
  </c:chart>
  <c:printSettings>
    <c:headerFooter alignWithMargins="0"/>
    <c:pageMargins b="0.39370078740157488" l="0.39370078740157488" r="0.39370078740157488" t="0.59055118110230065" header="0" footer="0"/>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L" sz="1200"/>
              <a:t>Número de concesiones de radiodifusión por tipo de transmisión</a:t>
            </a:r>
            <a:r>
              <a:rPr lang="es-CL" sz="1200" baseline="0"/>
              <a:t>, según banda de transmisión. 2009-2013</a:t>
            </a:r>
            <a:endParaRPr lang="es-CL" sz="1200"/>
          </a:p>
        </c:rich>
      </c:tx>
      <c:overlay val="0"/>
    </c:title>
    <c:autoTitleDeleted val="0"/>
    <c:plotArea>
      <c:layout/>
      <c:barChart>
        <c:barDir val="col"/>
        <c:grouping val="clustered"/>
        <c:varyColors val="0"/>
        <c:ser>
          <c:idx val="0"/>
          <c:order val="0"/>
          <c:tx>
            <c:strRef>
              <c:f>'3.7.1-01'!$A$37</c:f>
              <c:strCache>
                <c:ptCount val="1"/>
                <c:pt idx="0">
                  <c:v>2009</c:v>
                </c:pt>
              </c:strCache>
            </c:strRef>
          </c:tx>
          <c:invertIfNegative val="0"/>
          <c:dLbls>
            <c:spPr>
              <a:noFill/>
              <a:ln>
                <a:noFill/>
              </a:ln>
              <a:effectLst/>
            </c:spPr>
            <c:txPr>
              <a:bodyPr rot="-5400000" vert="horz"/>
              <a:lstStyle/>
              <a:p>
                <a:pPr>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'3.7.1-01'!$B$35:$J$36</c:f>
              <c:multiLvlStrCache>
                <c:ptCount val="9"/>
                <c:lvl>
                  <c:pt idx="0">
                    <c:v>Independiente</c:v>
                  </c:pt>
                  <c:pt idx="1">
                    <c:v>Repetidora</c:v>
                  </c:pt>
                  <c:pt idx="2">
                    <c:v>Mixta</c:v>
                  </c:pt>
                  <c:pt idx="3">
                    <c:v>Independiente</c:v>
                  </c:pt>
                  <c:pt idx="4">
                    <c:v>Repetidora</c:v>
                  </c:pt>
                  <c:pt idx="5">
                    <c:v>Mixta</c:v>
                  </c:pt>
                  <c:pt idx="6">
                    <c:v>Independiente</c:v>
                  </c:pt>
                  <c:pt idx="7">
                    <c:v>Repetidora</c:v>
                  </c:pt>
                  <c:pt idx="8">
                    <c:v>Mixta</c:v>
                  </c:pt>
                </c:lvl>
                <c:lvl>
                  <c:pt idx="0">
                    <c:v>AM</c:v>
                  </c:pt>
                  <c:pt idx="3">
                    <c:v>FM</c:v>
                  </c:pt>
                  <c:pt idx="6">
                    <c:v>MC</c:v>
                  </c:pt>
                </c:lvl>
              </c:multiLvlStrCache>
            </c:multiLvlStrRef>
          </c:cat>
          <c:val>
            <c:numRef>
              <c:f>'3.7.1-01'!$B$37:$J$37</c:f>
              <c:numCache>
                <c:formatCode>_-* #,##0_-;\-* #,##0_-;_-* "-"_-;_-@_-</c:formatCode>
                <c:ptCount val="9"/>
                <c:pt idx="0">
                  <c:v>75</c:v>
                </c:pt>
                <c:pt idx="1">
                  <c:v>36</c:v>
                </c:pt>
                <c:pt idx="2">
                  <c:v>35</c:v>
                </c:pt>
                <c:pt idx="3">
                  <c:v>499</c:v>
                </c:pt>
                <c:pt idx="4">
                  <c:v>665</c:v>
                </c:pt>
                <c:pt idx="5">
                  <c:v>204</c:v>
                </c:pt>
                <c:pt idx="6">
                  <c:v>150</c:v>
                </c:pt>
                <c:pt idx="7">
                  <c:v>81</c:v>
                </c:pt>
                <c:pt idx="8">
                  <c:v>27</c:v>
                </c:pt>
              </c:numCache>
            </c:numRef>
          </c:val>
          <c:extLst>
            <c:ext xmlns:c16="http://schemas.microsoft.com/office/drawing/2014/chart" uri="{C3380CC4-5D6E-409C-BE32-E72D297353CC}">
              <c16:uniqueId val="{00000000-08C1-4112-8BBB-DE98E753E0DC}"/>
            </c:ext>
          </c:extLst>
        </c:ser>
        <c:ser>
          <c:idx val="1"/>
          <c:order val="1"/>
          <c:tx>
            <c:strRef>
              <c:f>'3.7.1-01'!$A$38</c:f>
              <c:strCache>
                <c:ptCount val="1"/>
                <c:pt idx="0">
                  <c:v>2010</c:v>
                </c:pt>
              </c:strCache>
            </c:strRef>
          </c:tx>
          <c:invertIfNegative val="0"/>
          <c:dLbls>
            <c:spPr>
              <a:noFill/>
              <a:ln>
                <a:noFill/>
              </a:ln>
              <a:effectLst/>
            </c:spPr>
            <c:txPr>
              <a:bodyPr rot="-5400000" vert="horz"/>
              <a:lstStyle/>
              <a:p>
                <a:pPr>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'3.7.1-01'!$B$35:$J$36</c:f>
              <c:multiLvlStrCache>
                <c:ptCount val="9"/>
                <c:lvl>
                  <c:pt idx="0">
                    <c:v>Independiente</c:v>
                  </c:pt>
                  <c:pt idx="1">
                    <c:v>Repetidora</c:v>
                  </c:pt>
                  <c:pt idx="2">
                    <c:v>Mixta</c:v>
                  </c:pt>
                  <c:pt idx="3">
                    <c:v>Independiente</c:v>
                  </c:pt>
                  <c:pt idx="4">
                    <c:v>Repetidora</c:v>
                  </c:pt>
                  <c:pt idx="5">
                    <c:v>Mixta</c:v>
                  </c:pt>
                  <c:pt idx="6">
                    <c:v>Independiente</c:v>
                  </c:pt>
                  <c:pt idx="7">
                    <c:v>Repetidora</c:v>
                  </c:pt>
                  <c:pt idx="8">
                    <c:v>Mixta</c:v>
                  </c:pt>
                </c:lvl>
                <c:lvl>
                  <c:pt idx="0">
                    <c:v>AM</c:v>
                  </c:pt>
                  <c:pt idx="3">
                    <c:v>FM</c:v>
                  </c:pt>
                  <c:pt idx="6">
                    <c:v>MC</c:v>
                  </c:pt>
                </c:lvl>
              </c:multiLvlStrCache>
            </c:multiLvlStrRef>
          </c:cat>
          <c:val>
            <c:numRef>
              <c:f>'3.7.1-01'!$B$38:$J$38</c:f>
              <c:numCache>
                <c:formatCode>_-* #,##0_-;\-* #,##0_-;_-* "-"_-;_-@_-</c:formatCode>
                <c:ptCount val="9"/>
                <c:pt idx="0">
                  <c:v>84</c:v>
                </c:pt>
                <c:pt idx="1">
                  <c:v>31</c:v>
                </c:pt>
                <c:pt idx="2">
                  <c:v>30</c:v>
                </c:pt>
                <c:pt idx="3">
                  <c:v>486</c:v>
                </c:pt>
                <c:pt idx="4">
                  <c:v>610</c:v>
                </c:pt>
                <c:pt idx="5">
                  <c:v>260</c:v>
                </c:pt>
                <c:pt idx="6">
                  <c:v>206</c:v>
                </c:pt>
                <c:pt idx="7">
                  <c:v>77</c:v>
                </c:pt>
                <c:pt idx="8">
                  <c:v>34</c:v>
                </c:pt>
              </c:numCache>
            </c:numRef>
          </c:val>
          <c:extLst>
            <c:ext xmlns:c16="http://schemas.microsoft.com/office/drawing/2014/chart" uri="{C3380CC4-5D6E-409C-BE32-E72D297353CC}">
              <c16:uniqueId val="{00000001-08C1-4112-8BBB-DE98E753E0DC}"/>
            </c:ext>
          </c:extLst>
        </c:ser>
        <c:ser>
          <c:idx val="2"/>
          <c:order val="2"/>
          <c:tx>
            <c:strRef>
              <c:f>'3.7.1-01'!$A$39</c:f>
              <c:strCache>
                <c:ptCount val="1"/>
                <c:pt idx="0">
                  <c:v>2011</c:v>
                </c:pt>
              </c:strCache>
            </c:strRef>
          </c:tx>
          <c:invertIfNegative val="0"/>
          <c:dLbls>
            <c:spPr>
              <a:noFill/>
              <a:ln>
                <a:noFill/>
              </a:ln>
              <a:effectLst/>
            </c:spPr>
            <c:txPr>
              <a:bodyPr rot="-5400000" vert="horz"/>
              <a:lstStyle/>
              <a:p>
                <a:pPr>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'3.7.1-01'!$B$35:$J$36</c:f>
              <c:multiLvlStrCache>
                <c:ptCount val="9"/>
                <c:lvl>
                  <c:pt idx="0">
                    <c:v>Independiente</c:v>
                  </c:pt>
                  <c:pt idx="1">
                    <c:v>Repetidora</c:v>
                  </c:pt>
                  <c:pt idx="2">
                    <c:v>Mixta</c:v>
                  </c:pt>
                  <c:pt idx="3">
                    <c:v>Independiente</c:v>
                  </c:pt>
                  <c:pt idx="4">
                    <c:v>Repetidora</c:v>
                  </c:pt>
                  <c:pt idx="5">
                    <c:v>Mixta</c:v>
                  </c:pt>
                  <c:pt idx="6">
                    <c:v>Independiente</c:v>
                  </c:pt>
                  <c:pt idx="7">
                    <c:v>Repetidora</c:v>
                  </c:pt>
                  <c:pt idx="8">
                    <c:v>Mixta</c:v>
                  </c:pt>
                </c:lvl>
                <c:lvl>
                  <c:pt idx="0">
                    <c:v>AM</c:v>
                  </c:pt>
                  <c:pt idx="3">
                    <c:v>FM</c:v>
                  </c:pt>
                  <c:pt idx="6">
                    <c:v>MC</c:v>
                  </c:pt>
                </c:lvl>
              </c:multiLvlStrCache>
            </c:multiLvlStrRef>
          </c:cat>
          <c:val>
            <c:numRef>
              <c:f>'3.7.1-01'!$B$39:$J$39</c:f>
              <c:numCache>
                <c:formatCode>_-* #,##0_-;\-* #,##0_-;_-* "-"_-;_-@_-</c:formatCode>
                <c:ptCount val="9"/>
                <c:pt idx="0">
                  <c:v>82</c:v>
                </c:pt>
                <c:pt idx="1">
                  <c:v>21</c:v>
                </c:pt>
                <c:pt idx="2">
                  <c:v>29</c:v>
                </c:pt>
                <c:pt idx="3">
                  <c:v>560</c:v>
                </c:pt>
                <c:pt idx="4">
                  <c:v>533</c:v>
                </c:pt>
                <c:pt idx="5">
                  <c:v>253</c:v>
                </c:pt>
                <c:pt idx="6">
                  <c:v>181</c:v>
                </c:pt>
                <c:pt idx="7">
                  <c:v>62</c:v>
                </c:pt>
                <c:pt idx="8">
                  <c:v>17</c:v>
                </c:pt>
              </c:numCache>
            </c:numRef>
          </c:val>
          <c:extLst>
            <c:ext xmlns:c16="http://schemas.microsoft.com/office/drawing/2014/chart" uri="{C3380CC4-5D6E-409C-BE32-E72D297353CC}">
              <c16:uniqueId val="{00000002-08C1-4112-8BBB-DE98E753E0DC}"/>
            </c:ext>
          </c:extLst>
        </c:ser>
        <c:ser>
          <c:idx val="3"/>
          <c:order val="3"/>
          <c:tx>
            <c:strRef>
              <c:f>'3.7.1-01'!$A$40</c:f>
              <c:strCache>
                <c:ptCount val="1"/>
                <c:pt idx="0">
                  <c:v>2012</c:v>
                </c:pt>
              </c:strCache>
            </c:strRef>
          </c:tx>
          <c:invertIfNegative val="0"/>
          <c:dLbls>
            <c:spPr>
              <a:noFill/>
              <a:ln>
                <a:noFill/>
              </a:ln>
              <a:effectLst/>
            </c:spPr>
            <c:txPr>
              <a:bodyPr rot="-5400000" vert="horz"/>
              <a:lstStyle/>
              <a:p>
                <a:pPr>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'3.7.1-01'!$B$35:$J$36</c:f>
              <c:multiLvlStrCache>
                <c:ptCount val="9"/>
                <c:lvl>
                  <c:pt idx="0">
                    <c:v>Independiente</c:v>
                  </c:pt>
                  <c:pt idx="1">
                    <c:v>Repetidora</c:v>
                  </c:pt>
                  <c:pt idx="2">
                    <c:v>Mixta</c:v>
                  </c:pt>
                  <c:pt idx="3">
                    <c:v>Independiente</c:v>
                  </c:pt>
                  <c:pt idx="4">
                    <c:v>Repetidora</c:v>
                  </c:pt>
                  <c:pt idx="5">
                    <c:v>Mixta</c:v>
                  </c:pt>
                  <c:pt idx="6">
                    <c:v>Independiente</c:v>
                  </c:pt>
                  <c:pt idx="7">
                    <c:v>Repetidora</c:v>
                  </c:pt>
                  <c:pt idx="8">
                    <c:v>Mixta</c:v>
                  </c:pt>
                </c:lvl>
                <c:lvl>
                  <c:pt idx="0">
                    <c:v>AM</c:v>
                  </c:pt>
                  <c:pt idx="3">
                    <c:v>FM</c:v>
                  </c:pt>
                  <c:pt idx="6">
                    <c:v>MC</c:v>
                  </c:pt>
                </c:lvl>
              </c:multiLvlStrCache>
            </c:multiLvlStrRef>
          </c:cat>
          <c:val>
            <c:numRef>
              <c:f>'3.7.1-01'!$B$40:$J$40</c:f>
              <c:numCache>
                <c:formatCode>_-* #,##0_-;\-* #,##0_-;_-* "-"_-;_-@_-</c:formatCode>
                <c:ptCount val="9"/>
                <c:pt idx="0">
                  <c:v>76</c:v>
                </c:pt>
                <c:pt idx="1">
                  <c:v>23</c:v>
                </c:pt>
                <c:pt idx="2">
                  <c:v>19</c:v>
                </c:pt>
                <c:pt idx="3">
                  <c:v>573</c:v>
                </c:pt>
                <c:pt idx="4">
                  <c:v>515</c:v>
                </c:pt>
                <c:pt idx="5">
                  <c:v>142</c:v>
                </c:pt>
                <c:pt idx="6">
                  <c:v>182</c:v>
                </c:pt>
                <c:pt idx="7">
                  <c:v>30</c:v>
                </c:pt>
                <c:pt idx="8">
                  <c:v>21</c:v>
                </c:pt>
              </c:numCache>
            </c:numRef>
          </c:val>
          <c:extLst>
            <c:ext xmlns:c16="http://schemas.microsoft.com/office/drawing/2014/chart" uri="{C3380CC4-5D6E-409C-BE32-E72D297353CC}">
              <c16:uniqueId val="{00000003-08C1-4112-8BBB-DE98E753E0DC}"/>
            </c:ext>
          </c:extLst>
        </c:ser>
        <c:ser>
          <c:idx val="4"/>
          <c:order val="4"/>
          <c:tx>
            <c:strRef>
              <c:f>'3.7.1-01'!$A$41</c:f>
              <c:strCache>
                <c:ptCount val="1"/>
                <c:pt idx="0">
                  <c:v>2013</c:v>
                </c:pt>
              </c:strCache>
            </c:strRef>
          </c:tx>
          <c:invertIfNegative val="0"/>
          <c:dLbls>
            <c:spPr>
              <a:noFill/>
              <a:ln>
                <a:noFill/>
              </a:ln>
              <a:effectLst/>
            </c:spPr>
            <c:txPr>
              <a:bodyPr rot="-5400000" vert="horz"/>
              <a:lstStyle/>
              <a:p>
                <a:pPr>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'3.7.1-01'!$B$35:$J$36</c:f>
              <c:multiLvlStrCache>
                <c:ptCount val="9"/>
                <c:lvl>
                  <c:pt idx="0">
                    <c:v>Independiente</c:v>
                  </c:pt>
                  <c:pt idx="1">
                    <c:v>Repetidora</c:v>
                  </c:pt>
                  <c:pt idx="2">
                    <c:v>Mixta</c:v>
                  </c:pt>
                  <c:pt idx="3">
                    <c:v>Independiente</c:v>
                  </c:pt>
                  <c:pt idx="4">
                    <c:v>Repetidora</c:v>
                  </c:pt>
                  <c:pt idx="5">
                    <c:v>Mixta</c:v>
                  </c:pt>
                  <c:pt idx="6">
                    <c:v>Independiente</c:v>
                  </c:pt>
                  <c:pt idx="7">
                    <c:v>Repetidora</c:v>
                  </c:pt>
                  <c:pt idx="8">
                    <c:v>Mixta</c:v>
                  </c:pt>
                </c:lvl>
                <c:lvl>
                  <c:pt idx="0">
                    <c:v>AM</c:v>
                  </c:pt>
                  <c:pt idx="3">
                    <c:v>FM</c:v>
                  </c:pt>
                  <c:pt idx="6">
                    <c:v>MC</c:v>
                  </c:pt>
                </c:lvl>
              </c:multiLvlStrCache>
            </c:multiLvlStrRef>
          </c:cat>
          <c:val>
            <c:numRef>
              <c:f>'3.7.1-01'!$B$41:$J$41</c:f>
              <c:numCache>
                <c:formatCode>General</c:formatCode>
                <c:ptCount val="9"/>
                <c:pt idx="0">
                  <c:v>71</c:v>
                </c:pt>
                <c:pt idx="1">
                  <c:v>23</c:v>
                </c:pt>
                <c:pt idx="2">
                  <c:v>25</c:v>
                </c:pt>
                <c:pt idx="3">
                  <c:v>526</c:v>
                </c:pt>
                <c:pt idx="4">
                  <c:v>532</c:v>
                </c:pt>
                <c:pt idx="5">
                  <c:v>143</c:v>
                </c:pt>
                <c:pt idx="6">
                  <c:v>146</c:v>
                </c:pt>
                <c:pt idx="7">
                  <c:v>21</c:v>
                </c:pt>
                <c:pt idx="8">
                  <c:v>10</c:v>
                </c:pt>
              </c:numCache>
            </c:numRef>
          </c:val>
          <c:extLst>
            <c:ext xmlns:c16="http://schemas.microsoft.com/office/drawing/2014/chart" uri="{C3380CC4-5D6E-409C-BE32-E72D297353CC}">
              <c16:uniqueId val="{00000004-08C1-4112-8BBB-DE98E753E0DC}"/>
            </c:ext>
          </c:extLst>
        </c:ser>
        <c:dLbls>
          <c:showLegendKey val="0"/>
          <c:showVal val="0"/>
          <c:showCatName val="0"/>
          <c:showSerName val="0"/>
          <c:showPercent val="0"/>
          <c:showBubbleSize val="0"/>
        </c:dLbls>
        <c:gapWidth val="150"/>
        <c:axId val="37762560"/>
        <c:axId val="37764480"/>
      </c:barChart>
      <c:catAx>
        <c:axId val="37762560"/>
        <c:scaling>
          <c:orientation val="minMax"/>
        </c:scaling>
        <c:delete val="0"/>
        <c:axPos val="b"/>
        <c:title>
          <c:tx>
            <c:rich>
              <a:bodyPr/>
              <a:lstStyle/>
              <a:p>
                <a:pPr>
                  <a:defRPr/>
                </a:pPr>
                <a:r>
                  <a:rPr lang="es-CL"/>
                  <a:t>Banda</a:t>
                </a:r>
                <a:r>
                  <a:rPr lang="es-CL" baseline="0"/>
                  <a:t> de transmisión</a:t>
                </a:r>
                <a:endParaRPr lang="es-CL"/>
              </a:p>
            </c:rich>
          </c:tx>
          <c:overlay val="0"/>
        </c:title>
        <c:numFmt formatCode="General" sourceLinked="0"/>
        <c:majorTickMark val="none"/>
        <c:minorTickMark val="none"/>
        <c:tickLblPos val="nextTo"/>
        <c:crossAx val="37764480"/>
        <c:crosses val="autoZero"/>
        <c:auto val="1"/>
        <c:lblAlgn val="ctr"/>
        <c:lblOffset val="100"/>
        <c:noMultiLvlLbl val="0"/>
      </c:catAx>
      <c:valAx>
        <c:axId val="37764480"/>
        <c:scaling>
          <c:orientation val="minMax"/>
        </c:scaling>
        <c:delete val="0"/>
        <c:axPos val="l"/>
        <c:majorGridlines/>
        <c:title>
          <c:tx>
            <c:rich>
              <a:bodyPr/>
              <a:lstStyle/>
              <a:p>
                <a:pPr>
                  <a:defRPr/>
                </a:pPr>
                <a:r>
                  <a:rPr lang="es-CL"/>
                  <a:t>Concesiones</a:t>
                </a:r>
              </a:p>
            </c:rich>
          </c:tx>
          <c:overlay val="0"/>
        </c:title>
        <c:numFmt formatCode="_-* #,##0_-;\-* #,##0_-;_-* &quot;-&quot;_-;_-@_-" sourceLinked="1"/>
        <c:majorTickMark val="out"/>
        <c:minorTickMark val="none"/>
        <c:tickLblPos val="nextTo"/>
        <c:crossAx val="37762560"/>
        <c:crosses val="autoZero"/>
        <c:crossBetween val="between"/>
      </c:valAx>
    </c:plotArea>
    <c:legend>
      <c:legendPos val="r"/>
      <c:overlay val="0"/>
    </c:legend>
    <c:plotVisOnly val="1"/>
    <c:dispBlanksAs val="gap"/>
    <c:showDLblsOverMax val="0"/>
  </c:chart>
  <c:printSettings>
    <c:headerFooter/>
    <c:pageMargins b="0.75000000000000189" l="0.70000000000000062" r="0.70000000000000062" t="0.75000000000000189"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s-CL"/>
              <a:t>ARRIENDOS DE PELÍCULAS EN BAZUKA, POR GÉNERO, 2007</a:t>
            </a:r>
          </a:p>
        </c:rich>
      </c:tx>
      <c:layout>
        <c:manualLayout>
          <c:xMode val="edge"/>
          <c:yMode val="edge"/>
          <c:x val="0.32944606413996647"/>
          <c:y val="0"/>
        </c:manualLayout>
      </c:layout>
      <c:overlay val="0"/>
      <c:spPr>
        <a:noFill/>
        <a:ln w="25400">
          <a:noFill/>
        </a:ln>
      </c:spPr>
    </c:title>
    <c:autoTitleDeleted val="0"/>
    <c:plotArea>
      <c:layout/>
      <c:pieChart>
        <c:varyColors val="1"/>
        <c:ser>
          <c:idx val="0"/>
          <c:order val="0"/>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D1A3-44D4-A37A-3DFE5710CF9C}"/>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D1A3-44D4-A37A-3DFE5710CF9C}"/>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D1A3-44D4-A37A-3DFE5710CF9C}"/>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D1A3-44D4-A37A-3DFE5710CF9C}"/>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D1A3-44D4-A37A-3DFE5710CF9C}"/>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D1A3-44D4-A37A-3DFE5710CF9C}"/>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D1A3-44D4-A37A-3DFE5710CF9C}"/>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D1A3-44D4-A37A-3DFE5710CF9C}"/>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D1A3-44D4-A37A-3DFE5710CF9C}"/>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D1A3-44D4-A37A-3DFE5710CF9C}"/>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D1A3-44D4-A37A-3DFE5710CF9C}"/>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D1A3-44D4-A37A-3DFE5710CF9C}"/>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9-D1A3-44D4-A37A-3DFE5710CF9C}"/>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B-D1A3-44D4-A37A-3DFE5710CF9C}"/>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1D-D1A3-44D4-A37A-3DFE5710CF9C}"/>
              </c:ext>
            </c:extLst>
          </c:dPt>
          <c:dPt>
            <c:idx val="16"/>
            <c:bubble3D val="0"/>
            <c:spPr>
              <a:solidFill>
                <a:srgbClr val="00CCFF"/>
              </a:solidFill>
              <a:ln w="12700">
                <a:solidFill>
                  <a:srgbClr val="000000"/>
                </a:solidFill>
                <a:prstDash val="solid"/>
              </a:ln>
            </c:spPr>
            <c:extLst>
              <c:ext xmlns:c16="http://schemas.microsoft.com/office/drawing/2014/chart" uri="{C3380CC4-5D6E-409C-BE32-E72D297353CC}">
                <c16:uniqueId val="{0000001F-D1A3-44D4-A37A-3DFE5710CF9C}"/>
              </c:ext>
            </c:extLst>
          </c:dPt>
          <c:dPt>
            <c:idx val="17"/>
            <c:bubble3D val="0"/>
            <c:spPr>
              <a:solidFill>
                <a:srgbClr val="CCFFFF"/>
              </a:solidFill>
              <a:ln w="12700">
                <a:solidFill>
                  <a:srgbClr val="000000"/>
                </a:solidFill>
                <a:prstDash val="solid"/>
              </a:ln>
            </c:spPr>
            <c:extLst>
              <c:ext xmlns:c16="http://schemas.microsoft.com/office/drawing/2014/chart" uri="{C3380CC4-5D6E-409C-BE32-E72D297353CC}">
                <c16:uniqueId val="{00000021-D1A3-44D4-A37A-3DFE5710CF9C}"/>
              </c:ext>
            </c:extLst>
          </c:dPt>
          <c:cat>
            <c:strRef>
              <c:f>'[11]20 pg'!$B$28:$B$46</c:f>
              <c:strCache>
                <c:ptCount val="19"/>
                <c:pt idx="0">
                  <c:v>Acción</c:v>
                </c:pt>
                <c:pt idx="1">
                  <c:v>Drama</c:v>
                </c:pt>
                <c:pt idx="2">
                  <c:v>Comedia</c:v>
                </c:pt>
                <c:pt idx="3">
                  <c:v>TV</c:v>
                </c:pt>
                <c:pt idx="4">
                  <c:v>Niños</c:v>
                </c:pt>
                <c:pt idx="5">
                  <c:v>Misterio/Suspenso</c:v>
                </c:pt>
                <c:pt idx="6">
                  <c:v>Romance</c:v>
                </c:pt>
                <c:pt idx="7">
                  <c:v>Ciencia Ficción</c:v>
                </c:pt>
                <c:pt idx="8">
                  <c:v>Cine Arte</c:v>
                </c:pt>
                <c:pt idx="9">
                  <c:v>Terror</c:v>
                </c:pt>
                <c:pt idx="10">
                  <c:v>Cine Chileno</c:v>
                </c:pt>
                <c:pt idx="11">
                  <c:v>Documental</c:v>
                </c:pt>
                <c:pt idx="12">
                  <c:v>Clásicos</c:v>
                </c:pt>
                <c:pt idx="13">
                  <c:v>Otros</c:v>
                </c:pt>
                <c:pt idx="14">
                  <c:v>FUENTE: Bazuca.</c:v>
                </c:pt>
              </c:strCache>
            </c:strRef>
          </c:cat>
          <c:val>
            <c:numRef>
              <c:f>'[11]20 pg'!$C$28:$C$46</c:f>
              <c:numCache>
                <c:formatCode>General</c:formatCode>
                <c:ptCount val="19"/>
                <c:pt idx="0">
                  <c:v>129136</c:v>
                </c:pt>
                <c:pt idx="1">
                  <c:v>76738</c:v>
                </c:pt>
                <c:pt idx="2">
                  <c:v>73305</c:v>
                </c:pt>
                <c:pt idx="3">
                  <c:v>16775</c:v>
                </c:pt>
                <c:pt idx="4">
                  <c:v>37342</c:v>
                </c:pt>
                <c:pt idx="5">
                  <c:v>29282</c:v>
                </c:pt>
                <c:pt idx="6">
                  <c:v>8643</c:v>
                </c:pt>
                <c:pt idx="7">
                  <c:v>25197</c:v>
                </c:pt>
                <c:pt idx="8">
                  <c:v>26687</c:v>
                </c:pt>
                <c:pt idx="9">
                  <c:v>11737</c:v>
                </c:pt>
                <c:pt idx="10">
                  <c:v>10874</c:v>
                </c:pt>
                <c:pt idx="11">
                  <c:v>8851</c:v>
                </c:pt>
                <c:pt idx="12">
                  <c:v>7609</c:v>
                </c:pt>
                <c:pt idx="13">
                  <c:v>12001</c:v>
                </c:pt>
              </c:numCache>
            </c:numRef>
          </c:val>
          <c:extLst>
            <c:ext xmlns:c16="http://schemas.microsoft.com/office/drawing/2014/chart" uri="{C3380CC4-5D6E-409C-BE32-E72D297353CC}">
              <c16:uniqueId val="{00000022-D1A3-44D4-A37A-3DFE5710CF9C}"/>
            </c:ext>
          </c:extLst>
        </c:ser>
        <c:dLbls>
          <c:showLegendKey val="0"/>
          <c:showVal val="0"/>
          <c:showCatName val="0"/>
          <c:showSerName val="0"/>
          <c:showPercent val="0"/>
          <c:showBubbleSize val="0"/>
          <c:showLeaderLines val="1"/>
        </c:dLbls>
        <c:firstSliceAng val="0"/>
      </c:pieChart>
      <c:spPr>
        <a:noFill/>
        <a:ln w="25400">
          <a:noFill/>
        </a:ln>
      </c:spPr>
    </c:plotArea>
    <c:legend>
      <c:legendPos val="r"/>
      <c:overlay val="0"/>
      <c:spPr>
        <a:solidFill>
          <a:srgbClr val="FFFFFF"/>
        </a:solidFill>
        <a:ln w="3175">
          <a:solidFill>
            <a:srgbClr val="000000"/>
          </a:solidFill>
          <a:prstDash val="solid"/>
        </a:ln>
      </c:spPr>
      <c:txPr>
        <a:bodyPr/>
        <a:lstStyle/>
        <a:p>
          <a:pPr>
            <a:defRPr sz="150" b="0" i="0" u="none" strike="noStrike" baseline="0">
              <a:solidFill>
                <a:srgbClr val="000000"/>
              </a:solidFill>
              <a:latin typeface="Arial"/>
              <a:ea typeface="Arial"/>
              <a:cs typeface="Arial"/>
            </a:defRPr>
          </a:pPr>
          <a:endParaRPr lang="es-CL"/>
        </a:p>
      </c:txPr>
    </c:legend>
    <c:plotVisOnly val="1"/>
    <c:dispBlanksAs val="zero"/>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1" i="0" u="none" strike="noStrike" baseline="0">
                <a:solidFill>
                  <a:srgbClr val="000000"/>
                </a:solidFill>
                <a:latin typeface="Arial"/>
                <a:ea typeface="Arial"/>
                <a:cs typeface="Arial"/>
              </a:defRPr>
            </a:pPr>
            <a:r>
              <a:rPr lang="es-CL"/>
              <a:t>ARRIENDOS DE PELÍCULAS EN BAZUKA, POR GÉNERO, 2007</a:t>
            </a:r>
          </a:p>
        </c:rich>
      </c:tx>
      <c:layout>
        <c:manualLayout>
          <c:xMode val="edge"/>
          <c:yMode val="edge"/>
          <c:x val="0.32944606413996758"/>
          <c:y val="0"/>
        </c:manualLayout>
      </c:layout>
      <c:overlay val="0"/>
      <c:spPr>
        <a:noFill/>
        <a:ln w="25400">
          <a:noFill/>
        </a:ln>
      </c:spPr>
    </c:title>
    <c:autoTitleDeleted val="0"/>
    <c:plotArea>
      <c:layout/>
      <c:pieChart>
        <c:varyColors val="1"/>
        <c:ser>
          <c:idx val="0"/>
          <c:order val="0"/>
          <c:spPr>
            <a:solidFill>
              <a:srgbClr val="9999FF"/>
            </a:solidFill>
            <a:ln w="12700">
              <a:solidFill>
                <a:srgbClr val="000000"/>
              </a:solidFill>
              <a:prstDash val="solid"/>
            </a:ln>
          </c:spPr>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1-4489-4665-A2F1-6C7602730B1B}"/>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3-4489-4665-A2F1-6C7602730B1B}"/>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5-4489-4665-A2F1-6C7602730B1B}"/>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7-4489-4665-A2F1-6C7602730B1B}"/>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4489-4665-A2F1-6C7602730B1B}"/>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B-4489-4665-A2F1-6C7602730B1B}"/>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D-4489-4665-A2F1-6C7602730B1B}"/>
              </c:ext>
            </c:extLst>
          </c:dPt>
          <c:dPt>
            <c:idx val="8"/>
            <c:bubble3D val="0"/>
            <c:spPr>
              <a:solidFill>
                <a:srgbClr val="000080"/>
              </a:solidFill>
              <a:ln w="12700">
                <a:solidFill>
                  <a:srgbClr val="000000"/>
                </a:solidFill>
                <a:prstDash val="solid"/>
              </a:ln>
            </c:spPr>
            <c:extLst>
              <c:ext xmlns:c16="http://schemas.microsoft.com/office/drawing/2014/chart" uri="{C3380CC4-5D6E-409C-BE32-E72D297353CC}">
                <c16:uniqueId val="{0000000F-4489-4665-A2F1-6C7602730B1B}"/>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4489-4665-A2F1-6C7602730B1B}"/>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4489-4665-A2F1-6C7602730B1B}"/>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4489-4665-A2F1-6C7602730B1B}"/>
              </c:ext>
            </c:extLst>
          </c:dPt>
          <c:dPt>
            <c:idx val="12"/>
            <c:bubble3D val="0"/>
            <c:spPr>
              <a:solidFill>
                <a:srgbClr val="800080"/>
              </a:solidFill>
              <a:ln w="12700">
                <a:solidFill>
                  <a:srgbClr val="000000"/>
                </a:solidFill>
                <a:prstDash val="solid"/>
              </a:ln>
            </c:spPr>
            <c:extLst>
              <c:ext xmlns:c16="http://schemas.microsoft.com/office/drawing/2014/chart" uri="{C3380CC4-5D6E-409C-BE32-E72D297353CC}">
                <c16:uniqueId val="{00000017-4489-4665-A2F1-6C7602730B1B}"/>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9-4489-4665-A2F1-6C7602730B1B}"/>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B-4489-4665-A2F1-6C7602730B1B}"/>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1D-4489-4665-A2F1-6C7602730B1B}"/>
              </c:ext>
            </c:extLst>
          </c:dPt>
          <c:dPt>
            <c:idx val="16"/>
            <c:bubble3D val="0"/>
            <c:spPr>
              <a:solidFill>
                <a:srgbClr val="00CCFF"/>
              </a:solidFill>
              <a:ln w="12700">
                <a:solidFill>
                  <a:srgbClr val="000000"/>
                </a:solidFill>
                <a:prstDash val="solid"/>
              </a:ln>
            </c:spPr>
            <c:extLst>
              <c:ext xmlns:c16="http://schemas.microsoft.com/office/drawing/2014/chart" uri="{C3380CC4-5D6E-409C-BE32-E72D297353CC}">
                <c16:uniqueId val="{0000001F-4489-4665-A2F1-6C7602730B1B}"/>
              </c:ext>
            </c:extLst>
          </c:dPt>
          <c:dPt>
            <c:idx val="17"/>
            <c:bubble3D val="0"/>
            <c:spPr>
              <a:solidFill>
                <a:srgbClr val="CCFFFF"/>
              </a:solidFill>
              <a:ln w="12700">
                <a:solidFill>
                  <a:srgbClr val="000000"/>
                </a:solidFill>
                <a:prstDash val="solid"/>
              </a:ln>
            </c:spPr>
            <c:extLst>
              <c:ext xmlns:c16="http://schemas.microsoft.com/office/drawing/2014/chart" uri="{C3380CC4-5D6E-409C-BE32-E72D297353CC}">
                <c16:uniqueId val="{00000021-4489-4665-A2F1-6C7602730B1B}"/>
              </c:ext>
            </c:extLst>
          </c:dPt>
          <c:cat>
            <c:strRef>
              <c:f>'[11]20 pg'!$B$28:$B$46</c:f>
              <c:strCache>
                <c:ptCount val="19"/>
                <c:pt idx="0">
                  <c:v>Acción</c:v>
                </c:pt>
                <c:pt idx="1">
                  <c:v>Drama</c:v>
                </c:pt>
                <c:pt idx="2">
                  <c:v>Comedia</c:v>
                </c:pt>
                <c:pt idx="3">
                  <c:v>TV</c:v>
                </c:pt>
                <c:pt idx="4">
                  <c:v>Niños</c:v>
                </c:pt>
                <c:pt idx="5">
                  <c:v>Misterio/Suspenso</c:v>
                </c:pt>
                <c:pt idx="6">
                  <c:v>Romance</c:v>
                </c:pt>
                <c:pt idx="7">
                  <c:v>Ciencia Ficción</c:v>
                </c:pt>
                <c:pt idx="8">
                  <c:v>Cine Arte</c:v>
                </c:pt>
                <c:pt idx="9">
                  <c:v>Terror</c:v>
                </c:pt>
                <c:pt idx="10">
                  <c:v>Cine Chileno</c:v>
                </c:pt>
                <c:pt idx="11">
                  <c:v>Documental</c:v>
                </c:pt>
                <c:pt idx="12">
                  <c:v>Clásicos</c:v>
                </c:pt>
                <c:pt idx="13">
                  <c:v>Otros</c:v>
                </c:pt>
                <c:pt idx="14">
                  <c:v>FUENTE: Bazuca.</c:v>
                </c:pt>
              </c:strCache>
            </c:strRef>
          </c:cat>
          <c:val>
            <c:numRef>
              <c:f>'[11]20 pg'!$C$28:$C$46</c:f>
              <c:numCache>
                <c:formatCode>General</c:formatCode>
                <c:ptCount val="19"/>
                <c:pt idx="0">
                  <c:v>129136</c:v>
                </c:pt>
                <c:pt idx="1">
                  <c:v>76738</c:v>
                </c:pt>
                <c:pt idx="2">
                  <c:v>73305</c:v>
                </c:pt>
                <c:pt idx="3">
                  <c:v>16775</c:v>
                </c:pt>
                <c:pt idx="4">
                  <c:v>37342</c:v>
                </c:pt>
                <c:pt idx="5">
                  <c:v>29282</c:v>
                </c:pt>
                <c:pt idx="6">
                  <c:v>8643</c:v>
                </c:pt>
                <c:pt idx="7">
                  <c:v>25197</c:v>
                </c:pt>
                <c:pt idx="8">
                  <c:v>26687</c:v>
                </c:pt>
                <c:pt idx="9">
                  <c:v>11737</c:v>
                </c:pt>
                <c:pt idx="10">
                  <c:v>10874</c:v>
                </c:pt>
                <c:pt idx="11">
                  <c:v>8851</c:v>
                </c:pt>
                <c:pt idx="12">
                  <c:v>7609</c:v>
                </c:pt>
                <c:pt idx="13">
                  <c:v>12001</c:v>
                </c:pt>
              </c:numCache>
            </c:numRef>
          </c:val>
          <c:extLst>
            <c:ext xmlns:c16="http://schemas.microsoft.com/office/drawing/2014/chart" uri="{C3380CC4-5D6E-409C-BE32-E72D297353CC}">
              <c16:uniqueId val="{00000022-4489-4665-A2F1-6C7602730B1B}"/>
            </c:ext>
          </c:extLst>
        </c:ser>
        <c:dLbls>
          <c:showLegendKey val="0"/>
          <c:showVal val="0"/>
          <c:showCatName val="0"/>
          <c:showSerName val="0"/>
          <c:showPercent val="0"/>
          <c:showBubbleSize val="0"/>
          <c:showLeaderLines val="1"/>
        </c:dLbls>
        <c:firstSliceAng val="0"/>
      </c:pieChart>
      <c:spPr>
        <a:noFill/>
        <a:ln w="25400">
          <a:noFill/>
        </a:ln>
      </c:spPr>
    </c:plotArea>
    <c:legend>
      <c:legendPos val="r"/>
      <c:overlay val="0"/>
      <c:spPr>
        <a:solidFill>
          <a:srgbClr val="FFFFFF"/>
        </a:solidFill>
        <a:ln w="3175">
          <a:solidFill>
            <a:srgbClr val="000000"/>
          </a:solidFill>
          <a:prstDash val="solid"/>
        </a:ln>
      </c:spPr>
      <c:txPr>
        <a:bodyPr/>
        <a:lstStyle/>
        <a:p>
          <a:pPr>
            <a:defRPr sz="165" b="0" i="0" u="none" strike="noStrike" baseline="0">
              <a:solidFill>
                <a:srgbClr val="000000"/>
              </a:solidFill>
              <a:latin typeface="Arial"/>
              <a:ea typeface="Arial"/>
              <a:cs typeface="Arial"/>
            </a:defRPr>
          </a:pPr>
          <a:endParaRPr lang="es-CL"/>
        </a:p>
      </c:txPr>
    </c:legend>
    <c:plotVisOnly val="1"/>
    <c:dispBlanksAs val="zero"/>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es-CL"/>
    </a:p>
  </c:txPr>
  <c:printSettings>
    <c:headerFooter alignWithMargins="0"/>
    <c:pageMargins b="1" l="0.75000000000001465" r="0.75000000000001465" t="1" header="0" footer="0"/>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a:pPr>
            <a:r>
              <a:rPr lang="es-CL" sz="800">
                <a:latin typeface="Verdana" pitchFamily="34" charset="0"/>
                <a:ea typeface="Verdana" pitchFamily="34" charset="0"/>
                <a:cs typeface="Verdana" pitchFamily="34" charset="0"/>
              </a:rPr>
              <a:t>Distribución porcentual</a:t>
            </a:r>
            <a:r>
              <a:rPr lang="es-CL" sz="800" baseline="0">
                <a:latin typeface="Verdana" pitchFamily="34" charset="0"/>
                <a:ea typeface="Verdana" pitchFamily="34" charset="0"/>
                <a:cs typeface="Verdana" pitchFamily="34" charset="0"/>
              </a:rPr>
              <a:t> del prespuesto destinado a cultura y tiempo libre</a:t>
            </a:r>
            <a:r>
              <a:rPr lang="es-CL" sz="800">
                <a:latin typeface="Verdana" pitchFamily="34" charset="0"/>
                <a:ea typeface="Verdana" pitchFamily="34" charset="0"/>
                <a:cs typeface="Verdana" pitchFamily="34" charset="0"/>
              </a:rPr>
              <a:t>, según instituciones culturales, afines a la cultura y programas culturales. 2013</a:t>
            </a:r>
          </a:p>
        </c:rich>
      </c:tx>
      <c:overlay val="0"/>
    </c:title>
    <c:autoTitleDeleted val="0"/>
    <c:view3D>
      <c:rotX val="15"/>
      <c:rotY val="0"/>
      <c:rAngAx val="0"/>
    </c:view3D>
    <c:floor>
      <c:thickness val="0"/>
    </c:floor>
    <c:sideWall>
      <c:thickness val="0"/>
    </c:sideWall>
    <c:backWall>
      <c:thickness val="0"/>
    </c:backWall>
    <c:plotArea>
      <c:layout>
        <c:manualLayout>
          <c:layoutTarget val="inner"/>
          <c:xMode val="edge"/>
          <c:yMode val="edge"/>
          <c:x val="3.0725278045280312E-2"/>
          <c:y val="0.23237436783816656"/>
          <c:w val="0.59802186597178952"/>
          <c:h val="0.75136546956020744"/>
        </c:manualLayout>
      </c:layout>
      <c:pie3DChart>
        <c:varyColors val="1"/>
        <c:ser>
          <c:idx val="0"/>
          <c:order val="0"/>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'2.6-05'!$A$6:$A$8</c:f>
              <c:strCache>
                <c:ptCount val="3"/>
                <c:pt idx="0">
                  <c:v>Porcentaje del presupuesto del Gobierno que se destina a cultura (CNCA+Dibam)</c:v>
                </c:pt>
                <c:pt idx="1">
                  <c:v>Porcentaje del presupuesto del Gobierno que se destina a cultura por instituciones afines a la cultura</c:v>
                </c:pt>
                <c:pt idx="2">
                  <c:v>Porcentaje del presupuesto del Gobierno que se destina a cultura en instituciones con programas culturales</c:v>
                </c:pt>
              </c:strCache>
            </c:strRef>
          </c:cat>
          <c:val>
            <c:numRef>
              <c:f>'2.6-05'!$B$6:$B$8</c:f>
              <c:numCache>
                <c:formatCode>0%</c:formatCode>
                <c:ptCount val="3"/>
                <c:pt idx="0">
                  <c:v>0.34</c:v>
                </c:pt>
                <c:pt idx="1">
                  <c:v>0.12</c:v>
                </c:pt>
                <c:pt idx="2">
                  <c:v>0.54</c:v>
                </c:pt>
              </c:numCache>
            </c:numRef>
          </c:val>
          <c:extLst>
            <c:ext xmlns:c16="http://schemas.microsoft.com/office/drawing/2014/chart" uri="{C3380CC4-5D6E-409C-BE32-E72D297353CC}">
              <c16:uniqueId val="{00000000-C190-4331-8CB3-8B9C83C32D7B}"/>
            </c:ext>
          </c:extLst>
        </c:ser>
        <c:dLbls>
          <c:showLegendKey val="0"/>
          <c:showVal val="0"/>
          <c:showCatName val="0"/>
          <c:showSerName val="0"/>
          <c:showPercent val="1"/>
          <c:showBubbleSize val="0"/>
          <c:showLeaderLines val="1"/>
        </c:dLbls>
      </c:pie3DChart>
    </c:plotArea>
    <c:legend>
      <c:legendPos val="r"/>
      <c:overlay val="0"/>
      <c:txPr>
        <a:bodyPr/>
        <a:lstStyle/>
        <a:p>
          <a:pPr rtl="0">
            <a:defRPr/>
          </a:pPr>
          <a:endParaRPr lang="es-CL"/>
        </a:p>
      </c:txPr>
    </c:legend>
    <c:plotVisOnly val="1"/>
    <c:dispBlanksAs val="zero"/>
    <c:showDLblsOverMax val="0"/>
  </c:chart>
  <c:printSettings>
    <c:headerFooter alignWithMargins="0"/>
    <c:pageMargins b="1" l="0.75000000000001465" r="0.75000000000001465" t="1" header="0" footer="0"/>
    <c:pageSetup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sz="800">
                <a:latin typeface="Verdana" pitchFamily="34" charset="0"/>
                <a:ea typeface="Verdana" pitchFamily="34" charset="0"/>
                <a:cs typeface="Verdana" pitchFamily="34" charset="0"/>
              </a:defRPr>
            </a:pPr>
            <a:r>
              <a:rPr lang="es-CL" sz="800">
                <a:latin typeface="Verdana" pitchFamily="34" charset="0"/>
                <a:ea typeface="Verdana" pitchFamily="34" charset="0"/>
                <a:cs typeface="Verdana" pitchFamily="34" charset="0"/>
              </a:rPr>
              <a:t>Conexiones dedicadas, según tipo de suscriptor. 2009-2013
</a:t>
            </a:r>
          </a:p>
        </c:rich>
      </c:tx>
      <c:layout>
        <c:manualLayout>
          <c:xMode val="edge"/>
          <c:yMode val="edge"/>
          <c:x val="0.21929824561403746"/>
          <c:y val="2.1912455567556575E-2"/>
        </c:manualLayout>
      </c:layout>
      <c:overlay val="0"/>
    </c:title>
    <c:autoTitleDeleted val="0"/>
    <c:plotArea>
      <c:layout>
        <c:manualLayout>
          <c:layoutTarget val="inner"/>
          <c:xMode val="edge"/>
          <c:yMode val="edge"/>
          <c:x val="0.15724656662406244"/>
          <c:y val="0.11851394181064052"/>
          <c:w val="0.79985961458765065"/>
          <c:h val="0.48295504445940718"/>
        </c:manualLayout>
      </c:layout>
      <c:barChart>
        <c:barDir val="col"/>
        <c:grouping val="clustered"/>
        <c:varyColors val="0"/>
        <c:ser>
          <c:idx val="0"/>
          <c:order val="0"/>
          <c:tx>
            <c:strRef>
              <c:f>'3.8.1-03'!$B$5</c:f>
              <c:strCache>
                <c:ptCount val="1"/>
                <c:pt idx="0">
                  <c:v>2009</c:v>
                </c:pt>
              </c:strCache>
            </c:strRef>
          </c:tx>
          <c:invertIfNegative val="0"/>
          <c:cat>
            <c:strRef>
              <c:f>'3.8.1-03'!$A$7:$A$9</c:f>
              <c:strCache>
                <c:ptCount val="3"/>
                <c:pt idx="0">
                  <c:v>Residenciales</c:v>
                </c:pt>
                <c:pt idx="1">
                  <c:v>Comerciales</c:v>
                </c:pt>
                <c:pt idx="2">
                  <c:v>Sin segmento</c:v>
                </c:pt>
              </c:strCache>
            </c:strRef>
          </c:cat>
          <c:val>
            <c:numRef>
              <c:f>'3.8.1-03'!$B$7:$B$9</c:f>
              <c:numCache>
                <c:formatCode>_-* #,##0_-;\-* #,##0_-;_-* "-"??_-;_-@_-</c:formatCode>
                <c:ptCount val="3"/>
                <c:pt idx="0">
                  <c:v>1508378</c:v>
                </c:pt>
                <c:pt idx="1">
                  <c:v>180658</c:v>
                </c:pt>
                <c:pt idx="2">
                  <c:v>5</c:v>
                </c:pt>
              </c:numCache>
            </c:numRef>
          </c:val>
          <c:extLst>
            <c:ext xmlns:c16="http://schemas.microsoft.com/office/drawing/2014/chart" uri="{C3380CC4-5D6E-409C-BE32-E72D297353CC}">
              <c16:uniqueId val="{00000000-A5F3-48ED-8CA6-7839C780F6C8}"/>
            </c:ext>
          </c:extLst>
        </c:ser>
        <c:ser>
          <c:idx val="1"/>
          <c:order val="1"/>
          <c:tx>
            <c:strRef>
              <c:f>'3.8.1-03'!$C$5</c:f>
              <c:strCache>
                <c:ptCount val="1"/>
                <c:pt idx="0">
                  <c:v>2010</c:v>
                </c:pt>
              </c:strCache>
            </c:strRef>
          </c:tx>
          <c:invertIfNegative val="0"/>
          <c:cat>
            <c:strRef>
              <c:f>'3.8.1-03'!$A$7:$A$9</c:f>
              <c:strCache>
                <c:ptCount val="3"/>
                <c:pt idx="0">
                  <c:v>Residenciales</c:v>
                </c:pt>
                <c:pt idx="1">
                  <c:v>Comerciales</c:v>
                </c:pt>
                <c:pt idx="2">
                  <c:v>Sin segmento</c:v>
                </c:pt>
              </c:strCache>
            </c:strRef>
          </c:cat>
          <c:val>
            <c:numRef>
              <c:f>'3.8.1-03'!$C$7:$C$9</c:f>
              <c:numCache>
                <c:formatCode>_-* #,##0_-;\-* #,##0_-;_-* "-"??_-;_-@_-</c:formatCode>
                <c:ptCount val="3"/>
                <c:pt idx="0">
                  <c:v>1582516</c:v>
                </c:pt>
                <c:pt idx="1">
                  <c:v>234964</c:v>
                </c:pt>
                <c:pt idx="2">
                  <c:v>0</c:v>
                </c:pt>
              </c:numCache>
            </c:numRef>
          </c:val>
          <c:extLst>
            <c:ext xmlns:c16="http://schemas.microsoft.com/office/drawing/2014/chart" uri="{C3380CC4-5D6E-409C-BE32-E72D297353CC}">
              <c16:uniqueId val="{00000001-A5F3-48ED-8CA6-7839C780F6C8}"/>
            </c:ext>
          </c:extLst>
        </c:ser>
        <c:ser>
          <c:idx val="2"/>
          <c:order val="2"/>
          <c:tx>
            <c:strRef>
              <c:f>'3.8.1-03'!$D$5</c:f>
              <c:strCache>
                <c:ptCount val="1"/>
                <c:pt idx="0">
                  <c:v>2011</c:v>
                </c:pt>
              </c:strCache>
            </c:strRef>
          </c:tx>
          <c:invertIfNegative val="0"/>
          <c:cat>
            <c:strRef>
              <c:f>'3.8.1-03'!$A$7:$A$9</c:f>
              <c:strCache>
                <c:ptCount val="3"/>
                <c:pt idx="0">
                  <c:v>Residenciales</c:v>
                </c:pt>
                <c:pt idx="1">
                  <c:v>Comerciales</c:v>
                </c:pt>
                <c:pt idx="2">
                  <c:v>Sin segmento</c:v>
                </c:pt>
              </c:strCache>
            </c:strRef>
          </c:cat>
          <c:val>
            <c:numRef>
              <c:f>'3.8.1-03'!$D$7:$D$9</c:f>
              <c:numCache>
                <c:formatCode>_-* #,##0_-;\-* #,##0_-;_-* "-"??_-;_-@_-</c:formatCode>
                <c:ptCount val="3"/>
                <c:pt idx="0">
                  <c:v>1731385</c:v>
                </c:pt>
                <c:pt idx="1">
                  <c:v>292887</c:v>
                </c:pt>
                <c:pt idx="2">
                  <c:v>0</c:v>
                </c:pt>
              </c:numCache>
            </c:numRef>
          </c:val>
          <c:extLst>
            <c:ext xmlns:c16="http://schemas.microsoft.com/office/drawing/2014/chart" uri="{C3380CC4-5D6E-409C-BE32-E72D297353CC}">
              <c16:uniqueId val="{00000002-A5F3-48ED-8CA6-7839C780F6C8}"/>
            </c:ext>
          </c:extLst>
        </c:ser>
        <c:ser>
          <c:idx val="3"/>
          <c:order val="3"/>
          <c:tx>
            <c:strRef>
              <c:f>'3.8.1-03'!$E$5</c:f>
              <c:strCache>
                <c:ptCount val="1"/>
                <c:pt idx="0">
                  <c:v>2012</c:v>
                </c:pt>
              </c:strCache>
            </c:strRef>
          </c:tx>
          <c:invertIfNegative val="0"/>
          <c:val>
            <c:numRef>
              <c:f>'3.8.1-03'!$E$7:$E$9</c:f>
              <c:numCache>
                <c:formatCode>_-* #,##0_-;\-* #,##0_-;_-* "-"??_-;_-@_-</c:formatCode>
                <c:ptCount val="3"/>
                <c:pt idx="0">
                  <c:v>1916453</c:v>
                </c:pt>
                <c:pt idx="1">
                  <c:v>275103</c:v>
                </c:pt>
                <c:pt idx="2">
                  <c:v>0</c:v>
                </c:pt>
              </c:numCache>
            </c:numRef>
          </c:val>
          <c:extLst>
            <c:ext xmlns:c16="http://schemas.microsoft.com/office/drawing/2014/chart" uri="{C3380CC4-5D6E-409C-BE32-E72D297353CC}">
              <c16:uniqueId val="{00000003-A5F3-48ED-8CA6-7839C780F6C8}"/>
            </c:ext>
          </c:extLst>
        </c:ser>
        <c:ser>
          <c:idx val="4"/>
          <c:order val="4"/>
          <c:tx>
            <c:v>2013</c:v>
          </c:tx>
          <c:invertIfNegative val="0"/>
          <c:val>
            <c:numRef>
              <c:f>'3.8.1-03'!$F$7:$F$9</c:f>
              <c:numCache>
                <c:formatCode>_-* #,##0_-;\-* #,##0_-;_-* "-"??_-;_-@_-</c:formatCode>
                <c:ptCount val="3"/>
                <c:pt idx="0">
                  <c:v>2010353</c:v>
                </c:pt>
                <c:pt idx="1">
                  <c:v>286169</c:v>
                </c:pt>
                <c:pt idx="2">
                  <c:v>0</c:v>
                </c:pt>
              </c:numCache>
            </c:numRef>
          </c:val>
          <c:extLst>
            <c:ext xmlns:c16="http://schemas.microsoft.com/office/drawing/2014/chart" uri="{C3380CC4-5D6E-409C-BE32-E72D297353CC}">
              <c16:uniqueId val="{00000004-A5F3-48ED-8CA6-7839C780F6C8}"/>
            </c:ext>
          </c:extLst>
        </c:ser>
        <c:dLbls>
          <c:showLegendKey val="0"/>
          <c:showVal val="0"/>
          <c:showCatName val="0"/>
          <c:showSerName val="0"/>
          <c:showPercent val="0"/>
          <c:showBubbleSize val="0"/>
        </c:dLbls>
        <c:gapWidth val="150"/>
        <c:axId val="130641280"/>
        <c:axId val="125088896"/>
      </c:barChart>
      <c:catAx>
        <c:axId val="130641280"/>
        <c:scaling>
          <c:orientation val="minMax"/>
        </c:scaling>
        <c:delete val="0"/>
        <c:axPos val="b"/>
        <c:numFmt formatCode="General" sourceLinked="1"/>
        <c:majorTickMark val="out"/>
        <c:minorTickMark val="none"/>
        <c:tickLblPos val="nextTo"/>
        <c:txPr>
          <a:bodyPr rot="0" vert="horz"/>
          <a:lstStyle/>
          <a:p>
            <a:pPr>
              <a:defRPr/>
            </a:pPr>
            <a:endParaRPr lang="es-CL"/>
          </a:p>
        </c:txPr>
        <c:crossAx val="125088896"/>
        <c:crosses val="autoZero"/>
        <c:auto val="1"/>
        <c:lblAlgn val="ctr"/>
        <c:lblOffset val="100"/>
        <c:tickMarkSkip val="1"/>
        <c:noMultiLvlLbl val="0"/>
      </c:catAx>
      <c:valAx>
        <c:axId val="125088896"/>
        <c:scaling>
          <c:orientation val="minMax"/>
        </c:scaling>
        <c:delete val="0"/>
        <c:axPos val="l"/>
        <c:majorGridlines/>
        <c:numFmt formatCode="_-* #,##0_-;\-* #,##0_-;_-* &quot;-&quot;??_-;_-@_-" sourceLinked="1"/>
        <c:majorTickMark val="out"/>
        <c:minorTickMark val="none"/>
        <c:tickLblPos val="nextTo"/>
        <c:txPr>
          <a:bodyPr rot="0" vert="horz"/>
          <a:lstStyle/>
          <a:p>
            <a:pPr>
              <a:defRPr/>
            </a:pPr>
            <a:endParaRPr lang="es-CL"/>
          </a:p>
        </c:txPr>
        <c:crossAx val="130641280"/>
        <c:crosses val="autoZero"/>
        <c:crossBetween val="between"/>
        <c:dispUnits>
          <c:builtInUnit val="thousands"/>
          <c:dispUnitsLbl>
            <c:layout>
              <c:manualLayout>
                <c:xMode val="edge"/>
                <c:yMode val="edge"/>
                <c:x val="2.7099910208592412E-2"/>
                <c:y val="0.28883499558565195"/>
              </c:manualLayout>
            </c:layout>
            <c:tx>
              <c:rich>
                <a:bodyPr rot="-5400000" vert="horz"/>
                <a:lstStyle/>
                <a:p>
                  <a:pPr>
                    <a:defRPr/>
                  </a:pPr>
                  <a:r>
                    <a:rPr lang="es-CL"/>
                    <a:t>Miles</a:t>
                  </a:r>
                </a:p>
              </c:rich>
            </c:tx>
          </c:dispUnitsLbl>
        </c:dispUnits>
      </c:valAx>
      <c:dTable>
        <c:showHorzBorder val="1"/>
        <c:showVertBorder val="1"/>
        <c:showOutline val="1"/>
        <c:showKeys val="1"/>
      </c:dTable>
    </c:plotArea>
    <c:plotVisOnly val="1"/>
    <c:dispBlanksAs val="gap"/>
    <c:showDLblsOverMax val="0"/>
  </c:chart>
  <c:printSettings>
    <c:headerFooter alignWithMargins="0"/>
    <c:pageMargins b="1" l="0.75000000000001465" r="0.75000000000001465" t="1" header="0" footer="0"/>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800">
                <a:latin typeface="Verdana" pitchFamily="34" charset="0"/>
                <a:ea typeface="Verdana" pitchFamily="34" charset="0"/>
                <a:cs typeface="Verdana" pitchFamily="34" charset="0"/>
              </a:rPr>
              <a:t>Tasa de conexiones dedicadas por cada cien habitantes. 2009-2013</a:t>
            </a:r>
          </a:p>
        </c:rich>
      </c:tx>
      <c:overlay val="0"/>
    </c:title>
    <c:autoTitleDeleted val="0"/>
    <c:plotArea>
      <c:layout>
        <c:manualLayout>
          <c:layoutTarget val="inner"/>
          <c:xMode val="edge"/>
          <c:yMode val="edge"/>
          <c:x val="0.11460537129828573"/>
          <c:y val="0.15828955380577603"/>
          <c:w val="0.84238111650185465"/>
          <c:h val="0.72973060367455556"/>
        </c:manualLayout>
      </c:layout>
      <c:barChart>
        <c:barDir val="col"/>
        <c:grouping val="clustered"/>
        <c:varyColors val="0"/>
        <c:ser>
          <c:idx val="0"/>
          <c:order val="0"/>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'3.8.1-04'!$B$6:$F$6</c:f>
              <c:numCache>
                <c:formatCode>General</c:formatCode>
                <c:ptCount val="5"/>
                <c:pt idx="0">
                  <c:v>2009</c:v>
                </c:pt>
                <c:pt idx="1">
                  <c:v>2010</c:v>
                </c:pt>
                <c:pt idx="2">
                  <c:v>2011</c:v>
                </c:pt>
                <c:pt idx="3">
                  <c:v>2012</c:v>
                </c:pt>
                <c:pt idx="4">
                  <c:v>2013</c:v>
                </c:pt>
              </c:numCache>
            </c:numRef>
          </c:cat>
          <c:val>
            <c:numRef>
              <c:f>'3.8.1-04'!$B$7:$F$7</c:f>
              <c:numCache>
                <c:formatCode>0.00</c:formatCode>
                <c:ptCount val="5"/>
                <c:pt idx="0">
                  <c:v>9.9600000000000009</c:v>
                </c:pt>
                <c:pt idx="1">
                  <c:v>9.2200000000000006</c:v>
                </c:pt>
                <c:pt idx="2">
                  <c:v>11.69</c:v>
                </c:pt>
                <c:pt idx="3">
                  <c:v>12.54</c:v>
                </c:pt>
                <c:pt idx="4">
                  <c:v>11.400495165295014</c:v>
                </c:pt>
              </c:numCache>
            </c:numRef>
          </c:val>
          <c:extLst>
            <c:ext xmlns:c16="http://schemas.microsoft.com/office/drawing/2014/chart" uri="{C3380CC4-5D6E-409C-BE32-E72D297353CC}">
              <c16:uniqueId val="{00000000-99AA-409B-8E26-219BE247D402}"/>
            </c:ext>
          </c:extLst>
        </c:ser>
        <c:dLbls>
          <c:showLegendKey val="0"/>
          <c:showVal val="0"/>
          <c:showCatName val="0"/>
          <c:showSerName val="0"/>
          <c:showPercent val="0"/>
          <c:showBubbleSize val="0"/>
        </c:dLbls>
        <c:gapWidth val="150"/>
        <c:axId val="125099008"/>
        <c:axId val="125104896"/>
      </c:barChart>
      <c:catAx>
        <c:axId val="125099008"/>
        <c:scaling>
          <c:orientation val="minMax"/>
        </c:scaling>
        <c:delete val="0"/>
        <c:axPos val="b"/>
        <c:numFmt formatCode="General" sourceLinked="1"/>
        <c:majorTickMark val="out"/>
        <c:minorTickMark val="none"/>
        <c:tickLblPos val="nextTo"/>
        <c:txPr>
          <a:bodyPr/>
          <a:lstStyle/>
          <a:p>
            <a:pPr>
              <a:defRPr sz="800" baseline="0"/>
            </a:pPr>
            <a:endParaRPr lang="es-CL"/>
          </a:p>
        </c:txPr>
        <c:crossAx val="125104896"/>
        <c:crosses val="autoZero"/>
        <c:auto val="1"/>
        <c:lblAlgn val="ctr"/>
        <c:lblOffset val="100"/>
        <c:noMultiLvlLbl val="0"/>
      </c:catAx>
      <c:valAx>
        <c:axId val="125104896"/>
        <c:scaling>
          <c:orientation val="minMax"/>
        </c:scaling>
        <c:delete val="0"/>
        <c:axPos val="l"/>
        <c:majorGridlines/>
        <c:numFmt formatCode="0.00" sourceLinked="1"/>
        <c:majorTickMark val="out"/>
        <c:minorTickMark val="none"/>
        <c:tickLblPos val="nextTo"/>
        <c:txPr>
          <a:bodyPr/>
          <a:lstStyle/>
          <a:p>
            <a:pPr>
              <a:defRPr sz="800" baseline="0"/>
            </a:pPr>
            <a:endParaRPr lang="es-CL"/>
          </a:p>
        </c:txPr>
        <c:crossAx val="125099008"/>
        <c:crosses val="autoZero"/>
        <c:crossBetween val="between"/>
      </c:valAx>
      <c:spPr>
        <a:noFill/>
        <a:ln w="25400">
          <a:noFill/>
        </a:ln>
      </c:spPr>
    </c:plotArea>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sz="800">
                <a:latin typeface="Verdana" pitchFamily="34" charset="0"/>
                <a:ea typeface="Verdana" pitchFamily="34" charset="0"/>
                <a:cs typeface="Verdana" pitchFamily="34" charset="0"/>
              </a:defRPr>
            </a:pPr>
            <a:r>
              <a:rPr lang="es-CL" sz="800">
                <a:latin typeface="Verdana" pitchFamily="34" charset="0"/>
                <a:ea typeface="Verdana" pitchFamily="34" charset="0"/>
                <a:cs typeface="Verdana" pitchFamily="34" charset="0"/>
              </a:rPr>
              <a:t>Número de usuarios de archivos públicos, según región. 2009-2013
</a:t>
            </a:r>
          </a:p>
        </c:rich>
      </c:tx>
      <c:layout>
        <c:manualLayout>
          <c:xMode val="edge"/>
          <c:yMode val="edge"/>
          <c:x val="0.18473342282754251"/>
          <c:y val="1.8046468713303183E-2"/>
        </c:manualLayout>
      </c:layout>
      <c:overlay val="0"/>
    </c:title>
    <c:autoTitleDeleted val="0"/>
    <c:plotArea>
      <c:layout>
        <c:manualLayout>
          <c:layoutTarget val="inner"/>
          <c:xMode val="edge"/>
          <c:yMode val="edge"/>
          <c:x val="0.12496273721917422"/>
          <c:y val="0.12909303003791481"/>
          <c:w val="0.83840363783287064"/>
          <c:h val="0.65849195271079308"/>
        </c:manualLayout>
      </c:layout>
      <c:barChart>
        <c:barDir val="col"/>
        <c:grouping val="clustered"/>
        <c:varyColors val="0"/>
        <c:ser>
          <c:idx val="0"/>
          <c:order val="0"/>
          <c:tx>
            <c:strRef>
              <c:f>'3.1.1.1-03'!$A$32</c:f>
              <c:strCache>
                <c:ptCount val="1"/>
                <c:pt idx="0">
                  <c:v>Tarapacá</c:v>
                </c:pt>
              </c:strCache>
            </c:strRef>
          </c:tx>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'3.1.1.1-03'!$B$31:$F$31</c:f>
              <c:numCache>
                <c:formatCode>General</c:formatCode>
                <c:ptCount val="5"/>
                <c:pt idx="0">
                  <c:v>2009</c:v>
                </c:pt>
                <c:pt idx="1">
                  <c:v>2010</c:v>
                </c:pt>
                <c:pt idx="2">
                  <c:v>2011</c:v>
                </c:pt>
                <c:pt idx="3">
                  <c:v>2012</c:v>
                </c:pt>
                <c:pt idx="4">
                  <c:v>2013</c:v>
                </c:pt>
              </c:numCache>
            </c:numRef>
          </c:cat>
          <c:val>
            <c:numRef>
              <c:f>'3.1.1.1-03'!$B$32:$F$32</c:f>
              <c:numCache>
                <c:formatCode>#,##0</c:formatCode>
                <c:ptCount val="5"/>
                <c:pt idx="0">
                  <c:v>1127</c:v>
                </c:pt>
                <c:pt idx="1">
                  <c:v>1330</c:v>
                </c:pt>
                <c:pt idx="2">
                  <c:v>1534</c:v>
                </c:pt>
                <c:pt idx="3">
                  <c:v>1635</c:v>
                </c:pt>
                <c:pt idx="4">
                  <c:v>2307</c:v>
                </c:pt>
              </c:numCache>
            </c:numRef>
          </c:val>
          <c:extLst>
            <c:ext xmlns:c16="http://schemas.microsoft.com/office/drawing/2014/chart" uri="{C3380CC4-5D6E-409C-BE32-E72D297353CC}">
              <c16:uniqueId val="{00000000-4143-4E76-9688-B294935F5E97}"/>
            </c:ext>
          </c:extLst>
        </c:ser>
        <c:ser>
          <c:idx val="1"/>
          <c:order val="1"/>
          <c:tx>
            <c:strRef>
              <c:f>'3.1.1.1-03'!$A$33</c:f>
              <c:strCache>
                <c:ptCount val="1"/>
                <c:pt idx="0">
                  <c:v>La Araucanía</c:v>
                </c:pt>
              </c:strCache>
            </c:strRef>
          </c:tx>
          <c:invertIfNegative val="0"/>
          <c:dLbls>
            <c:dLbl>
              <c:idx val="0"/>
              <c:layout>
                <c:manualLayout>
                  <c:x val="0"/>
                  <c:y val="-4.00072706126439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143-4E76-9688-B294935F5E97}"/>
                </c:ext>
              </c:extLst>
            </c:dLbl>
            <c:dLbl>
              <c:idx val="1"/>
              <c:layout>
                <c:manualLayout>
                  <c:x val="0"/>
                  <c:y val="-4.8008724735172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143-4E76-9688-B294935F5E97}"/>
                </c:ext>
              </c:extLst>
            </c:dLbl>
            <c:dLbl>
              <c:idx val="2"/>
              <c:layout>
                <c:manualLayout>
                  <c:x val="1.9555261011921627E-3"/>
                  <c:y val="-2.40043623675862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143-4E76-9688-B294935F5E97}"/>
                </c:ext>
              </c:extLst>
            </c:dLbl>
            <c:dLbl>
              <c:idx val="3"/>
              <c:layout>
                <c:manualLayout>
                  <c:x val="0"/>
                  <c:y val="-4.00072706126439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143-4E76-9688-B294935F5E97}"/>
                </c:ext>
              </c:extLst>
            </c:dLbl>
            <c:dLbl>
              <c:idx val="4"/>
              <c:layout>
                <c:manualLayout>
                  <c:x val="0"/>
                  <c:y val="-3.20058164901158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143-4E76-9688-B294935F5E9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'3.1.1.1-03'!$B$31:$F$31</c:f>
              <c:numCache>
                <c:formatCode>General</c:formatCode>
                <c:ptCount val="5"/>
                <c:pt idx="0">
                  <c:v>2009</c:v>
                </c:pt>
                <c:pt idx="1">
                  <c:v>2010</c:v>
                </c:pt>
                <c:pt idx="2">
                  <c:v>2011</c:v>
                </c:pt>
                <c:pt idx="3">
                  <c:v>2012</c:v>
                </c:pt>
                <c:pt idx="4">
                  <c:v>2013</c:v>
                </c:pt>
              </c:numCache>
            </c:numRef>
          </c:cat>
          <c:val>
            <c:numRef>
              <c:f>'3.1.1.1-03'!$B$33:$F$33</c:f>
              <c:numCache>
                <c:formatCode>#,##0</c:formatCode>
                <c:ptCount val="5"/>
                <c:pt idx="0">
                  <c:v>2482</c:v>
                </c:pt>
                <c:pt idx="1">
                  <c:v>1285</c:v>
                </c:pt>
                <c:pt idx="2">
                  <c:v>2934</c:v>
                </c:pt>
                <c:pt idx="3">
                  <c:v>2022</c:v>
                </c:pt>
                <c:pt idx="4">
                  <c:v>1305</c:v>
                </c:pt>
              </c:numCache>
            </c:numRef>
          </c:val>
          <c:extLst>
            <c:ext xmlns:c16="http://schemas.microsoft.com/office/drawing/2014/chart" uri="{C3380CC4-5D6E-409C-BE32-E72D297353CC}">
              <c16:uniqueId val="{00000006-4143-4E76-9688-B294935F5E97}"/>
            </c:ext>
          </c:extLst>
        </c:ser>
        <c:ser>
          <c:idx val="2"/>
          <c:order val="2"/>
          <c:tx>
            <c:strRef>
              <c:f>'3.1.1.1-03'!$A$34</c:f>
              <c:strCache>
                <c:ptCount val="1"/>
                <c:pt idx="0">
                  <c:v>Metropolitana</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'3.1.1.1-03'!$B$31:$F$31</c:f>
              <c:numCache>
                <c:formatCode>General</c:formatCode>
                <c:ptCount val="5"/>
                <c:pt idx="0">
                  <c:v>2009</c:v>
                </c:pt>
                <c:pt idx="1">
                  <c:v>2010</c:v>
                </c:pt>
                <c:pt idx="2">
                  <c:v>2011</c:v>
                </c:pt>
                <c:pt idx="3">
                  <c:v>2012</c:v>
                </c:pt>
                <c:pt idx="4">
                  <c:v>2013</c:v>
                </c:pt>
              </c:numCache>
            </c:numRef>
          </c:cat>
          <c:val>
            <c:numRef>
              <c:f>'3.1.1.1-03'!$B$34:$F$34</c:f>
              <c:numCache>
                <c:formatCode>#,##0</c:formatCode>
                <c:ptCount val="5"/>
                <c:pt idx="0">
                  <c:v>60062</c:v>
                </c:pt>
                <c:pt idx="1">
                  <c:v>32665</c:v>
                </c:pt>
                <c:pt idx="2">
                  <c:v>42738</c:v>
                </c:pt>
                <c:pt idx="3">
                  <c:v>61672</c:v>
                </c:pt>
                <c:pt idx="4">
                  <c:v>76377</c:v>
                </c:pt>
              </c:numCache>
            </c:numRef>
          </c:val>
          <c:extLst>
            <c:ext xmlns:c16="http://schemas.microsoft.com/office/drawing/2014/chart" uri="{C3380CC4-5D6E-409C-BE32-E72D297353CC}">
              <c16:uniqueId val="{00000007-4143-4E76-9688-B294935F5E97}"/>
            </c:ext>
          </c:extLst>
        </c:ser>
        <c:dLbls>
          <c:showLegendKey val="0"/>
          <c:showVal val="0"/>
          <c:showCatName val="0"/>
          <c:showSerName val="0"/>
          <c:showPercent val="0"/>
          <c:showBubbleSize val="0"/>
        </c:dLbls>
        <c:gapWidth val="150"/>
        <c:axId val="124267520"/>
        <c:axId val="124298368"/>
      </c:barChart>
      <c:catAx>
        <c:axId val="124267520"/>
        <c:scaling>
          <c:orientation val="minMax"/>
        </c:scaling>
        <c:delete val="0"/>
        <c:axPos val="b"/>
        <c:title>
          <c:tx>
            <c:rich>
              <a:bodyPr/>
              <a:lstStyle/>
              <a:p>
                <a:pPr>
                  <a:defRPr/>
                </a:pPr>
                <a:r>
                  <a:rPr lang="es-CL"/>
                  <a:t>Año</a:t>
                </a:r>
              </a:p>
            </c:rich>
          </c:tx>
          <c:layout>
            <c:manualLayout>
              <c:xMode val="edge"/>
              <c:yMode val="edge"/>
              <c:x val="0.47110656293037501"/>
              <c:y val="0.84223400599101006"/>
            </c:manualLayout>
          </c:layout>
          <c:overlay val="0"/>
        </c:title>
        <c:numFmt formatCode="General" sourceLinked="1"/>
        <c:majorTickMark val="out"/>
        <c:minorTickMark val="none"/>
        <c:tickLblPos val="nextTo"/>
        <c:txPr>
          <a:bodyPr rot="0" vert="horz"/>
          <a:lstStyle/>
          <a:p>
            <a:pPr>
              <a:defRPr/>
            </a:pPr>
            <a:endParaRPr lang="es-CL"/>
          </a:p>
        </c:txPr>
        <c:crossAx val="124298368"/>
        <c:crosses val="autoZero"/>
        <c:auto val="1"/>
        <c:lblAlgn val="ctr"/>
        <c:lblOffset val="100"/>
        <c:tickLblSkip val="1"/>
        <c:tickMarkSkip val="1"/>
        <c:noMultiLvlLbl val="0"/>
      </c:catAx>
      <c:valAx>
        <c:axId val="124298368"/>
        <c:scaling>
          <c:orientation val="minMax"/>
          <c:max val="80000"/>
        </c:scaling>
        <c:delete val="0"/>
        <c:axPos val="l"/>
        <c:majorGridlines/>
        <c:title>
          <c:tx>
            <c:rich>
              <a:bodyPr/>
              <a:lstStyle/>
              <a:p>
                <a:pPr>
                  <a:defRPr/>
                </a:pPr>
                <a:r>
                  <a:rPr lang="es-CL"/>
                  <a:t>Número</a:t>
                </a:r>
              </a:p>
            </c:rich>
          </c:tx>
          <c:layout>
            <c:manualLayout>
              <c:xMode val="edge"/>
              <c:yMode val="edge"/>
              <c:x val="1.8550705713954885E-2"/>
              <c:y val="0.39285879670101476"/>
            </c:manualLayout>
          </c:layout>
          <c:overlay val="0"/>
        </c:title>
        <c:numFmt formatCode="#,##0" sourceLinked="0"/>
        <c:majorTickMark val="out"/>
        <c:minorTickMark val="none"/>
        <c:tickLblPos val="nextTo"/>
        <c:txPr>
          <a:bodyPr rot="0" vert="horz"/>
          <a:lstStyle/>
          <a:p>
            <a:pPr>
              <a:defRPr/>
            </a:pPr>
            <a:endParaRPr lang="es-CL"/>
          </a:p>
        </c:txPr>
        <c:crossAx val="124267520"/>
        <c:crosses val="autoZero"/>
        <c:crossBetween val="between"/>
        <c:majorUnit val="10000"/>
      </c:valAx>
    </c:plotArea>
    <c:legend>
      <c:legendPos val="r"/>
      <c:layout>
        <c:manualLayout>
          <c:xMode val="edge"/>
          <c:yMode val="edge"/>
          <c:x val="0.18674596761279652"/>
          <c:y val="0.91502959750481894"/>
          <c:w val="0.62824726454650548"/>
          <c:h val="6.8027567982573589E-2"/>
        </c:manualLayout>
      </c:layout>
      <c:overlay val="0"/>
    </c:legend>
    <c:plotVisOnly val="1"/>
    <c:dispBlanksAs val="gap"/>
    <c:showDLblsOverMax val="0"/>
  </c:chart>
  <c:printSettings>
    <c:headerFooter alignWithMargins="0"/>
    <c:pageMargins b="1" l="0.75000000000001465" r="0.75000000000001465" t="1" header="0" footer="0"/>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800">
                <a:latin typeface="Verdana" pitchFamily="34" charset="0"/>
                <a:ea typeface="Verdana" pitchFamily="34" charset="0"/>
                <a:cs typeface="Verdana" pitchFamily="34" charset="0"/>
              </a:defRPr>
            </a:pPr>
            <a:r>
              <a:rPr lang="es-CL" sz="800">
                <a:latin typeface="Verdana" pitchFamily="34" charset="0"/>
                <a:ea typeface="Verdana" pitchFamily="34" charset="0"/>
                <a:cs typeface="Verdana" pitchFamily="34" charset="0"/>
              </a:rPr>
              <a:t>Número de usuarios de los museos pertenecientes</a:t>
            </a:r>
            <a:r>
              <a:rPr lang="es-CL" sz="800" baseline="0">
                <a:latin typeface="Verdana" pitchFamily="34" charset="0"/>
                <a:ea typeface="Verdana" pitchFamily="34" charset="0"/>
                <a:cs typeface="Verdana" pitchFamily="34" charset="0"/>
              </a:rPr>
              <a:t> a la </a:t>
            </a:r>
            <a:r>
              <a:rPr lang="es-CL" sz="800">
                <a:latin typeface="Verdana" pitchFamily="34" charset="0"/>
                <a:ea typeface="Verdana" pitchFamily="34" charset="0"/>
                <a:cs typeface="Verdana" pitchFamily="34" charset="0"/>
              </a:rPr>
              <a:t>Dirección de Bibliotecas, Archivos y Museos (DIBAM). 2010-2013</a:t>
            </a:r>
          </a:p>
        </c:rich>
      </c:tx>
      <c:overlay val="0"/>
    </c:title>
    <c:autoTitleDeleted val="0"/>
    <c:plotArea>
      <c:layout>
        <c:manualLayout>
          <c:layoutTarget val="inner"/>
          <c:xMode val="edge"/>
          <c:yMode val="edge"/>
          <c:x val="0.10248574598278544"/>
          <c:y val="0.11202839081734244"/>
          <c:w val="0.82878573168045888"/>
          <c:h val="0.65758840708291744"/>
        </c:manualLayout>
      </c:layout>
      <c:barChart>
        <c:barDir val="col"/>
        <c:grouping val="clustered"/>
        <c:varyColors val="0"/>
        <c:ser>
          <c:idx val="0"/>
          <c:order val="0"/>
          <c:tx>
            <c:strRef>
              <c:f>'3.1.1.2-11'!$A$16</c:f>
              <c:strCache>
                <c:ptCount val="1"/>
                <c:pt idx="0">
                  <c:v>2010</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'3.1.1.2-11'!$B$15:$E$15</c:f>
              <c:strCache>
                <c:ptCount val="4"/>
                <c:pt idx="0">
                  <c:v>Museo Histórico Nacional </c:v>
                </c:pt>
                <c:pt idx="1">
                  <c:v>Museo Nacional de Historia Natural</c:v>
                </c:pt>
                <c:pt idx="2">
                  <c:v>Museo Nacional de Bellas Artes</c:v>
                </c:pt>
                <c:pt idx="3">
                  <c:v>Subdirección Nacional de Museos</c:v>
                </c:pt>
              </c:strCache>
            </c:strRef>
          </c:cat>
          <c:val>
            <c:numRef>
              <c:f>'3.1.1.2-11'!$B$16:$E$16</c:f>
              <c:numCache>
                <c:formatCode>General</c:formatCode>
                <c:ptCount val="4"/>
                <c:pt idx="0">
                  <c:v>121363</c:v>
                </c:pt>
                <c:pt idx="1">
                  <c:v>436188</c:v>
                </c:pt>
                <c:pt idx="2">
                  <c:v>233313</c:v>
                </c:pt>
                <c:pt idx="3">
                  <c:v>561461</c:v>
                </c:pt>
              </c:numCache>
            </c:numRef>
          </c:val>
          <c:extLst>
            <c:ext xmlns:c16="http://schemas.microsoft.com/office/drawing/2014/chart" uri="{C3380CC4-5D6E-409C-BE32-E72D297353CC}">
              <c16:uniqueId val="{00000000-4317-4078-B0FF-751259569394}"/>
            </c:ext>
          </c:extLst>
        </c:ser>
        <c:ser>
          <c:idx val="1"/>
          <c:order val="1"/>
          <c:tx>
            <c:strRef>
              <c:f>'3.1.1.2-11'!$A$17</c:f>
              <c:strCache>
                <c:ptCount val="1"/>
                <c:pt idx="0">
                  <c:v>2011</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'3.1.1.2-11'!$B$15:$E$15</c:f>
              <c:strCache>
                <c:ptCount val="4"/>
                <c:pt idx="0">
                  <c:v>Museo Histórico Nacional </c:v>
                </c:pt>
                <c:pt idx="1">
                  <c:v>Museo Nacional de Historia Natural</c:v>
                </c:pt>
                <c:pt idx="2">
                  <c:v>Museo Nacional de Bellas Artes</c:v>
                </c:pt>
                <c:pt idx="3">
                  <c:v>Subdirección Nacional de Museos</c:v>
                </c:pt>
              </c:strCache>
            </c:strRef>
          </c:cat>
          <c:val>
            <c:numRef>
              <c:f>'3.1.1.2-11'!$B$17:$E$17</c:f>
              <c:numCache>
                <c:formatCode>General</c:formatCode>
                <c:ptCount val="4"/>
                <c:pt idx="0">
                  <c:v>188432</c:v>
                </c:pt>
                <c:pt idx="1">
                  <c:v>515085</c:v>
                </c:pt>
                <c:pt idx="2">
                  <c:v>276714</c:v>
                </c:pt>
                <c:pt idx="3">
                  <c:v>632765</c:v>
                </c:pt>
              </c:numCache>
            </c:numRef>
          </c:val>
          <c:extLst>
            <c:ext xmlns:c16="http://schemas.microsoft.com/office/drawing/2014/chart" uri="{C3380CC4-5D6E-409C-BE32-E72D297353CC}">
              <c16:uniqueId val="{00000001-4317-4078-B0FF-751259569394}"/>
            </c:ext>
          </c:extLst>
        </c:ser>
        <c:ser>
          <c:idx val="2"/>
          <c:order val="2"/>
          <c:tx>
            <c:strRef>
              <c:f>'3.1.1.2-11'!$A$18</c:f>
              <c:strCache>
                <c:ptCount val="1"/>
                <c:pt idx="0">
                  <c:v>2012</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'3.1.1.2-11'!$B$15:$E$15</c:f>
              <c:strCache>
                <c:ptCount val="4"/>
                <c:pt idx="0">
                  <c:v>Museo Histórico Nacional </c:v>
                </c:pt>
                <c:pt idx="1">
                  <c:v>Museo Nacional de Historia Natural</c:v>
                </c:pt>
                <c:pt idx="2">
                  <c:v>Museo Nacional de Bellas Artes</c:v>
                </c:pt>
                <c:pt idx="3">
                  <c:v>Subdirección Nacional de Museos</c:v>
                </c:pt>
              </c:strCache>
            </c:strRef>
          </c:cat>
          <c:val>
            <c:numRef>
              <c:f>'3.1.1.2-11'!$B$18:$E$18</c:f>
              <c:numCache>
                <c:formatCode>General</c:formatCode>
                <c:ptCount val="4"/>
                <c:pt idx="0">
                  <c:v>167230</c:v>
                </c:pt>
                <c:pt idx="1">
                  <c:v>801810</c:v>
                </c:pt>
                <c:pt idx="2">
                  <c:v>242993</c:v>
                </c:pt>
                <c:pt idx="3">
                  <c:v>685103</c:v>
                </c:pt>
              </c:numCache>
            </c:numRef>
          </c:val>
          <c:extLst>
            <c:ext xmlns:c16="http://schemas.microsoft.com/office/drawing/2014/chart" uri="{C3380CC4-5D6E-409C-BE32-E72D297353CC}">
              <c16:uniqueId val="{00000002-4317-4078-B0FF-751259569394}"/>
            </c:ext>
          </c:extLst>
        </c:ser>
        <c:ser>
          <c:idx val="3"/>
          <c:order val="3"/>
          <c:tx>
            <c:v>2013</c:v>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'3.1.1.2-11'!$B$19:$E$19</c:f>
              <c:numCache>
                <c:formatCode>General</c:formatCode>
                <c:ptCount val="4"/>
                <c:pt idx="0">
                  <c:v>173680</c:v>
                </c:pt>
                <c:pt idx="1">
                  <c:v>659609</c:v>
                </c:pt>
                <c:pt idx="2">
                  <c:v>295487</c:v>
                </c:pt>
                <c:pt idx="3">
                  <c:v>719675</c:v>
                </c:pt>
              </c:numCache>
            </c:numRef>
          </c:val>
          <c:extLst>
            <c:ext xmlns:c16="http://schemas.microsoft.com/office/drawing/2014/chart" uri="{C3380CC4-5D6E-409C-BE32-E72D297353CC}">
              <c16:uniqueId val="{00000003-4317-4078-B0FF-751259569394}"/>
            </c:ext>
          </c:extLst>
        </c:ser>
        <c:dLbls>
          <c:showLegendKey val="0"/>
          <c:showVal val="0"/>
          <c:showCatName val="0"/>
          <c:showSerName val="0"/>
          <c:showPercent val="0"/>
          <c:showBubbleSize val="0"/>
        </c:dLbls>
        <c:gapWidth val="75"/>
        <c:overlap val="-25"/>
        <c:axId val="129293312"/>
        <c:axId val="129323776"/>
      </c:barChart>
      <c:catAx>
        <c:axId val="129293312"/>
        <c:scaling>
          <c:orientation val="minMax"/>
        </c:scaling>
        <c:delete val="0"/>
        <c:axPos val="b"/>
        <c:numFmt formatCode="General" sourceLinked="1"/>
        <c:majorTickMark val="none"/>
        <c:minorTickMark val="none"/>
        <c:tickLblPos val="nextTo"/>
        <c:txPr>
          <a:bodyPr rot="0" vert="horz"/>
          <a:lstStyle/>
          <a:p>
            <a:pPr>
              <a:defRPr/>
            </a:pPr>
            <a:endParaRPr lang="es-CL"/>
          </a:p>
        </c:txPr>
        <c:crossAx val="129323776"/>
        <c:crosses val="autoZero"/>
        <c:auto val="1"/>
        <c:lblAlgn val="ctr"/>
        <c:lblOffset val="100"/>
        <c:tickLblSkip val="1"/>
        <c:tickMarkSkip val="1"/>
        <c:noMultiLvlLbl val="0"/>
      </c:catAx>
      <c:valAx>
        <c:axId val="129323776"/>
        <c:scaling>
          <c:orientation val="minMax"/>
        </c:scaling>
        <c:delete val="0"/>
        <c:axPos val="l"/>
        <c:majorGridlines/>
        <c:numFmt formatCode="0" sourceLinked="0"/>
        <c:majorTickMark val="none"/>
        <c:minorTickMark val="none"/>
        <c:tickLblPos val="nextTo"/>
        <c:spPr>
          <a:ln w="9525">
            <a:noFill/>
          </a:ln>
        </c:spPr>
        <c:txPr>
          <a:bodyPr rot="0" vert="horz"/>
          <a:lstStyle/>
          <a:p>
            <a:pPr>
              <a:defRPr/>
            </a:pPr>
            <a:endParaRPr lang="es-CL"/>
          </a:p>
        </c:txPr>
        <c:crossAx val="129293312"/>
        <c:crosses val="autoZero"/>
        <c:crossBetween val="between"/>
        <c:dispUnits>
          <c:builtInUnit val="thousands"/>
          <c:dispUnitsLbl>
            <c:layout>
              <c:manualLayout>
                <c:xMode val="edge"/>
                <c:yMode val="edge"/>
                <c:x val="1.1792391930390139E-2"/>
                <c:y val="0.3955089275812439"/>
              </c:manualLayout>
            </c:layout>
            <c:tx>
              <c:rich>
                <a:bodyPr rot="-5400000" vert="horz"/>
                <a:lstStyle/>
                <a:p>
                  <a:pPr>
                    <a:defRPr b="0"/>
                  </a:pPr>
                  <a:r>
                    <a:rPr lang="es-CL" b="0"/>
                    <a:t>Miles</a:t>
                  </a:r>
                </a:p>
              </c:rich>
            </c:tx>
          </c:dispUnitsLbl>
        </c:dispUnits>
      </c:valAx>
    </c:plotArea>
    <c:legend>
      <c:legendPos val="b"/>
      <c:overlay val="0"/>
    </c:legend>
    <c:plotVisOnly val="1"/>
    <c:dispBlanksAs val="gap"/>
    <c:showDLblsOverMax val="0"/>
  </c:chart>
  <c:printSettings>
    <c:headerFooter alignWithMargins="0"/>
    <c:pageMargins b="1" l="0.75000000000001465" r="0.75000000000001465" t="1" header="0" footer="0"/>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L" sz="1200"/>
              <a:t>Número</a:t>
            </a:r>
            <a:r>
              <a:rPr lang="es-CL" sz="1200" baseline="0"/>
              <a:t> de beneficiarios del Programa de Educación Ambiental (EDAM) dentro y fuera de las Áreas Silvestres Protegidas (ASP), según región. 2012-2013  </a:t>
            </a:r>
            <a:endParaRPr lang="es-CL" sz="1200"/>
          </a:p>
        </c:rich>
      </c:tx>
      <c:overlay val="0"/>
    </c:title>
    <c:autoTitleDeleted val="0"/>
    <c:plotArea>
      <c:layout>
        <c:manualLayout>
          <c:layoutTarget val="inner"/>
          <c:xMode val="edge"/>
          <c:yMode val="edge"/>
          <c:x val="8.7861441562229747E-2"/>
          <c:y val="0.21596729916957258"/>
          <c:w val="0.89097453727375064"/>
          <c:h val="0.4464699453551913"/>
        </c:manualLayout>
      </c:layout>
      <c:barChart>
        <c:barDir val="col"/>
        <c:grouping val="clustered"/>
        <c:varyColors val="0"/>
        <c:ser>
          <c:idx val="0"/>
          <c:order val="0"/>
          <c:tx>
            <c:strRef>
              <c:f>'3.1.2.3-01'!$B$28</c:f>
              <c:strCache>
                <c:ptCount val="1"/>
                <c:pt idx="0">
                  <c:v>2012</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'3.1.2.3-01'!$A$30:$A$44</c:f>
              <c:strCache>
                <c:ptCount val="15"/>
                <c:pt idx="0">
                  <c:v>Arica y Parinacota</c:v>
                </c:pt>
                <c:pt idx="1">
                  <c:v>Tarapacá</c:v>
                </c:pt>
                <c:pt idx="2">
                  <c:v>Antofagasta</c:v>
                </c:pt>
                <c:pt idx="3">
                  <c:v>Atacama</c:v>
                </c:pt>
                <c:pt idx="4">
                  <c:v>Coquimbo</c:v>
                </c:pt>
                <c:pt idx="5">
                  <c:v>Valparaíso</c:v>
                </c:pt>
                <c:pt idx="6">
                  <c:v>Metropolitana</c:v>
                </c:pt>
                <c:pt idx="7">
                  <c:v>O'Higgins</c:v>
                </c:pt>
                <c:pt idx="8">
                  <c:v>Maule</c:v>
                </c:pt>
                <c:pt idx="9">
                  <c:v>Biobío</c:v>
                </c:pt>
                <c:pt idx="10">
                  <c:v>La Araucanía</c:v>
                </c:pt>
                <c:pt idx="11">
                  <c:v>Los Ríos </c:v>
                </c:pt>
                <c:pt idx="12">
                  <c:v>Los Lagos </c:v>
                </c:pt>
                <c:pt idx="13">
                  <c:v>Aysén</c:v>
                </c:pt>
                <c:pt idx="14">
                  <c:v>Magallanes</c:v>
                </c:pt>
              </c:strCache>
            </c:strRef>
          </c:cat>
          <c:val>
            <c:numRef>
              <c:f>'3.1.2.3-01'!$B$30:$B$44</c:f>
              <c:numCache>
                <c:formatCode>#,##0</c:formatCode>
                <c:ptCount val="15"/>
                <c:pt idx="0">
                  <c:v>717</c:v>
                </c:pt>
                <c:pt idx="1">
                  <c:v>1033</c:v>
                </c:pt>
                <c:pt idx="2">
                  <c:v>4620</c:v>
                </c:pt>
                <c:pt idx="3">
                  <c:v>3793</c:v>
                </c:pt>
                <c:pt idx="4">
                  <c:v>5135</c:v>
                </c:pt>
                <c:pt idx="5">
                  <c:v>10566</c:v>
                </c:pt>
                <c:pt idx="6">
                  <c:v>1831</c:v>
                </c:pt>
                <c:pt idx="7">
                  <c:v>3075</c:v>
                </c:pt>
                <c:pt idx="8">
                  <c:v>6173</c:v>
                </c:pt>
                <c:pt idx="9">
                  <c:v>4181</c:v>
                </c:pt>
                <c:pt idx="10">
                  <c:v>7807</c:v>
                </c:pt>
                <c:pt idx="11">
                  <c:v>100</c:v>
                </c:pt>
                <c:pt idx="12">
                  <c:v>10850</c:v>
                </c:pt>
                <c:pt idx="13">
                  <c:v>3859</c:v>
                </c:pt>
                <c:pt idx="14">
                  <c:v>1722</c:v>
                </c:pt>
              </c:numCache>
            </c:numRef>
          </c:val>
          <c:extLst>
            <c:ext xmlns:c16="http://schemas.microsoft.com/office/drawing/2014/chart" uri="{C3380CC4-5D6E-409C-BE32-E72D297353CC}">
              <c16:uniqueId val="{00000000-6507-4EF2-ADED-AA1365CAF79C}"/>
            </c:ext>
          </c:extLst>
        </c:ser>
        <c:ser>
          <c:idx val="1"/>
          <c:order val="1"/>
          <c:tx>
            <c:strRef>
              <c:f>'3.1.2.3-01'!$C$28</c:f>
              <c:strCache>
                <c:ptCount val="1"/>
                <c:pt idx="0">
                  <c:v>2013</c:v>
                </c:pt>
              </c:strCache>
            </c:strRef>
          </c:tx>
          <c:spPr>
            <a:solidFill>
              <a:srgbClr val="7030A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'3.1.2.3-01'!$A$30:$A$44</c:f>
              <c:strCache>
                <c:ptCount val="15"/>
                <c:pt idx="0">
                  <c:v>Arica y Parinacota</c:v>
                </c:pt>
                <c:pt idx="1">
                  <c:v>Tarapacá</c:v>
                </c:pt>
                <c:pt idx="2">
                  <c:v>Antofagasta</c:v>
                </c:pt>
                <c:pt idx="3">
                  <c:v>Atacama</c:v>
                </c:pt>
                <c:pt idx="4">
                  <c:v>Coquimbo</c:v>
                </c:pt>
                <c:pt idx="5">
                  <c:v>Valparaíso</c:v>
                </c:pt>
                <c:pt idx="6">
                  <c:v>Metropolitana</c:v>
                </c:pt>
                <c:pt idx="7">
                  <c:v>O'Higgins</c:v>
                </c:pt>
                <c:pt idx="8">
                  <c:v>Maule</c:v>
                </c:pt>
                <c:pt idx="9">
                  <c:v>Biobío</c:v>
                </c:pt>
                <c:pt idx="10">
                  <c:v>La Araucanía</c:v>
                </c:pt>
                <c:pt idx="11">
                  <c:v>Los Ríos </c:v>
                </c:pt>
                <c:pt idx="12">
                  <c:v>Los Lagos </c:v>
                </c:pt>
                <c:pt idx="13">
                  <c:v>Aysén</c:v>
                </c:pt>
                <c:pt idx="14">
                  <c:v>Magallanes</c:v>
                </c:pt>
              </c:strCache>
            </c:strRef>
          </c:cat>
          <c:val>
            <c:numRef>
              <c:f>'3.1.2.3-01'!$C$30:$C$44</c:f>
              <c:numCache>
                <c:formatCode>#,##0</c:formatCode>
                <c:ptCount val="15"/>
                <c:pt idx="0">
                  <c:v>97</c:v>
                </c:pt>
                <c:pt idx="1">
                  <c:v>410</c:v>
                </c:pt>
                <c:pt idx="2">
                  <c:v>3515</c:v>
                </c:pt>
                <c:pt idx="3">
                  <c:v>755</c:v>
                </c:pt>
                <c:pt idx="4">
                  <c:v>14159</c:v>
                </c:pt>
                <c:pt idx="5">
                  <c:v>19137</c:v>
                </c:pt>
                <c:pt idx="6">
                  <c:v>1694</c:v>
                </c:pt>
                <c:pt idx="7">
                  <c:v>5220</c:v>
                </c:pt>
                <c:pt idx="8">
                  <c:v>8378</c:v>
                </c:pt>
                <c:pt idx="9">
                  <c:v>1695</c:v>
                </c:pt>
                <c:pt idx="10">
                  <c:v>8322</c:v>
                </c:pt>
                <c:pt idx="11">
                  <c:v>1003</c:v>
                </c:pt>
                <c:pt idx="12">
                  <c:v>9114</c:v>
                </c:pt>
                <c:pt idx="13">
                  <c:v>2789</c:v>
                </c:pt>
                <c:pt idx="14">
                  <c:v>953</c:v>
                </c:pt>
              </c:numCache>
            </c:numRef>
          </c:val>
          <c:extLst>
            <c:ext xmlns:c16="http://schemas.microsoft.com/office/drawing/2014/chart" uri="{C3380CC4-5D6E-409C-BE32-E72D297353CC}">
              <c16:uniqueId val="{00000001-6507-4EF2-ADED-AA1365CAF79C}"/>
            </c:ext>
          </c:extLst>
        </c:ser>
        <c:dLbls>
          <c:showLegendKey val="0"/>
          <c:showVal val="0"/>
          <c:showCatName val="0"/>
          <c:showSerName val="0"/>
          <c:showPercent val="0"/>
          <c:showBubbleSize val="0"/>
        </c:dLbls>
        <c:gapWidth val="75"/>
        <c:overlap val="-25"/>
        <c:axId val="129472000"/>
        <c:axId val="129473536"/>
      </c:barChart>
      <c:catAx>
        <c:axId val="129472000"/>
        <c:scaling>
          <c:orientation val="minMax"/>
        </c:scaling>
        <c:delete val="0"/>
        <c:axPos val="b"/>
        <c:numFmt formatCode="General" sourceLinked="0"/>
        <c:majorTickMark val="none"/>
        <c:minorTickMark val="none"/>
        <c:tickLblPos val="nextTo"/>
        <c:crossAx val="129473536"/>
        <c:crosses val="autoZero"/>
        <c:auto val="1"/>
        <c:lblAlgn val="ctr"/>
        <c:lblOffset val="100"/>
        <c:noMultiLvlLbl val="0"/>
      </c:catAx>
      <c:valAx>
        <c:axId val="129473536"/>
        <c:scaling>
          <c:orientation val="minMax"/>
        </c:scaling>
        <c:delete val="0"/>
        <c:axPos val="l"/>
        <c:majorGridlines/>
        <c:numFmt formatCode="#,##0" sourceLinked="1"/>
        <c:majorTickMark val="none"/>
        <c:minorTickMark val="none"/>
        <c:tickLblPos val="nextTo"/>
        <c:spPr>
          <a:ln w="9525">
            <a:noFill/>
          </a:ln>
        </c:spPr>
        <c:crossAx val="129472000"/>
        <c:crosses val="autoZero"/>
        <c:crossBetween val="between"/>
      </c:valAx>
    </c:plotArea>
    <c:legend>
      <c:legendPos val="b"/>
      <c:overlay val="0"/>
    </c:legend>
    <c:plotVisOnly val="1"/>
    <c:dispBlanksAs val="gap"/>
    <c:showDLblsOverMax val="0"/>
  </c:chart>
  <c:printSettings>
    <c:headerFooter/>
    <c:pageMargins b="0.75000000000000355" l="0.70000000000000062" r="0.70000000000000062" t="0.7500000000000035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L" sz="1200"/>
              <a:t>Actores</a:t>
            </a:r>
            <a:r>
              <a:rPr lang="es-CL" sz="1200" baseline="0"/>
              <a:t> asociados a la Corporación de Actores de Chile (Chileactores). 2013</a:t>
            </a:r>
            <a:endParaRPr lang="es-CL" sz="1200"/>
          </a:p>
        </c:rich>
      </c:tx>
      <c:overlay val="0"/>
    </c:title>
    <c:autoTitleDeleted val="0"/>
    <c:plotArea>
      <c:layout/>
      <c:barChart>
        <c:barDir val="col"/>
        <c:grouping val="clustered"/>
        <c:varyColors val="0"/>
        <c:ser>
          <c:idx val="0"/>
          <c:order val="0"/>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'3.4-01'!$A$18:$A$22</c:f>
              <c:numCache>
                <c:formatCode>General</c:formatCode>
                <c:ptCount val="5"/>
                <c:pt idx="0">
                  <c:v>2009</c:v>
                </c:pt>
                <c:pt idx="1">
                  <c:v>2010</c:v>
                </c:pt>
                <c:pt idx="2">
                  <c:v>2011</c:v>
                </c:pt>
                <c:pt idx="3">
                  <c:v>2012</c:v>
                </c:pt>
                <c:pt idx="4">
                  <c:v>2013</c:v>
                </c:pt>
              </c:numCache>
            </c:numRef>
          </c:cat>
          <c:val>
            <c:numRef>
              <c:f>'3.4-01'!$B$18:$B$22</c:f>
              <c:numCache>
                <c:formatCode>#,##0</c:formatCode>
                <c:ptCount val="5"/>
                <c:pt idx="0">
                  <c:v>1113</c:v>
                </c:pt>
                <c:pt idx="1">
                  <c:v>1152</c:v>
                </c:pt>
                <c:pt idx="2">
                  <c:v>1313</c:v>
                </c:pt>
                <c:pt idx="3">
                  <c:v>1379</c:v>
                </c:pt>
                <c:pt idx="4">
                  <c:v>1463</c:v>
                </c:pt>
              </c:numCache>
            </c:numRef>
          </c:val>
          <c:extLst>
            <c:ext xmlns:c16="http://schemas.microsoft.com/office/drawing/2014/chart" uri="{C3380CC4-5D6E-409C-BE32-E72D297353CC}">
              <c16:uniqueId val="{00000000-EA7D-4478-9DAE-F6AC6218184A}"/>
            </c:ext>
          </c:extLst>
        </c:ser>
        <c:dLbls>
          <c:showLegendKey val="0"/>
          <c:showVal val="0"/>
          <c:showCatName val="0"/>
          <c:showSerName val="0"/>
          <c:showPercent val="0"/>
          <c:showBubbleSize val="0"/>
        </c:dLbls>
        <c:gapWidth val="75"/>
        <c:overlap val="-25"/>
        <c:axId val="38291328"/>
        <c:axId val="38292864"/>
      </c:barChart>
      <c:catAx>
        <c:axId val="38291328"/>
        <c:scaling>
          <c:orientation val="minMax"/>
        </c:scaling>
        <c:delete val="0"/>
        <c:axPos val="b"/>
        <c:numFmt formatCode="General" sourceLinked="1"/>
        <c:majorTickMark val="none"/>
        <c:minorTickMark val="none"/>
        <c:tickLblPos val="nextTo"/>
        <c:crossAx val="38292864"/>
        <c:crosses val="autoZero"/>
        <c:auto val="1"/>
        <c:lblAlgn val="ctr"/>
        <c:lblOffset val="100"/>
        <c:noMultiLvlLbl val="0"/>
      </c:catAx>
      <c:valAx>
        <c:axId val="38292864"/>
        <c:scaling>
          <c:orientation val="minMax"/>
        </c:scaling>
        <c:delete val="0"/>
        <c:axPos val="l"/>
        <c:majorGridlines/>
        <c:numFmt formatCode="#,##0" sourceLinked="1"/>
        <c:majorTickMark val="none"/>
        <c:minorTickMark val="none"/>
        <c:tickLblPos val="nextTo"/>
        <c:spPr>
          <a:ln w="9525">
            <a:noFill/>
          </a:ln>
        </c:spPr>
        <c:crossAx val="38291328"/>
        <c:crosses val="autoZero"/>
        <c:crossBetween val="between"/>
      </c:valAx>
    </c:plotArea>
    <c:plotVisOnly val="1"/>
    <c:dispBlanksAs val="gap"/>
    <c:showDLblsOverMax val="0"/>
  </c:chart>
  <c:printSettings>
    <c:headerFooter/>
    <c:pageMargins b="0.750000000000002" l="0.70000000000000062" r="0.70000000000000062" t="0.750000000000002"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L" sz="1200"/>
              <a:t>Número de autorizaciones concedidas</a:t>
            </a:r>
            <a:r>
              <a:rPr lang="es-CL" sz="1200" baseline="0"/>
              <a:t> en Chile y el extranjero, según ATN. 2009-2013</a:t>
            </a:r>
            <a:endParaRPr lang="es-CL" sz="1200"/>
          </a:p>
        </c:rich>
      </c:tx>
      <c:overlay val="0"/>
    </c:title>
    <c:autoTitleDeleted val="0"/>
    <c:plotArea>
      <c:layout/>
      <c:lineChart>
        <c:grouping val="stacked"/>
        <c:varyColors val="0"/>
        <c:ser>
          <c:idx val="0"/>
          <c:order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'3.4-10'!$B$16:$F$16</c:f>
              <c:numCache>
                <c:formatCode>General</c:formatCode>
                <c:ptCount val="5"/>
                <c:pt idx="0">
                  <c:v>2009</c:v>
                </c:pt>
                <c:pt idx="1">
                  <c:v>2010</c:v>
                </c:pt>
                <c:pt idx="2">
                  <c:v>2011</c:v>
                </c:pt>
                <c:pt idx="3">
                  <c:v>2012</c:v>
                </c:pt>
                <c:pt idx="4">
                  <c:v>2013</c:v>
                </c:pt>
              </c:numCache>
            </c:numRef>
          </c:cat>
          <c:val>
            <c:numRef>
              <c:f>'3.4-10'!$B$17:$F$17</c:f>
              <c:numCache>
                <c:formatCode>General</c:formatCode>
                <c:ptCount val="5"/>
                <c:pt idx="0">
                  <c:v>214</c:v>
                </c:pt>
                <c:pt idx="1">
                  <c:v>240</c:v>
                </c:pt>
                <c:pt idx="2">
                  <c:v>264</c:v>
                </c:pt>
                <c:pt idx="3">
                  <c:v>308</c:v>
                </c:pt>
                <c:pt idx="4">
                  <c:v>327</c:v>
                </c:pt>
              </c:numCache>
            </c:numRef>
          </c:val>
          <c:smooth val="0"/>
          <c:extLst>
            <c:ext xmlns:c16="http://schemas.microsoft.com/office/drawing/2014/chart" uri="{C3380CC4-5D6E-409C-BE32-E72D297353CC}">
              <c16:uniqueId val="{00000000-936F-4C4B-B0EB-49C987FC5F47}"/>
            </c:ext>
          </c:extLst>
        </c:ser>
        <c:dLbls>
          <c:showLegendKey val="0"/>
          <c:showVal val="0"/>
          <c:showCatName val="0"/>
          <c:showSerName val="0"/>
          <c:showPercent val="0"/>
          <c:showBubbleSize val="0"/>
        </c:dLbls>
        <c:marker val="1"/>
        <c:smooth val="0"/>
        <c:axId val="38841728"/>
        <c:axId val="37315712"/>
      </c:lineChart>
      <c:catAx>
        <c:axId val="38841728"/>
        <c:scaling>
          <c:orientation val="minMax"/>
        </c:scaling>
        <c:delete val="0"/>
        <c:axPos val="b"/>
        <c:numFmt formatCode="General" sourceLinked="1"/>
        <c:majorTickMark val="none"/>
        <c:minorTickMark val="none"/>
        <c:tickLblPos val="nextTo"/>
        <c:crossAx val="37315712"/>
        <c:crosses val="autoZero"/>
        <c:auto val="1"/>
        <c:lblAlgn val="ctr"/>
        <c:lblOffset val="100"/>
        <c:noMultiLvlLbl val="0"/>
      </c:catAx>
      <c:valAx>
        <c:axId val="37315712"/>
        <c:scaling>
          <c:orientation val="minMax"/>
        </c:scaling>
        <c:delete val="0"/>
        <c:axPos val="l"/>
        <c:majorGridlines/>
        <c:numFmt formatCode="General" sourceLinked="1"/>
        <c:majorTickMark val="none"/>
        <c:minorTickMark val="none"/>
        <c:tickLblPos val="nextTo"/>
        <c:spPr>
          <a:ln w="9525">
            <a:noFill/>
          </a:ln>
        </c:spPr>
        <c:crossAx val="38841728"/>
        <c:crosses val="autoZero"/>
        <c:crossBetween val="between"/>
      </c:valAx>
    </c:plotArea>
    <c:plotVisOnly val="1"/>
    <c:dispBlanksAs val="zero"/>
    <c:showDLblsOverMax val="0"/>
  </c:chart>
  <c:printSettings>
    <c:headerFooter/>
    <c:pageMargins b="0.75000000000000244" l="0.70000000000000062" r="0.70000000000000062" t="0.75000000000000244"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sz="1200"/>
            </a:pPr>
            <a:r>
              <a:rPr lang="es-CL" sz="1200"/>
              <a:t>Derechos recaudados y distribuidos por </a:t>
            </a:r>
            <a:r>
              <a:rPr lang="es-CL" sz="1200" baseline="0"/>
              <a:t>ATN</a:t>
            </a:r>
            <a:r>
              <a:rPr lang="es-CL" sz="1200"/>
              <a:t>. 2009-2013 </a:t>
            </a:r>
          </a:p>
        </c:rich>
      </c:tx>
      <c:overlay val="0"/>
    </c:title>
    <c:autoTitleDeleted val="0"/>
    <c:plotArea>
      <c:layout/>
      <c:barChart>
        <c:barDir val="col"/>
        <c:grouping val="clustered"/>
        <c:varyColors val="0"/>
        <c:ser>
          <c:idx val="0"/>
          <c:order val="0"/>
          <c:tx>
            <c:strRef>
              <c:f>'3.4-12'!$A$16</c:f>
              <c:strCache>
                <c:ptCount val="1"/>
                <c:pt idx="0">
                  <c:v>Derechos recaudados</c:v>
                </c:pt>
              </c:strCache>
            </c:strRef>
          </c:tx>
          <c:spPr>
            <a:solidFill>
              <a:schemeClr val="accent4">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'3.4-12'!$B$15:$F$15</c:f>
              <c:numCache>
                <c:formatCode>0</c:formatCode>
                <c:ptCount val="5"/>
                <c:pt idx="0">
                  <c:v>2009</c:v>
                </c:pt>
                <c:pt idx="1">
                  <c:v>2010</c:v>
                </c:pt>
                <c:pt idx="2">
                  <c:v>2011</c:v>
                </c:pt>
                <c:pt idx="3">
                  <c:v>2012</c:v>
                </c:pt>
                <c:pt idx="4">
                  <c:v>2013</c:v>
                </c:pt>
              </c:numCache>
            </c:numRef>
          </c:cat>
          <c:val>
            <c:numRef>
              <c:f>'3.4-12'!$B$16:$F$16</c:f>
              <c:numCache>
                <c:formatCode>#,##0</c:formatCode>
                <c:ptCount val="5"/>
                <c:pt idx="0">
                  <c:v>135348756</c:v>
                </c:pt>
                <c:pt idx="1">
                  <c:v>156718737</c:v>
                </c:pt>
                <c:pt idx="2">
                  <c:v>188902696</c:v>
                </c:pt>
                <c:pt idx="3">
                  <c:v>224948420</c:v>
                </c:pt>
                <c:pt idx="4">
                  <c:v>242861493</c:v>
                </c:pt>
              </c:numCache>
            </c:numRef>
          </c:val>
          <c:extLst>
            <c:ext xmlns:c16="http://schemas.microsoft.com/office/drawing/2014/chart" uri="{C3380CC4-5D6E-409C-BE32-E72D297353CC}">
              <c16:uniqueId val="{00000000-4016-4631-B069-50FB6C7733CD}"/>
            </c:ext>
          </c:extLst>
        </c:ser>
        <c:ser>
          <c:idx val="1"/>
          <c:order val="1"/>
          <c:tx>
            <c:strRef>
              <c:f>'3.4-12'!$A$17</c:f>
              <c:strCache>
                <c:ptCount val="1"/>
                <c:pt idx="0">
                  <c:v>Derechos distribuidos</c:v>
                </c:pt>
              </c:strCache>
            </c:strRef>
          </c:tx>
          <c:spPr>
            <a:solidFill>
              <a:srgbClr val="7030A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'3.4-12'!$B$15:$F$15</c:f>
              <c:numCache>
                <c:formatCode>0</c:formatCode>
                <c:ptCount val="5"/>
                <c:pt idx="0">
                  <c:v>2009</c:v>
                </c:pt>
                <c:pt idx="1">
                  <c:v>2010</c:v>
                </c:pt>
                <c:pt idx="2">
                  <c:v>2011</c:v>
                </c:pt>
                <c:pt idx="3">
                  <c:v>2012</c:v>
                </c:pt>
                <c:pt idx="4">
                  <c:v>2013</c:v>
                </c:pt>
              </c:numCache>
            </c:numRef>
          </c:cat>
          <c:val>
            <c:numRef>
              <c:f>'3.4-12'!$B$17:$F$17</c:f>
              <c:numCache>
                <c:formatCode>#,##0</c:formatCode>
                <c:ptCount val="5"/>
                <c:pt idx="0">
                  <c:v>111209916</c:v>
                </c:pt>
                <c:pt idx="1">
                  <c:v>134737218</c:v>
                </c:pt>
                <c:pt idx="2">
                  <c:v>138867789</c:v>
                </c:pt>
                <c:pt idx="3">
                  <c:v>194578031</c:v>
                </c:pt>
                <c:pt idx="4">
                  <c:v>170299927</c:v>
                </c:pt>
              </c:numCache>
            </c:numRef>
          </c:val>
          <c:extLst>
            <c:ext xmlns:c16="http://schemas.microsoft.com/office/drawing/2014/chart" uri="{C3380CC4-5D6E-409C-BE32-E72D297353CC}">
              <c16:uniqueId val="{00000001-4016-4631-B069-50FB6C7733CD}"/>
            </c:ext>
          </c:extLst>
        </c:ser>
        <c:dLbls>
          <c:showLegendKey val="0"/>
          <c:showVal val="0"/>
          <c:showCatName val="0"/>
          <c:showSerName val="0"/>
          <c:showPercent val="0"/>
          <c:showBubbleSize val="0"/>
        </c:dLbls>
        <c:gapWidth val="75"/>
        <c:overlap val="-25"/>
        <c:axId val="38677888"/>
        <c:axId val="121767040"/>
      </c:barChart>
      <c:catAx>
        <c:axId val="38677888"/>
        <c:scaling>
          <c:orientation val="minMax"/>
        </c:scaling>
        <c:delete val="0"/>
        <c:axPos val="b"/>
        <c:numFmt formatCode="0" sourceLinked="1"/>
        <c:majorTickMark val="none"/>
        <c:minorTickMark val="none"/>
        <c:tickLblPos val="nextTo"/>
        <c:txPr>
          <a:bodyPr rot="0" vert="horz"/>
          <a:lstStyle/>
          <a:p>
            <a:pPr>
              <a:defRPr/>
            </a:pPr>
            <a:endParaRPr lang="es-CL"/>
          </a:p>
        </c:txPr>
        <c:crossAx val="121767040"/>
        <c:crosses val="autoZero"/>
        <c:auto val="1"/>
        <c:lblAlgn val="ctr"/>
        <c:lblOffset val="100"/>
        <c:tickLblSkip val="1"/>
        <c:tickMarkSkip val="1"/>
        <c:noMultiLvlLbl val="0"/>
      </c:catAx>
      <c:valAx>
        <c:axId val="121767040"/>
        <c:scaling>
          <c:orientation val="minMax"/>
        </c:scaling>
        <c:delete val="0"/>
        <c:axPos val="l"/>
        <c:majorGridlines/>
        <c:numFmt formatCode="#,##0" sourceLinked="1"/>
        <c:majorTickMark val="none"/>
        <c:minorTickMark val="none"/>
        <c:tickLblPos val="nextTo"/>
        <c:spPr>
          <a:ln w="9525">
            <a:noFill/>
          </a:ln>
        </c:spPr>
        <c:txPr>
          <a:bodyPr rot="0" vert="horz"/>
          <a:lstStyle/>
          <a:p>
            <a:pPr>
              <a:defRPr/>
            </a:pPr>
            <a:endParaRPr lang="es-CL"/>
          </a:p>
        </c:txPr>
        <c:crossAx val="38677888"/>
        <c:crosses val="autoZero"/>
        <c:crossBetween val="between"/>
        <c:dispUnits>
          <c:builtInUnit val="millions"/>
        </c:dispUnits>
      </c:valAx>
    </c:plotArea>
    <c:legend>
      <c:legendPos val="b"/>
      <c:overlay val="0"/>
    </c:legend>
    <c:plotVisOnly val="1"/>
    <c:dispBlanksAs val="gap"/>
    <c:showDLblsOverMax val="0"/>
  </c:chart>
  <c:printSettings>
    <c:headerFooter alignWithMargins="0"/>
    <c:pageMargins b="1" l="0.75000000000001465" r="0.75000000000001465" t="1" header="0" footer="0"/>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sz="1200"/>
            </a:pPr>
            <a:r>
              <a:rPr lang="es-CL" sz="1200"/>
              <a:t>Derechos distribuidos por</a:t>
            </a:r>
            <a:r>
              <a:rPr lang="es-CL" sz="1200" baseline="0"/>
              <a:t> ATN</a:t>
            </a:r>
            <a:r>
              <a:rPr lang="es-CL" sz="1200"/>
              <a:t>, según nacionalidad de los autores.  2009-2013</a:t>
            </a:r>
          </a:p>
        </c:rich>
      </c:tx>
      <c:layout>
        <c:manualLayout>
          <c:xMode val="edge"/>
          <c:yMode val="edge"/>
          <c:x val="0.12903227495565517"/>
          <c:y val="3.7037037037037056E-2"/>
        </c:manualLayout>
      </c:layout>
      <c:overlay val="0"/>
    </c:title>
    <c:autoTitleDeleted val="0"/>
    <c:plotArea>
      <c:layout>
        <c:manualLayout>
          <c:layoutTarget val="inner"/>
          <c:xMode val="edge"/>
          <c:yMode val="edge"/>
          <c:x val="0.11168751165919259"/>
          <c:y val="0.18911613540269326"/>
          <c:w val="0.8349018216533628"/>
          <c:h val="0.64323163784591264"/>
        </c:manualLayout>
      </c:layout>
      <c:barChart>
        <c:barDir val="col"/>
        <c:grouping val="clustered"/>
        <c:varyColors val="0"/>
        <c:ser>
          <c:idx val="2"/>
          <c:order val="0"/>
          <c:tx>
            <c:strRef>
              <c:f>'3.4-12'!$A$21</c:f>
              <c:strCache>
                <c:ptCount val="1"/>
                <c:pt idx="0">
                  <c:v>Autores nacionales</c:v>
                </c:pt>
              </c:strCache>
            </c:strRef>
          </c:tx>
          <c:spPr>
            <a:solidFill>
              <a:srgbClr val="0070C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'3.4-12'!$B$20:$F$20</c:f>
              <c:numCache>
                <c:formatCode>0</c:formatCode>
                <c:ptCount val="5"/>
                <c:pt idx="0">
                  <c:v>2009</c:v>
                </c:pt>
                <c:pt idx="1">
                  <c:v>2010</c:v>
                </c:pt>
                <c:pt idx="2">
                  <c:v>2011</c:v>
                </c:pt>
                <c:pt idx="3">
                  <c:v>2012</c:v>
                </c:pt>
                <c:pt idx="4">
                  <c:v>2013</c:v>
                </c:pt>
              </c:numCache>
            </c:numRef>
          </c:cat>
          <c:val>
            <c:numRef>
              <c:f>'3.4-12'!$B$21:$F$21</c:f>
              <c:numCache>
                <c:formatCode>#,##0</c:formatCode>
                <c:ptCount val="5"/>
                <c:pt idx="0">
                  <c:v>66943607</c:v>
                </c:pt>
                <c:pt idx="1">
                  <c:v>102063257</c:v>
                </c:pt>
                <c:pt idx="2">
                  <c:v>98760765</c:v>
                </c:pt>
                <c:pt idx="3" formatCode="_-* #,##0_-;\-* #,##0_-;_-* &quot;-&quot;??_-;_-@_-">
                  <c:v>98166671</c:v>
                </c:pt>
                <c:pt idx="4">
                  <c:v>98543471</c:v>
                </c:pt>
              </c:numCache>
            </c:numRef>
          </c:val>
          <c:extLst>
            <c:ext xmlns:c16="http://schemas.microsoft.com/office/drawing/2014/chart" uri="{C3380CC4-5D6E-409C-BE32-E72D297353CC}">
              <c16:uniqueId val="{00000000-1A44-4E35-B2F2-E2482507FDB4}"/>
            </c:ext>
          </c:extLst>
        </c:ser>
        <c:ser>
          <c:idx val="3"/>
          <c:order val="1"/>
          <c:tx>
            <c:strRef>
              <c:f>'3.4-12'!$A$22</c:f>
              <c:strCache>
                <c:ptCount val="1"/>
                <c:pt idx="0">
                  <c:v>Autores extranjeros</c:v>
                </c:pt>
              </c:strCache>
            </c:strRef>
          </c:tx>
          <c:spPr>
            <a:solidFill>
              <a:schemeClr val="accent5">
                <a:lumMod val="40000"/>
                <a:lumOff val="60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'3.4-12'!$B$20:$F$20</c:f>
              <c:numCache>
                <c:formatCode>0</c:formatCode>
                <c:ptCount val="5"/>
                <c:pt idx="0">
                  <c:v>2009</c:v>
                </c:pt>
                <c:pt idx="1">
                  <c:v>2010</c:v>
                </c:pt>
                <c:pt idx="2">
                  <c:v>2011</c:v>
                </c:pt>
                <c:pt idx="3">
                  <c:v>2012</c:v>
                </c:pt>
                <c:pt idx="4">
                  <c:v>2013</c:v>
                </c:pt>
              </c:numCache>
            </c:numRef>
          </c:cat>
          <c:val>
            <c:numRef>
              <c:f>'3.4-12'!$B$22:$F$22</c:f>
              <c:numCache>
                <c:formatCode>#,##0</c:formatCode>
                <c:ptCount val="5"/>
                <c:pt idx="0">
                  <c:v>44266309</c:v>
                </c:pt>
                <c:pt idx="1">
                  <c:v>32673961</c:v>
                </c:pt>
                <c:pt idx="2">
                  <c:v>40107024</c:v>
                </c:pt>
                <c:pt idx="3" formatCode="_-* #,##0_-;\-* #,##0_-;_-* &quot;-&quot;??_-;_-@_-">
                  <c:v>96411360</c:v>
                </c:pt>
                <c:pt idx="4">
                  <c:v>71756456</c:v>
                </c:pt>
              </c:numCache>
            </c:numRef>
          </c:val>
          <c:extLst>
            <c:ext xmlns:c16="http://schemas.microsoft.com/office/drawing/2014/chart" uri="{C3380CC4-5D6E-409C-BE32-E72D297353CC}">
              <c16:uniqueId val="{00000001-1A44-4E35-B2F2-E2482507FDB4}"/>
            </c:ext>
          </c:extLst>
        </c:ser>
        <c:dLbls>
          <c:showLegendKey val="0"/>
          <c:showVal val="0"/>
          <c:showCatName val="0"/>
          <c:showSerName val="0"/>
          <c:showPercent val="0"/>
          <c:showBubbleSize val="0"/>
        </c:dLbls>
        <c:gapWidth val="150"/>
        <c:axId val="37599872"/>
        <c:axId val="37618048"/>
      </c:barChart>
      <c:catAx>
        <c:axId val="37599872"/>
        <c:scaling>
          <c:orientation val="minMax"/>
        </c:scaling>
        <c:delete val="0"/>
        <c:axPos val="b"/>
        <c:numFmt formatCode="0" sourceLinked="1"/>
        <c:majorTickMark val="out"/>
        <c:minorTickMark val="none"/>
        <c:tickLblPos val="nextTo"/>
        <c:txPr>
          <a:bodyPr rot="0" vert="horz"/>
          <a:lstStyle/>
          <a:p>
            <a:pPr>
              <a:defRPr/>
            </a:pPr>
            <a:endParaRPr lang="es-CL"/>
          </a:p>
        </c:txPr>
        <c:crossAx val="37618048"/>
        <c:crosses val="autoZero"/>
        <c:auto val="1"/>
        <c:lblAlgn val="ctr"/>
        <c:lblOffset val="100"/>
        <c:tickLblSkip val="1"/>
        <c:tickMarkSkip val="1"/>
        <c:noMultiLvlLbl val="0"/>
      </c:catAx>
      <c:valAx>
        <c:axId val="37618048"/>
        <c:scaling>
          <c:orientation val="minMax"/>
        </c:scaling>
        <c:delete val="0"/>
        <c:axPos val="l"/>
        <c:majorGridlines/>
        <c:numFmt formatCode="#,##0" sourceLinked="1"/>
        <c:majorTickMark val="out"/>
        <c:minorTickMark val="none"/>
        <c:tickLblPos val="nextTo"/>
        <c:txPr>
          <a:bodyPr rot="0" vert="horz"/>
          <a:lstStyle/>
          <a:p>
            <a:pPr>
              <a:defRPr/>
            </a:pPr>
            <a:endParaRPr lang="es-CL"/>
          </a:p>
        </c:txPr>
        <c:crossAx val="37599872"/>
        <c:crosses val="autoZero"/>
        <c:crossBetween val="between"/>
        <c:dispUnits>
          <c:builtInUnit val="millions"/>
          <c:dispUnitsLbl>
            <c:layout>
              <c:manualLayout>
                <c:xMode val="edge"/>
                <c:yMode val="edge"/>
                <c:x val="1.5983527921078843E-2"/>
                <c:y val="0.37549315981804532"/>
              </c:manualLayout>
            </c:layout>
            <c:tx>
              <c:rich>
                <a:bodyPr rot="-5400000" vert="horz"/>
                <a:lstStyle/>
                <a:p>
                  <a:pPr>
                    <a:defRPr b="0"/>
                  </a:pPr>
                  <a:r>
                    <a:rPr lang="es-CL" b="0"/>
                    <a:t>$ en Millones</a:t>
                  </a:r>
                </a:p>
              </c:rich>
            </c:tx>
          </c:dispUnitsLbl>
        </c:dispUnits>
      </c:valAx>
    </c:plotArea>
    <c:legend>
      <c:legendPos val="r"/>
      <c:layout>
        <c:manualLayout>
          <c:xMode val="edge"/>
          <c:yMode val="edge"/>
          <c:x val="0.19701674359670879"/>
          <c:y val="0.90624030517085652"/>
          <c:w val="0.63771699360522582"/>
          <c:h val="7.407407407407407E-2"/>
        </c:manualLayout>
      </c:layout>
      <c:overlay val="0"/>
    </c:legend>
    <c:plotVisOnly val="1"/>
    <c:dispBlanksAs val="gap"/>
    <c:showDLblsOverMax val="0"/>
  </c:chart>
  <c:printSettings>
    <c:headerFooter alignWithMargins="0"/>
    <c:pageMargins b="1" l="0.75000000000001465" r="0.75000000000001465" t="1" header="0" footer="0"/>
    <c:pageSetup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xdr:from>
      <xdr:col>0</xdr:col>
      <xdr:colOff>95250</xdr:colOff>
      <xdr:row>23</xdr:row>
      <xdr:rowOff>152399</xdr:rowOff>
    </xdr:from>
    <xdr:to>
      <xdr:col>6</xdr:col>
      <xdr:colOff>676275</xdr:colOff>
      <xdr:row>46</xdr:row>
      <xdr:rowOff>9524</xdr:rowOff>
    </xdr:to>
    <xdr:graphicFrame macro="">
      <xdr:nvGraphicFramePr>
        <xdr:cNvPr id="2" name="1 Gráfico">
          <a:extLst>
            <a:ext uri="{FF2B5EF4-FFF2-40B4-BE49-F238E27FC236}">
              <a16:creationId xmlns:a16="http://schemas.microsoft.com/office/drawing/2014/main" id="{F85C8BDB-5B72-434E-8547-4686FD0F72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304800</xdr:colOff>
      <xdr:row>21</xdr:row>
      <xdr:rowOff>85725</xdr:rowOff>
    </xdr:from>
    <xdr:to>
      <xdr:col>4</xdr:col>
      <xdr:colOff>895350</xdr:colOff>
      <xdr:row>40</xdr:row>
      <xdr:rowOff>133350</xdr:rowOff>
    </xdr:to>
    <xdr:graphicFrame macro="">
      <xdr:nvGraphicFramePr>
        <xdr:cNvPr id="2" name="Chart 2">
          <a:extLst>
            <a:ext uri="{FF2B5EF4-FFF2-40B4-BE49-F238E27FC236}">
              <a16:creationId xmlns:a16="http://schemas.microsoft.com/office/drawing/2014/main" id="{D054EC7B-C277-46EA-894D-8557FA6A4F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47624</xdr:colOff>
      <xdr:row>26</xdr:row>
      <xdr:rowOff>95250</xdr:rowOff>
    </xdr:from>
    <xdr:to>
      <xdr:col>5</xdr:col>
      <xdr:colOff>66674</xdr:colOff>
      <xdr:row>47</xdr:row>
      <xdr:rowOff>104775</xdr:rowOff>
    </xdr:to>
    <xdr:graphicFrame macro="">
      <xdr:nvGraphicFramePr>
        <xdr:cNvPr id="2" name="Chart 1">
          <a:extLst>
            <a:ext uri="{FF2B5EF4-FFF2-40B4-BE49-F238E27FC236}">
              <a16:creationId xmlns:a16="http://schemas.microsoft.com/office/drawing/2014/main" id="{E6046C2C-5F22-4BA0-8FB0-E3872FA13B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133350</xdr:colOff>
      <xdr:row>26</xdr:row>
      <xdr:rowOff>114300</xdr:rowOff>
    </xdr:from>
    <xdr:to>
      <xdr:col>10</xdr:col>
      <xdr:colOff>733425</xdr:colOff>
      <xdr:row>47</xdr:row>
      <xdr:rowOff>104775</xdr:rowOff>
    </xdr:to>
    <xdr:graphicFrame macro="">
      <xdr:nvGraphicFramePr>
        <xdr:cNvPr id="3" name="Chart 3">
          <a:extLst>
            <a:ext uri="{FF2B5EF4-FFF2-40B4-BE49-F238E27FC236}">
              <a16:creationId xmlns:a16="http://schemas.microsoft.com/office/drawing/2014/main" id="{D2D542E4-7784-4598-BC8A-F7D9FD6340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2</xdr:col>
      <xdr:colOff>257174</xdr:colOff>
      <xdr:row>17</xdr:row>
      <xdr:rowOff>28575</xdr:rowOff>
    </xdr:from>
    <xdr:to>
      <xdr:col>9</xdr:col>
      <xdr:colOff>523874</xdr:colOff>
      <xdr:row>40</xdr:row>
      <xdr:rowOff>9525</xdr:rowOff>
    </xdr:to>
    <xdr:graphicFrame macro="">
      <xdr:nvGraphicFramePr>
        <xdr:cNvPr id="2" name="1 Gráfico">
          <a:extLst>
            <a:ext uri="{FF2B5EF4-FFF2-40B4-BE49-F238E27FC236}">
              <a16:creationId xmlns:a16="http://schemas.microsoft.com/office/drawing/2014/main" id="{72E45D6C-6686-48D1-9298-9734FDAFE8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1600200</xdr:colOff>
      <xdr:row>29</xdr:row>
      <xdr:rowOff>1</xdr:rowOff>
    </xdr:from>
    <xdr:to>
      <xdr:col>6</xdr:col>
      <xdr:colOff>304800</xdr:colOff>
      <xdr:row>49</xdr:row>
      <xdr:rowOff>95251</xdr:rowOff>
    </xdr:to>
    <xdr:graphicFrame macro="">
      <xdr:nvGraphicFramePr>
        <xdr:cNvPr id="2" name="Chart 1">
          <a:extLst>
            <a:ext uri="{FF2B5EF4-FFF2-40B4-BE49-F238E27FC236}">
              <a16:creationId xmlns:a16="http://schemas.microsoft.com/office/drawing/2014/main" id="{D5219587-BA88-4202-9966-4CBD71187A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276225</xdr:colOff>
      <xdr:row>19</xdr:row>
      <xdr:rowOff>123825</xdr:rowOff>
    </xdr:from>
    <xdr:to>
      <xdr:col>8</xdr:col>
      <xdr:colOff>636443</xdr:colOff>
      <xdr:row>37</xdr:row>
      <xdr:rowOff>161059</xdr:rowOff>
    </xdr:to>
    <xdr:graphicFrame macro="">
      <xdr:nvGraphicFramePr>
        <xdr:cNvPr id="2" name="Chart 3">
          <a:extLst>
            <a:ext uri="{FF2B5EF4-FFF2-40B4-BE49-F238E27FC236}">
              <a16:creationId xmlns:a16="http://schemas.microsoft.com/office/drawing/2014/main" id="{DA1BBA8D-1238-4B77-B617-03FF7E43AB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104774</xdr:colOff>
      <xdr:row>41</xdr:row>
      <xdr:rowOff>161924</xdr:rowOff>
    </xdr:from>
    <xdr:to>
      <xdr:col>8</xdr:col>
      <xdr:colOff>323849</xdr:colOff>
      <xdr:row>71</xdr:row>
      <xdr:rowOff>38099</xdr:rowOff>
    </xdr:to>
    <xdr:graphicFrame macro="">
      <xdr:nvGraphicFramePr>
        <xdr:cNvPr id="2" name="1 Gráfico">
          <a:extLst>
            <a:ext uri="{FF2B5EF4-FFF2-40B4-BE49-F238E27FC236}">
              <a16:creationId xmlns:a16="http://schemas.microsoft.com/office/drawing/2014/main" id="{5EE010AB-6501-41A8-A754-421CBA8FE2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733425</xdr:colOff>
      <xdr:row>68</xdr:row>
      <xdr:rowOff>0</xdr:rowOff>
    </xdr:from>
    <xdr:to>
      <xdr:col>8</xdr:col>
      <xdr:colOff>66675</xdr:colOff>
      <xdr:row>68</xdr:row>
      <xdr:rowOff>0</xdr:rowOff>
    </xdr:to>
    <xdr:graphicFrame macro="">
      <xdr:nvGraphicFramePr>
        <xdr:cNvPr id="2" name="Chart 1">
          <a:extLst>
            <a:ext uri="{FF2B5EF4-FFF2-40B4-BE49-F238E27FC236}">
              <a16:creationId xmlns:a16="http://schemas.microsoft.com/office/drawing/2014/main" id="{3C634306-8C93-40C3-9CAC-88C5D4F8B3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28</xdr:col>
      <xdr:colOff>733425</xdr:colOff>
      <xdr:row>47</xdr:row>
      <xdr:rowOff>0</xdr:rowOff>
    </xdr:from>
    <xdr:to>
      <xdr:col>35</xdr:col>
      <xdr:colOff>66675</xdr:colOff>
      <xdr:row>47</xdr:row>
      <xdr:rowOff>0</xdr:rowOff>
    </xdr:to>
    <xdr:graphicFrame macro="">
      <xdr:nvGraphicFramePr>
        <xdr:cNvPr id="3" name="Chart 1">
          <a:extLst>
            <a:ext uri="{FF2B5EF4-FFF2-40B4-BE49-F238E27FC236}">
              <a16:creationId xmlns:a16="http://schemas.microsoft.com/office/drawing/2014/main" id="{87B18B3D-9B49-48C2-A9D1-37066164F6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281354</xdr:colOff>
      <xdr:row>13</xdr:row>
      <xdr:rowOff>89389</xdr:rowOff>
    </xdr:from>
    <xdr:to>
      <xdr:col>5</xdr:col>
      <xdr:colOff>538529</xdr:colOff>
      <xdr:row>34</xdr:row>
      <xdr:rowOff>38834</xdr:rowOff>
    </xdr:to>
    <xdr:graphicFrame macro="">
      <xdr:nvGraphicFramePr>
        <xdr:cNvPr id="2" name="Gráfico 1">
          <a:extLst>
            <a:ext uri="{FF2B5EF4-FFF2-40B4-BE49-F238E27FC236}">
              <a16:creationId xmlns:a16="http://schemas.microsoft.com/office/drawing/2014/main" id="{B0B1E28F-A7C5-459E-8C61-521B10C447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38100</xdr:colOff>
      <xdr:row>11</xdr:row>
      <xdr:rowOff>0</xdr:rowOff>
    </xdr:from>
    <xdr:to>
      <xdr:col>5</xdr:col>
      <xdr:colOff>161925</xdr:colOff>
      <xdr:row>27</xdr:row>
      <xdr:rowOff>95250</xdr:rowOff>
    </xdr:to>
    <xdr:graphicFrame macro="">
      <xdr:nvGraphicFramePr>
        <xdr:cNvPr id="2" name="6 Gráfico">
          <a:extLst>
            <a:ext uri="{FF2B5EF4-FFF2-40B4-BE49-F238E27FC236}">
              <a16:creationId xmlns:a16="http://schemas.microsoft.com/office/drawing/2014/main" id="{250A8FBC-8180-41DC-9003-2E4E38D3FD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19051</xdr:colOff>
      <xdr:row>12</xdr:row>
      <xdr:rowOff>95250</xdr:rowOff>
    </xdr:from>
    <xdr:to>
      <xdr:col>1</xdr:col>
      <xdr:colOff>838201</xdr:colOff>
      <xdr:row>36</xdr:row>
      <xdr:rowOff>19050</xdr:rowOff>
    </xdr:to>
    <xdr:graphicFrame macro="">
      <xdr:nvGraphicFramePr>
        <xdr:cNvPr id="2" name="Chart 1">
          <a:extLst>
            <a:ext uri="{FF2B5EF4-FFF2-40B4-BE49-F238E27FC236}">
              <a16:creationId xmlns:a16="http://schemas.microsoft.com/office/drawing/2014/main" id="{DD5E628E-6F7B-4200-9BED-80C2AADD9B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9524</xdr:colOff>
      <xdr:row>38</xdr:row>
      <xdr:rowOff>9525</xdr:rowOff>
    </xdr:from>
    <xdr:to>
      <xdr:col>4</xdr:col>
      <xdr:colOff>398318</xdr:colOff>
      <xdr:row>58</xdr:row>
      <xdr:rowOff>34637</xdr:rowOff>
    </xdr:to>
    <xdr:graphicFrame macro="">
      <xdr:nvGraphicFramePr>
        <xdr:cNvPr id="2" name="Chart 2">
          <a:extLst>
            <a:ext uri="{FF2B5EF4-FFF2-40B4-BE49-F238E27FC236}">
              <a16:creationId xmlns:a16="http://schemas.microsoft.com/office/drawing/2014/main" id="{59939A32-5889-48B2-8E19-774F0C5C62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85725</xdr:colOff>
      <xdr:row>21</xdr:row>
      <xdr:rowOff>0</xdr:rowOff>
    </xdr:from>
    <xdr:to>
      <xdr:col>6</xdr:col>
      <xdr:colOff>0</xdr:colOff>
      <xdr:row>44</xdr:row>
      <xdr:rowOff>123825</xdr:rowOff>
    </xdr:to>
    <xdr:graphicFrame macro="">
      <xdr:nvGraphicFramePr>
        <xdr:cNvPr id="2" name="Chart 1">
          <a:extLst>
            <a:ext uri="{FF2B5EF4-FFF2-40B4-BE49-F238E27FC236}">
              <a16:creationId xmlns:a16="http://schemas.microsoft.com/office/drawing/2014/main" id="{25C0680B-1146-41B1-A0A2-61586CBAD8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3</xdr:col>
      <xdr:colOff>390524</xdr:colOff>
      <xdr:row>23</xdr:row>
      <xdr:rowOff>85724</xdr:rowOff>
    </xdr:from>
    <xdr:to>
      <xdr:col>10</xdr:col>
      <xdr:colOff>9524</xdr:colOff>
      <xdr:row>48</xdr:row>
      <xdr:rowOff>123824</xdr:rowOff>
    </xdr:to>
    <xdr:graphicFrame macro="">
      <xdr:nvGraphicFramePr>
        <xdr:cNvPr id="2" name="1 Gráfico">
          <a:extLst>
            <a:ext uri="{FF2B5EF4-FFF2-40B4-BE49-F238E27FC236}">
              <a16:creationId xmlns:a16="http://schemas.microsoft.com/office/drawing/2014/main" id="{A7A12608-967E-470C-AD3E-FF9E8F180D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66675</xdr:colOff>
      <xdr:row>22</xdr:row>
      <xdr:rowOff>104775</xdr:rowOff>
    </xdr:from>
    <xdr:to>
      <xdr:col>5</xdr:col>
      <xdr:colOff>514350</xdr:colOff>
      <xdr:row>38</xdr:row>
      <xdr:rowOff>142875</xdr:rowOff>
    </xdr:to>
    <xdr:graphicFrame macro="">
      <xdr:nvGraphicFramePr>
        <xdr:cNvPr id="2" name="1 Gráfico">
          <a:extLst>
            <a:ext uri="{FF2B5EF4-FFF2-40B4-BE49-F238E27FC236}">
              <a16:creationId xmlns:a16="http://schemas.microsoft.com/office/drawing/2014/main" id="{91D29405-00E1-415F-B7AB-1BB10644EB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409575</xdr:colOff>
      <xdr:row>18</xdr:row>
      <xdr:rowOff>9525</xdr:rowOff>
    </xdr:from>
    <xdr:to>
      <xdr:col>4</xdr:col>
      <xdr:colOff>571500</xdr:colOff>
      <xdr:row>35</xdr:row>
      <xdr:rowOff>0</xdr:rowOff>
    </xdr:to>
    <xdr:graphicFrame macro="">
      <xdr:nvGraphicFramePr>
        <xdr:cNvPr id="2" name="1 Gráfico">
          <a:extLst>
            <a:ext uri="{FF2B5EF4-FFF2-40B4-BE49-F238E27FC236}">
              <a16:creationId xmlns:a16="http://schemas.microsoft.com/office/drawing/2014/main" id="{85C3FC6F-DB21-4D5B-916B-19C0DE3776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962025</xdr:colOff>
      <xdr:row>23</xdr:row>
      <xdr:rowOff>9525</xdr:rowOff>
    </xdr:from>
    <xdr:to>
      <xdr:col>4</xdr:col>
      <xdr:colOff>671512</xdr:colOff>
      <xdr:row>44</xdr:row>
      <xdr:rowOff>57150</xdr:rowOff>
    </xdr:to>
    <xdr:graphicFrame macro="">
      <xdr:nvGraphicFramePr>
        <xdr:cNvPr id="2" name="Chart 1">
          <a:extLst>
            <a:ext uri="{FF2B5EF4-FFF2-40B4-BE49-F238E27FC236}">
              <a16:creationId xmlns:a16="http://schemas.microsoft.com/office/drawing/2014/main" id="{4C130DE8-3819-4B75-8E41-CDF014BE41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966259</xdr:colOff>
      <xdr:row>44</xdr:row>
      <xdr:rowOff>115357</xdr:rowOff>
    </xdr:from>
    <xdr:to>
      <xdr:col>4</xdr:col>
      <xdr:colOff>671512</xdr:colOff>
      <xdr:row>67</xdr:row>
      <xdr:rowOff>10583</xdr:rowOff>
    </xdr:to>
    <xdr:graphicFrame macro="">
      <xdr:nvGraphicFramePr>
        <xdr:cNvPr id="3" name="Chart 3">
          <a:extLst>
            <a:ext uri="{FF2B5EF4-FFF2-40B4-BE49-F238E27FC236}">
              <a16:creationId xmlns:a16="http://schemas.microsoft.com/office/drawing/2014/main" id="{4DF852C5-72CD-4DD7-B184-433EF40CCF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190500</xdr:colOff>
      <xdr:row>22</xdr:row>
      <xdr:rowOff>19050</xdr:rowOff>
    </xdr:from>
    <xdr:to>
      <xdr:col>3</xdr:col>
      <xdr:colOff>933450</xdr:colOff>
      <xdr:row>46</xdr:row>
      <xdr:rowOff>76200</xdr:rowOff>
    </xdr:to>
    <xdr:graphicFrame macro="">
      <xdr:nvGraphicFramePr>
        <xdr:cNvPr id="2" name="Chart 3">
          <a:extLst>
            <a:ext uri="{FF2B5EF4-FFF2-40B4-BE49-F238E27FC236}">
              <a16:creationId xmlns:a16="http://schemas.microsoft.com/office/drawing/2014/main" id="{D8A22DE3-87DB-49F0-B04A-5E444D0A51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uadro_cifras_transversales_2.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cuadro_dominios_3.7.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MARISOL_RAKELA\TRABAJO\2014\2014\TRAB%202014\Cultura%20y%20Tiempo%20libre%202011%20base%202012%20PGM%20-%20EMV%20%202013%20al%2005061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cuadro_dominios_3.8.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Otros_sectores_4.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uadro_cifras_transversales_2.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uadro_cifras_transversales_2.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uadro_dominios_3.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ARISOL_RAKELA\TRABAJO\2014\TRAB%202014\Cultura%202012_mrt_pg_ovp_mrt_ovp_pgm%2027011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cuadro_dominios_3.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cuadro_dominios_3.4.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cuadro_dominios_3.5.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cuadro_dominios_3.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2.2"/>
      <sheetName val="2.2-01"/>
      <sheetName val="2.2-02"/>
      <sheetName val="2.2-03"/>
      <sheetName val="2.2-04"/>
      <sheetName val="2.2-05"/>
      <sheetName val="2.2-06"/>
    </sheetNames>
    <sheetDataSet>
      <sheetData sheetId="0" refreshError="1"/>
      <sheetData sheetId="1" refreshError="1"/>
      <sheetData sheetId="2"/>
      <sheetData sheetId="3" refreshError="1"/>
      <sheetData sheetId="4"/>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3.7.1"/>
      <sheetName val="3.7.1-01"/>
      <sheetName val="3.7.1-02"/>
      <sheetName val="3.7.1-03"/>
      <sheetName val="3.7.1-04"/>
      <sheetName val="3.7.1-05"/>
      <sheetName val="3.7.1-06"/>
      <sheetName val="3.7.1-07"/>
      <sheetName val="3.7.1-08"/>
      <sheetName val="3.7.1-09"/>
      <sheetName val="3.7.1-10"/>
      <sheetName val="3.7.1-11"/>
      <sheetName val="3.7.1-12"/>
      <sheetName val="3.7.1-13"/>
      <sheetName val="3.7.1-14"/>
      <sheetName val="3.7.1-15"/>
      <sheetName val="3.7.2"/>
      <sheetName val="3.7.2-01"/>
      <sheetName val="3.7.2-02"/>
      <sheetName val="3.7.2-03"/>
      <sheetName val="3.7.2-04"/>
      <sheetName val="3.7.2-05"/>
      <sheetName val="3.7.2-06"/>
      <sheetName val="3.7.2-07"/>
      <sheetName val="3.7.2-08"/>
      <sheetName val="3.7.2-09"/>
      <sheetName val="3.7.2-10"/>
      <sheetName val="3.7.2-11"/>
      <sheetName val="3.7.2-12"/>
      <sheetName val="3.7.2-13"/>
      <sheetName val="3.7.2-14"/>
      <sheetName val="3.7.2-15"/>
      <sheetName val="3.7.2-16"/>
      <sheetName val="3.7.2-17"/>
      <sheetName val="3.7.3"/>
      <sheetName val="3.7.3-01"/>
      <sheetName val="3.7.3-02"/>
      <sheetName val="3.7.3-03"/>
      <sheetName val="3.7.3-04"/>
      <sheetName val="3.7.3-05"/>
      <sheetName val="3.7.3-06"/>
      <sheetName val="3.7.3-07"/>
      <sheetName val="3.7.3-08"/>
      <sheetName val="3.7.3-09"/>
      <sheetName val="3.7.3-10"/>
      <sheetName val="3.7.3-11_Corregido"/>
      <sheetName val="3.7.3-12_Corregido"/>
      <sheetName val="3.7.3-13"/>
      <sheetName val="3.7.3-14"/>
      <sheetName val="3.7.3-15"/>
      <sheetName val="3.7.3-16"/>
      <sheetName val="3.7.3-17"/>
    </sheetNames>
    <sheetDataSet>
      <sheetData sheetId="0" refreshError="1"/>
      <sheetData sheetId="1" refreshError="1"/>
      <sheetData sheetId="2">
        <row r="35">
          <cell r="B35" t="str">
            <v>AM</v>
          </cell>
          <cell r="E35" t="str">
            <v>FM</v>
          </cell>
          <cell r="H35" t="str">
            <v>MC</v>
          </cell>
        </row>
        <row r="36">
          <cell r="B36" t="str">
            <v>Independiente</v>
          </cell>
          <cell r="C36" t="str">
            <v>Repetidora</v>
          </cell>
          <cell r="D36" t="str">
            <v>Mixta</v>
          </cell>
          <cell r="E36" t="str">
            <v>Independiente</v>
          </cell>
          <cell r="F36" t="str">
            <v>Repetidora</v>
          </cell>
          <cell r="G36" t="str">
            <v>Mixta</v>
          </cell>
          <cell r="H36" t="str">
            <v>Independiente</v>
          </cell>
          <cell r="I36" t="str">
            <v>Repetidora</v>
          </cell>
          <cell r="J36" t="str">
            <v>Mixta</v>
          </cell>
        </row>
        <row r="37">
          <cell r="A37">
            <v>2009</v>
          </cell>
          <cell r="B37">
            <v>75</v>
          </cell>
          <cell r="C37">
            <v>36</v>
          </cell>
          <cell r="D37">
            <v>35</v>
          </cell>
          <cell r="E37">
            <v>499</v>
          </cell>
          <cell r="F37">
            <v>665</v>
          </cell>
          <cell r="G37">
            <v>204</v>
          </cell>
          <cell r="H37">
            <v>150</v>
          </cell>
          <cell r="I37">
            <v>81</v>
          </cell>
          <cell r="J37">
            <v>27</v>
          </cell>
        </row>
        <row r="38">
          <cell r="A38">
            <v>2010</v>
          </cell>
          <cell r="B38">
            <v>84</v>
          </cell>
          <cell r="C38">
            <v>31</v>
          </cell>
          <cell r="D38">
            <v>30</v>
          </cell>
          <cell r="E38">
            <v>486</v>
          </cell>
          <cell r="F38">
            <v>610</v>
          </cell>
          <cell r="G38">
            <v>260</v>
          </cell>
          <cell r="H38">
            <v>206</v>
          </cell>
          <cell r="I38">
            <v>77</v>
          </cell>
          <cell r="J38">
            <v>34</v>
          </cell>
        </row>
        <row r="39">
          <cell r="A39">
            <v>2011</v>
          </cell>
          <cell r="B39">
            <v>82</v>
          </cell>
          <cell r="C39">
            <v>21</v>
          </cell>
          <cell r="D39">
            <v>29</v>
          </cell>
          <cell r="E39">
            <v>560</v>
          </cell>
          <cell r="F39">
            <v>533</v>
          </cell>
          <cell r="G39">
            <v>253</v>
          </cell>
          <cell r="H39">
            <v>181</v>
          </cell>
          <cell r="I39">
            <v>62</v>
          </cell>
          <cell r="J39">
            <v>17</v>
          </cell>
        </row>
        <row r="40">
          <cell r="A40">
            <v>2012</v>
          </cell>
          <cell r="B40">
            <v>76</v>
          </cell>
          <cell r="C40">
            <v>23</v>
          </cell>
          <cell r="D40">
            <v>19</v>
          </cell>
          <cell r="E40">
            <v>573</v>
          </cell>
          <cell r="F40">
            <v>515</v>
          </cell>
          <cell r="G40">
            <v>142</v>
          </cell>
          <cell r="H40">
            <v>182</v>
          </cell>
          <cell r="I40">
            <v>30</v>
          </cell>
          <cell r="J40">
            <v>21</v>
          </cell>
        </row>
        <row r="41">
          <cell r="A41">
            <v>2013</v>
          </cell>
          <cell r="B41">
            <v>71</v>
          </cell>
          <cell r="C41">
            <v>23</v>
          </cell>
          <cell r="D41">
            <v>25</v>
          </cell>
          <cell r="E41">
            <v>526</v>
          </cell>
          <cell r="F41">
            <v>532</v>
          </cell>
          <cell r="G41">
            <v>143</v>
          </cell>
          <cell r="H41">
            <v>146</v>
          </cell>
          <cell r="I41">
            <v>21</v>
          </cell>
          <cell r="J41">
            <v>10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sheetData sheetId="49"/>
      <sheetData sheetId="50" refreshError="1"/>
      <sheetData sheetId="51" refreshError="1"/>
      <sheetData sheetId="5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ción"/>
      <sheetName val="1"/>
      <sheetName val="2 - 3"/>
      <sheetName val="4"/>
      <sheetName val="5"/>
      <sheetName val="6"/>
      <sheetName val="7 - 8"/>
      <sheetName val="9 pg"/>
      <sheetName val="10 - 19 pg"/>
      <sheetName val="20 pg"/>
      <sheetName val="21 pg"/>
      <sheetName val="22 - 24"/>
      <sheetName val="25 - 30"/>
      <sheetName val="31 -32"/>
      <sheetName val="33 - 36"/>
      <sheetName val="37"/>
      <sheetName val="38 - 42 pg"/>
      <sheetName val="43 pg"/>
      <sheetName val="44 - 52"/>
      <sheetName val="53 - 55 pg"/>
      <sheetName val="56"/>
      <sheetName val="57"/>
      <sheetName val="58 - 59"/>
      <sheetName val="60 - 61"/>
      <sheetName val="62 - 68 pend"/>
      <sheetName val="68 B"/>
      <sheetName val="68 C"/>
      <sheetName val="Patrimonio"/>
      <sheetName val="69 - 75"/>
      <sheetName val="76 -81"/>
      <sheetName val="82 - 83"/>
      <sheetName val="84 - 85"/>
      <sheetName val="86 - 88 pg"/>
      <sheetName val="89 - 92 pg"/>
      <sheetName val="93 - 99 pg"/>
      <sheetName val="100 - 102 pg"/>
      <sheetName val="103 pg"/>
      <sheetName val="104 - 106 pg"/>
      <sheetName val="Recreación"/>
      <sheetName val="107 - 115 pg"/>
      <sheetName val="116 - 118"/>
      <sheetName val="119"/>
      <sheetName val="Medios de Com"/>
      <sheetName val="120"/>
      <sheetName val="121"/>
      <sheetName val="122"/>
      <sheetName val="123 - 128 "/>
      <sheetName val="129- 131"/>
      <sheetName val="132"/>
      <sheetName val="133 - 139"/>
      <sheetName val="140 - 144 pg"/>
      <sheetName val="145 - 149"/>
      <sheetName val="150 - 153"/>
      <sheetName val="Indicadores Transversales"/>
      <sheetName val="154"/>
      <sheetName val="155"/>
      <sheetName val="156"/>
      <sheetName val="157"/>
      <sheetName val="158"/>
      <sheetName val="159"/>
      <sheetName val="gráficos comercio exterior"/>
      <sheetName val="160 - 161"/>
      <sheetName val="162 - 163"/>
      <sheetName val="gráfico Carab"/>
      <sheetName val="164"/>
      <sheetName val="165"/>
      <sheetName val="166"/>
      <sheetName val="167"/>
      <sheetName val="168"/>
      <sheetName val="169"/>
      <sheetName val="170 (2)"/>
      <sheetName val="170"/>
      <sheetName val="171"/>
      <sheetName val="172 (2)"/>
      <sheetName val="173 (2)"/>
      <sheetName val="174 (2)"/>
      <sheetName val="175 (2)"/>
      <sheetName val="176 (2)"/>
      <sheetName val="177 (2)"/>
      <sheetName val="178"/>
      <sheetName val="179"/>
      <sheetName val="180"/>
      <sheetName val="181 - 184"/>
      <sheetName val="185 - 188"/>
      <sheetName val="189 - 190"/>
      <sheetName val="191"/>
      <sheetName val="192"/>
      <sheetName val="193 pg"/>
      <sheetName val="194 pg"/>
      <sheetName val="195 pg"/>
      <sheetName val="196 pg"/>
      <sheetName val="197 pg"/>
      <sheetName val="198 pg"/>
      <sheetName val="199"/>
      <sheetName val="2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8">
          <cell r="B28" t="str">
            <v>Acción</v>
          </cell>
          <cell r="C28">
            <v>129136</v>
          </cell>
        </row>
        <row r="29">
          <cell r="B29" t="str">
            <v>Drama</v>
          </cell>
          <cell r="C29">
            <v>76738</v>
          </cell>
        </row>
        <row r="30">
          <cell r="B30" t="str">
            <v>Comedia</v>
          </cell>
          <cell r="C30">
            <v>73305</v>
          </cell>
        </row>
        <row r="31">
          <cell r="B31" t="str">
            <v>TV</v>
          </cell>
          <cell r="C31">
            <v>16775</v>
          </cell>
        </row>
        <row r="32">
          <cell r="B32" t="str">
            <v>Niños</v>
          </cell>
          <cell r="C32">
            <v>37342</v>
          </cell>
        </row>
        <row r="33">
          <cell r="B33" t="str">
            <v>Misterio/Suspenso</v>
          </cell>
          <cell r="C33">
            <v>29282</v>
          </cell>
        </row>
        <row r="34">
          <cell r="B34" t="str">
            <v>Romance</v>
          </cell>
          <cell r="C34">
            <v>8643</v>
          </cell>
        </row>
        <row r="35">
          <cell r="B35" t="str">
            <v>Ciencia Ficción</v>
          </cell>
          <cell r="C35">
            <v>25197</v>
          </cell>
        </row>
        <row r="36">
          <cell r="B36" t="str">
            <v>Cine Arte</v>
          </cell>
          <cell r="C36">
            <v>26687</v>
          </cell>
        </row>
        <row r="37">
          <cell r="B37" t="str">
            <v>Terror</v>
          </cell>
          <cell r="C37">
            <v>11737</v>
          </cell>
        </row>
        <row r="38">
          <cell r="B38" t="str">
            <v>Cine Chileno</v>
          </cell>
          <cell r="C38">
            <v>10874</v>
          </cell>
        </row>
        <row r="39">
          <cell r="B39" t="str">
            <v>Documental</v>
          </cell>
          <cell r="C39">
            <v>8851</v>
          </cell>
        </row>
        <row r="40">
          <cell r="B40" t="str">
            <v>Clásicos</v>
          </cell>
          <cell r="C40">
            <v>7609</v>
          </cell>
        </row>
        <row r="41">
          <cell r="B41" t="str">
            <v>Otros</v>
          </cell>
          <cell r="C41">
            <v>12001</v>
          </cell>
        </row>
        <row r="42">
          <cell r="B42" t="str">
            <v>FUENTE: Bazuca.</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3.8"/>
      <sheetName val="3.8.1-01"/>
      <sheetName val="3.8.1-02"/>
      <sheetName val="3.8.1-03"/>
      <sheetName val="3.8.1-04"/>
      <sheetName val="3.8.1-05"/>
      <sheetName val="3.8.1-06"/>
      <sheetName val="3.8.1-07"/>
      <sheetName val="3.8.1-08"/>
    </sheetNames>
    <sheetDataSet>
      <sheetData sheetId="0" refreshError="1"/>
      <sheetData sheetId="1" refreshError="1"/>
      <sheetData sheetId="2" refreshError="1"/>
      <sheetData sheetId="3" refreshError="1"/>
      <sheetData sheetId="4">
        <row r="5">
          <cell r="B5">
            <v>2009</v>
          </cell>
          <cell r="C5">
            <v>2010</v>
          </cell>
          <cell r="D5">
            <v>2011</v>
          </cell>
          <cell r="E5">
            <v>2012</v>
          </cell>
        </row>
        <row r="7">
          <cell r="A7" t="str">
            <v>Residenciales</v>
          </cell>
          <cell r="B7">
            <v>1508378</v>
          </cell>
          <cell r="C7">
            <v>1582516</v>
          </cell>
          <cell r="D7">
            <v>1731385</v>
          </cell>
          <cell r="E7">
            <v>1916453</v>
          </cell>
          <cell r="F7">
            <v>2010353</v>
          </cell>
        </row>
        <row r="8">
          <cell r="A8" t="str">
            <v>Comerciales</v>
          </cell>
          <cell r="B8">
            <v>180658</v>
          </cell>
          <cell r="C8">
            <v>234964</v>
          </cell>
          <cell r="D8">
            <v>292887</v>
          </cell>
          <cell r="E8">
            <v>275103</v>
          </cell>
          <cell r="F8">
            <v>286169</v>
          </cell>
        </row>
        <row r="9">
          <cell r="A9" t="str">
            <v>Sin segmento</v>
          </cell>
          <cell r="B9">
            <v>5</v>
          </cell>
          <cell r="C9">
            <v>0</v>
          </cell>
          <cell r="D9">
            <v>0</v>
          </cell>
          <cell r="E9">
            <v>0</v>
          </cell>
          <cell r="F9">
            <v>0</v>
          </cell>
        </row>
      </sheetData>
      <sheetData sheetId="5">
        <row r="6">
          <cell r="B6">
            <v>2009</v>
          </cell>
          <cell r="C6">
            <v>2010</v>
          </cell>
          <cell r="D6">
            <v>2011</v>
          </cell>
          <cell r="E6">
            <v>2012</v>
          </cell>
          <cell r="F6">
            <v>2013</v>
          </cell>
        </row>
        <row r="7">
          <cell r="B7">
            <v>9.9600000000000009</v>
          </cell>
          <cell r="C7">
            <v>9.2200000000000006</v>
          </cell>
          <cell r="D7">
            <v>11.69</v>
          </cell>
          <cell r="E7">
            <v>12.54</v>
          </cell>
          <cell r="F7">
            <v>11.400495165295014</v>
          </cell>
        </row>
      </sheetData>
      <sheetData sheetId="6" refreshError="1"/>
      <sheetData sheetId="7" refreshError="1"/>
      <sheetData sheetId="8" refreshError="1"/>
      <sheetData sheetId="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4.1"/>
      <sheetName val="4.1-01"/>
      <sheetName val="4.1-02"/>
      <sheetName val="4.1-03"/>
      <sheetName val="4.1-04"/>
      <sheetName val="4.1-05"/>
      <sheetName val="4.1-06"/>
      <sheetName val="4.1-07"/>
      <sheetName val="4.1-08"/>
      <sheetName val="4.1-09"/>
      <sheetName val="4.1-10"/>
      <sheetName val="4.1-11"/>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sheetData sheetId="9"/>
      <sheetData sheetId="10" refreshError="1"/>
      <sheetData sheetId="11" refreshError="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2.5"/>
      <sheetName val="2.5-01"/>
      <sheetName val="2.5-02"/>
      <sheetName val="2.5-03"/>
      <sheetName val="2.5-04"/>
      <sheetName val="2.5-05"/>
      <sheetName val="2.5-06"/>
      <sheetName val="2.5-07"/>
      <sheetName val="2.5-08"/>
    </sheetNames>
    <sheetDataSet>
      <sheetData sheetId="0" refreshError="1"/>
      <sheetData sheetId="1" refreshError="1"/>
      <sheetData sheetId="2">
        <row r="18">
          <cell r="B18">
            <v>2009</v>
          </cell>
          <cell r="C18">
            <v>2010</v>
          </cell>
          <cell r="D18">
            <v>2011</v>
          </cell>
          <cell r="E18">
            <v>2012</v>
          </cell>
          <cell r="F18">
            <v>2013</v>
          </cell>
        </row>
        <row r="20">
          <cell r="A20" t="str">
            <v>Fondart (nacional y regional)</v>
          </cell>
          <cell r="B20">
            <v>679</v>
          </cell>
          <cell r="C20">
            <v>674</v>
          </cell>
          <cell r="D20">
            <v>601</v>
          </cell>
          <cell r="E20">
            <v>849</v>
          </cell>
          <cell r="F20">
            <v>1020</v>
          </cell>
        </row>
        <row r="21">
          <cell r="A21" t="str">
            <v>Fondo del libro y la lectura</v>
          </cell>
          <cell r="B21">
            <v>334</v>
          </cell>
          <cell r="C21">
            <v>316</v>
          </cell>
          <cell r="D21">
            <v>263</v>
          </cell>
          <cell r="E21">
            <v>433</v>
          </cell>
          <cell r="F21">
            <v>473</v>
          </cell>
        </row>
        <row r="22">
          <cell r="A22" t="str">
            <v>Fondo de la música nacional</v>
          </cell>
          <cell r="B22">
            <v>137</v>
          </cell>
          <cell r="C22">
            <v>212</v>
          </cell>
          <cell r="D22">
            <v>209</v>
          </cell>
          <cell r="E22">
            <v>276</v>
          </cell>
          <cell r="F22">
            <v>327</v>
          </cell>
        </row>
        <row r="23">
          <cell r="A23" t="str">
            <v>Fondo audiovisual</v>
          </cell>
          <cell r="B23">
            <v>180</v>
          </cell>
          <cell r="C23">
            <v>180</v>
          </cell>
          <cell r="D23">
            <v>119</v>
          </cell>
          <cell r="E23">
            <v>168</v>
          </cell>
          <cell r="F23">
            <v>178</v>
          </cell>
        </row>
      </sheetData>
      <sheetData sheetId="3"/>
      <sheetData sheetId="4"/>
      <sheetData sheetId="5"/>
      <sheetData sheetId="6"/>
      <sheetData sheetId="7"/>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2.6"/>
      <sheetName val="2.6-01"/>
      <sheetName val="2.6-02"/>
      <sheetName val="2.6-03"/>
      <sheetName val="2.6-04"/>
      <sheetName val="2.6-05"/>
    </sheetNames>
    <sheetDataSet>
      <sheetData sheetId="0" refreshError="1"/>
      <sheetData sheetId="1" refreshError="1"/>
      <sheetData sheetId="2" refreshError="1"/>
      <sheetData sheetId="3" refreshError="1"/>
      <sheetData sheetId="4" refreshError="1"/>
      <sheetData sheetId="5" refreshError="1"/>
      <sheetData sheetId="6">
        <row r="6">
          <cell r="A6" t="str">
            <v>Porcentaje del presupuesto del Gobierno que se destina a cultura (CNCA+Dibam)</v>
          </cell>
          <cell r="B6">
            <v>0.34</v>
          </cell>
        </row>
        <row r="7">
          <cell r="A7" t="str">
            <v>Porcentaje del presupuesto del Gobierno que se destina a cultura por instituciones afines a la cultura</v>
          </cell>
          <cell r="B7">
            <v>0.12</v>
          </cell>
        </row>
        <row r="8">
          <cell r="A8" t="str">
            <v>Porcentaje del presupuesto del Gobierno que se destina a cultura en instituciones con programas culturales</v>
          </cell>
          <cell r="B8">
            <v>0.54</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3.1"/>
      <sheetName val="3.1-01"/>
      <sheetName val="3.1-02"/>
      <sheetName val="3.1.1.1"/>
      <sheetName val="3.1.1.1-01"/>
      <sheetName val="3.1.1.1-02"/>
      <sheetName val="3.1.1.1-03"/>
      <sheetName val="3.1.1.1-04"/>
      <sheetName val="3.1.1.2"/>
      <sheetName val="3.1.1.2-01"/>
      <sheetName val="3.1.1.2-02"/>
      <sheetName val="3.1.1.2-03"/>
      <sheetName val="3.1.1.2-04"/>
      <sheetName val="3.1.1.2-05"/>
      <sheetName val="3.1.1.2-06"/>
      <sheetName val="3.1.1.2-07"/>
      <sheetName val="3.1.1.2-08"/>
      <sheetName val="3.1.1.2-09"/>
      <sheetName val="3.1.1.2-10"/>
      <sheetName val="3.1.1.2-11"/>
      <sheetName val="3.1.1.2-12"/>
      <sheetName val="3.1.2.1"/>
      <sheetName val="3.1.2.1-01"/>
      <sheetName val="3.1.2.1-02"/>
      <sheetName val="3.1.2.1-03"/>
      <sheetName val="3.1.2.1-04"/>
      <sheetName val="3.1.2.1-05"/>
      <sheetName val="3.1.2.1-06"/>
      <sheetName val="3.1.2.1-07"/>
      <sheetName val="3.1.2.2"/>
      <sheetName val="3.1.2.2-01"/>
      <sheetName val="3.1.2.2-02"/>
      <sheetName val="3.1.2.3"/>
      <sheetName val="3.1.2.3-01"/>
      <sheetName val="3.1.2.3-02"/>
      <sheetName val="3.1.2.3-03"/>
      <sheetName val="3.1.2.3-04"/>
      <sheetName val="3.1.2.3-05"/>
      <sheetName val="3.1.2.3-06"/>
      <sheetName val="3.1.2.3-07"/>
      <sheetName val="3.1.2.3-08"/>
      <sheetName val="3.1.2.3-09"/>
      <sheetName val="3.1.2.3-10"/>
      <sheetName val="3.1.2.3-11"/>
      <sheetName val="3.1.2.3-12"/>
      <sheetName val="3.1.2.3-13"/>
      <sheetName val="3.1.2.3-14"/>
      <sheetName val="3.1.2.3-15"/>
      <sheetName val="3.1.2.3-16"/>
      <sheetName val="3.1.2.3-17"/>
      <sheetName val="3.1.2.3-18"/>
      <sheetName val="3.1.2.3-19"/>
      <sheetName val="3.1.3"/>
      <sheetName val="3.1.3-01"/>
      <sheetName val="3.1.3-02"/>
      <sheetName val="3.1.3-03"/>
      <sheetName val="3.1.3-04"/>
      <sheetName val="3.1.3-05"/>
      <sheetName val="3.1.3-06"/>
      <sheetName val="3.1.3-07"/>
      <sheetName val="3.1.3-08"/>
      <sheetName val="3.1.3-09"/>
      <sheetName val="3.1.3-10"/>
      <sheetName val="3.1.3-11"/>
    </sheetNames>
    <sheetDataSet>
      <sheetData sheetId="0"/>
      <sheetData sheetId="1"/>
      <sheetData sheetId="2"/>
      <sheetData sheetId="3" refreshError="1"/>
      <sheetData sheetId="4" refreshError="1"/>
      <sheetData sheetId="5" refreshError="1"/>
      <sheetData sheetId="6"/>
      <sheetData sheetId="7">
        <row r="31">
          <cell r="B31">
            <v>2009</v>
          </cell>
          <cell r="C31">
            <v>2010</v>
          </cell>
          <cell r="D31">
            <v>2011</v>
          </cell>
          <cell r="E31">
            <v>2012</v>
          </cell>
          <cell r="F31">
            <v>2013</v>
          </cell>
        </row>
        <row r="32">
          <cell r="A32" t="str">
            <v>Tarapacá</v>
          </cell>
          <cell r="B32">
            <v>1127</v>
          </cell>
          <cell r="C32">
            <v>1330</v>
          </cell>
          <cell r="D32">
            <v>1534</v>
          </cell>
          <cell r="E32">
            <v>1635</v>
          </cell>
          <cell r="F32">
            <v>2307</v>
          </cell>
        </row>
        <row r="33">
          <cell r="A33" t="str">
            <v>La Araucanía</v>
          </cell>
          <cell r="B33">
            <v>2482</v>
          </cell>
          <cell r="C33">
            <v>1285</v>
          </cell>
          <cell r="D33">
            <v>2934</v>
          </cell>
          <cell r="E33">
            <v>2022</v>
          </cell>
          <cell r="F33">
            <v>1305</v>
          </cell>
        </row>
        <row r="34">
          <cell r="A34" t="str">
            <v>Metropolitana</v>
          </cell>
          <cell r="B34">
            <v>60062</v>
          </cell>
          <cell r="C34">
            <v>32665</v>
          </cell>
          <cell r="D34">
            <v>42738</v>
          </cell>
          <cell r="E34">
            <v>61672</v>
          </cell>
          <cell r="F34">
            <v>76377</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15">
          <cell r="B15" t="str">
            <v xml:space="preserve">Museo Histórico Nacional </v>
          </cell>
          <cell r="C15" t="str">
            <v>Museo Nacional de Historia Natural</v>
          </cell>
          <cell r="D15" t="str">
            <v>Museo Nacional de Bellas Artes</v>
          </cell>
          <cell r="E15" t="str">
            <v>Subdirección Nacional de Museos</v>
          </cell>
        </row>
        <row r="16">
          <cell r="A16">
            <v>2010</v>
          </cell>
          <cell r="B16">
            <v>121363</v>
          </cell>
          <cell r="C16">
            <v>436188</v>
          </cell>
          <cell r="D16">
            <v>233313</v>
          </cell>
          <cell r="E16">
            <v>561461</v>
          </cell>
        </row>
        <row r="17">
          <cell r="A17">
            <v>2011</v>
          </cell>
          <cell r="B17">
            <v>188432</v>
          </cell>
          <cell r="C17">
            <v>515085</v>
          </cell>
          <cell r="D17">
            <v>276714</v>
          </cell>
          <cell r="E17">
            <v>632765</v>
          </cell>
        </row>
        <row r="18">
          <cell r="A18">
            <v>2012</v>
          </cell>
          <cell r="B18">
            <v>167230</v>
          </cell>
          <cell r="C18">
            <v>801810</v>
          </cell>
          <cell r="D18">
            <v>242993</v>
          </cell>
          <cell r="E18">
            <v>685103</v>
          </cell>
        </row>
        <row r="19">
          <cell r="B19">
            <v>173680</v>
          </cell>
          <cell r="C19">
            <v>659609</v>
          </cell>
          <cell r="D19">
            <v>295487</v>
          </cell>
          <cell r="E19">
            <v>719675</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refreshError="1"/>
      <sheetData sheetId="32" refreshError="1"/>
      <sheetData sheetId="33" refreshError="1"/>
      <sheetData sheetId="34">
        <row r="28">
          <cell r="B28">
            <v>2012</v>
          </cell>
          <cell r="C28">
            <v>2013</v>
          </cell>
        </row>
        <row r="30">
          <cell r="A30" t="str">
            <v>Arica y Parinacota</v>
          </cell>
          <cell r="B30">
            <v>717</v>
          </cell>
          <cell r="C30">
            <v>97</v>
          </cell>
        </row>
        <row r="31">
          <cell r="A31" t="str">
            <v>Tarapacá</v>
          </cell>
          <cell r="B31">
            <v>1033</v>
          </cell>
          <cell r="C31">
            <v>410</v>
          </cell>
        </row>
        <row r="32">
          <cell r="A32" t="str">
            <v>Antofagasta</v>
          </cell>
          <cell r="B32">
            <v>4620</v>
          </cell>
          <cell r="C32">
            <v>3515</v>
          </cell>
        </row>
        <row r="33">
          <cell r="A33" t="str">
            <v>Atacama</v>
          </cell>
          <cell r="B33">
            <v>3793</v>
          </cell>
          <cell r="C33">
            <v>755</v>
          </cell>
        </row>
        <row r="34">
          <cell r="A34" t="str">
            <v>Coquimbo</v>
          </cell>
          <cell r="B34">
            <v>5135</v>
          </cell>
          <cell r="C34">
            <v>14159</v>
          </cell>
        </row>
        <row r="35">
          <cell r="A35" t="str">
            <v>Valparaíso</v>
          </cell>
          <cell r="B35">
            <v>10566</v>
          </cell>
          <cell r="C35">
            <v>19137</v>
          </cell>
        </row>
        <row r="36">
          <cell r="A36" t="str">
            <v>Metropolitana</v>
          </cell>
          <cell r="B36">
            <v>1831</v>
          </cell>
          <cell r="C36">
            <v>1694</v>
          </cell>
        </row>
        <row r="37">
          <cell r="A37" t="str">
            <v>O'Higgins</v>
          </cell>
          <cell r="B37">
            <v>3075</v>
          </cell>
          <cell r="C37">
            <v>5220</v>
          </cell>
        </row>
        <row r="38">
          <cell r="A38" t="str">
            <v>Maule</v>
          </cell>
          <cell r="B38">
            <v>6173</v>
          </cell>
          <cell r="C38">
            <v>8378</v>
          </cell>
        </row>
        <row r="39">
          <cell r="A39" t="str">
            <v>Biobío</v>
          </cell>
          <cell r="B39">
            <v>4181</v>
          </cell>
          <cell r="C39">
            <v>1695</v>
          </cell>
        </row>
        <row r="40">
          <cell r="A40" t="str">
            <v>La Araucanía</v>
          </cell>
          <cell r="B40">
            <v>7807</v>
          </cell>
          <cell r="C40">
            <v>8322</v>
          </cell>
        </row>
        <row r="41">
          <cell r="A41" t="str">
            <v xml:space="preserve">Los Ríos </v>
          </cell>
          <cell r="B41">
            <v>100</v>
          </cell>
          <cell r="C41">
            <v>1003</v>
          </cell>
        </row>
        <row r="42">
          <cell r="A42" t="str">
            <v xml:space="preserve">Los Lagos </v>
          </cell>
          <cell r="B42">
            <v>10850</v>
          </cell>
          <cell r="C42">
            <v>9114</v>
          </cell>
        </row>
        <row r="43">
          <cell r="A43" t="str">
            <v>Aysén</v>
          </cell>
          <cell r="B43">
            <v>3859</v>
          </cell>
          <cell r="C43">
            <v>2789</v>
          </cell>
        </row>
        <row r="44">
          <cell r="A44" t="str">
            <v>Magallanes</v>
          </cell>
          <cell r="B44">
            <v>1722</v>
          </cell>
          <cell r="C44">
            <v>953</v>
          </cell>
        </row>
      </sheetData>
      <sheetData sheetId="35" refreshError="1"/>
      <sheetData sheetId="36"/>
      <sheetData sheetId="37"/>
      <sheetData sheetId="38"/>
      <sheetData sheetId="39" refreshError="1"/>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sheetData sheetId="53" refreshError="1"/>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ción"/>
      <sheetName val="1"/>
      <sheetName val="2 - 3"/>
      <sheetName val="4"/>
      <sheetName val="5"/>
      <sheetName val="6"/>
      <sheetName val="7 - 8"/>
      <sheetName val="9 - 12"/>
      <sheetName val="13 - 18"/>
      <sheetName val="19 - 20"/>
      <sheetName val="21 - 24"/>
      <sheetName val="25"/>
      <sheetName val="26 - 30"/>
      <sheetName val="31 - 37"/>
      <sheetName val="38 - 47"/>
      <sheetName val="48 - 50"/>
      <sheetName val="51"/>
      <sheetName val="52"/>
      <sheetName val="53 - 56"/>
      <sheetName val="57 - 58"/>
      <sheetName val="59 - 65"/>
      <sheetName val="66 - 69"/>
      <sheetName val="70"/>
      <sheetName val="71"/>
      <sheetName val="Patrimonio"/>
      <sheetName val="72 - 78"/>
      <sheetName val="79 - 84"/>
      <sheetName val="85 - 86"/>
      <sheetName val="87 - 88"/>
      <sheetName val="89 - 91"/>
      <sheetName val="92 - 95"/>
      <sheetName val="96 - 102"/>
      <sheetName val="103 - 105"/>
      <sheetName val="106"/>
      <sheetName val="107 - 109"/>
      <sheetName val="Recreación"/>
      <sheetName val="110 - 119"/>
      <sheetName val="120 - 122"/>
      <sheetName val="123"/>
      <sheetName val="Medios de Com"/>
      <sheetName val="124"/>
      <sheetName val="125"/>
      <sheetName val="126"/>
      <sheetName val="127-132"/>
      <sheetName val="133-135"/>
      <sheetName val="136-"/>
      <sheetName val="137-148"/>
      <sheetName val="149-153"/>
      <sheetName val="154-157"/>
      <sheetName val="Indicadores Transversales"/>
      <sheetName val="158"/>
      <sheetName val="159"/>
      <sheetName val="160"/>
      <sheetName val="161"/>
      <sheetName val="162"/>
      <sheetName val="163"/>
      <sheetName val="gráficos comercio exterior"/>
      <sheetName val="gráfico Carab"/>
      <sheetName val="164"/>
      <sheetName val="165"/>
      <sheetName val="166"/>
      <sheetName val="167"/>
      <sheetName val="168"/>
      <sheetName val="169"/>
      <sheetName val="170"/>
      <sheetName val="171"/>
      <sheetName val="172"/>
      <sheetName val="173"/>
      <sheetName val="174"/>
      <sheetName val="175"/>
      <sheetName val="176"/>
      <sheetName val="177"/>
      <sheetName val="178-181"/>
      <sheetName val="182-185"/>
      <sheetName val="186-187"/>
      <sheetName val="188"/>
      <sheetName val="189"/>
      <sheetName val="190"/>
      <sheetName val="191"/>
      <sheetName val="192"/>
      <sheetName val="193"/>
      <sheetName val="194"/>
      <sheetName val="195"/>
      <sheetName val="196"/>
      <sheetName val="197"/>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57">
          <cell r="A57" t="str">
            <v>Internacionales</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3.2"/>
      <sheetName val="3.2-01"/>
      <sheetName val="3.2-02"/>
      <sheetName val="3.2-03"/>
      <sheetName val="3.2-04"/>
      <sheetName val="3.2-05"/>
    </sheetNames>
    <sheetDataSet>
      <sheetData sheetId="0" refreshError="1"/>
      <sheetData sheetId="1" refreshError="1"/>
      <sheetData sheetId="2" refreshError="1"/>
      <sheetData sheetId="3" refreshError="1"/>
      <sheetData sheetId="4" refreshError="1"/>
      <sheetData sheetId="5"/>
      <sheetData sheetId="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3.4"/>
      <sheetName val="3.4-01"/>
      <sheetName val="3.4-02"/>
      <sheetName val="3.4-03"/>
      <sheetName val="3.4-04"/>
      <sheetName val="3.4-05"/>
      <sheetName val="3.4-06"/>
      <sheetName val="3.4-07"/>
      <sheetName val="3.4-08"/>
      <sheetName val="3.4-09"/>
      <sheetName val="3.4-10"/>
      <sheetName val="3.4-11"/>
      <sheetName val="3.4-12"/>
      <sheetName val="3.4-13"/>
      <sheetName val="3.4-14"/>
      <sheetName val="3.4-15"/>
      <sheetName val="3.4-16"/>
      <sheetName val="3.4-17"/>
      <sheetName val="3.4-18"/>
      <sheetName val="3.4-19"/>
    </sheetNames>
    <sheetDataSet>
      <sheetData sheetId="0" refreshError="1"/>
      <sheetData sheetId="1" refreshError="1"/>
      <sheetData sheetId="2">
        <row r="18">
          <cell r="A18">
            <v>2009</v>
          </cell>
          <cell r="B18">
            <v>1113</v>
          </cell>
        </row>
        <row r="19">
          <cell r="A19">
            <v>2010</v>
          </cell>
          <cell r="B19">
            <v>1152</v>
          </cell>
        </row>
        <row r="20">
          <cell r="A20">
            <v>2011</v>
          </cell>
          <cell r="B20">
            <v>1313</v>
          </cell>
        </row>
        <row r="21">
          <cell r="A21">
            <v>2012</v>
          </cell>
          <cell r="B21">
            <v>1379</v>
          </cell>
        </row>
        <row r="22">
          <cell r="A22">
            <v>2013</v>
          </cell>
          <cell r="B22">
            <v>1463</v>
          </cell>
        </row>
      </sheetData>
      <sheetData sheetId="3" refreshError="1"/>
      <sheetData sheetId="4" refreshError="1"/>
      <sheetData sheetId="5" refreshError="1"/>
      <sheetData sheetId="6"/>
      <sheetData sheetId="7"/>
      <sheetData sheetId="8" refreshError="1"/>
      <sheetData sheetId="9" refreshError="1"/>
      <sheetData sheetId="10"/>
      <sheetData sheetId="11">
        <row r="16">
          <cell r="B16">
            <v>2009</v>
          </cell>
          <cell r="C16">
            <v>2010</v>
          </cell>
          <cell r="D16">
            <v>2011</v>
          </cell>
          <cell r="E16">
            <v>2012</v>
          </cell>
          <cell r="F16">
            <v>2013</v>
          </cell>
        </row>
        <row r="17">
          <cell r="B17">
            <v>214</v>
          </cell>
          <cell r="C17">
            <v>240</v>
          </cell>
          <cell r="D17">
            <v>264</v>
          </cell>
          <cell r="E17">
            <v>308</v>
          </cell>
          <cell r="F17">
            <v>327</v>
          </cell>
        </row>
      </sheetData>
      <sheetData sheetId="12" refreshError="1"/>
      <sheetData sheetId="13">
        <row r="15">
          <cell r="B15">
            <v>2009</v>
          </cell>
          <cell r="C15">
            <v>2010</v>
          </cell>
          <cell r="D15">
            <v>2011</v>
          </cell>
          <cell r="E15">
            <v>2012</v>
          </cell>
          <cell r="F15">
            <v>2013</v>
          </cell>
        </row>
        <row r="16">
          <cell r="A16" t="str">
            <v>Derechos recaudados</v>
          </cell>
          <cell r="B16">
            <v>135348756</v>
          </cell>
          <cell r="C16">
            <v>156718737</v>
          </cell>
          <cell r="D16">
            <v>188902696</v>
          </cell>
          <cell r="E16">
            <v>224948420</v>
          </cell>
          <cell r="F16">
            <v>242861493</v>
          </cell>
        </row>
        <row r="17">
          <cell r="A17" t="str">
            <v>Derechos distribuidos</v>
          </cell>
          <cell r="B17">
            <v>111209916</v>
          </cell>
          <cell r="C17">
            <v>134737218</v>
          </cell>
          <cell r="D17">
            <v>138867789</v>
          </cell>
          <cell r="E17">
            <v>194578031</v>
          </cell>
          <cell r="F17">
            <v>170299927</v>
          </cell>
        </row>
        <row r="20">
          <cell r="B20">
            <v>2009</v>
          </cell>
          <cell r="C20">
            <v>2010</v>
          </cell>
          <cell r="D20">
            <v>2011</v>
          </cell>
          <cell r="E20">
            <v>2012</v>
          </cell>
          <cell r="F20">
            <v>2013</v>
          </cell>
        </row>
        <row r="21">
          <cell r="A21" t="str">
            <v>Autores nacionales</v>
          </cell>
          <cell r="B21">
            <v>66943607</v>
          </cell>
          <cell r="C21">
            <v>102063257</v>
          </cell>
          <cell r="D21">
            <v>98760765</v>
          </cell>
          <cell r="E21">
            <v>98166671</v>
          </cell>
          <cell r="F21">
            <v>98543471</v>
          </cell>
        </row>
        <row r="22">
          <cell r="A22" t="str">
            <v>Autores extranjeros</v>
          </cell>
          <cell r="B22">
            <v>44266309</v>
          </cell>
          <cell r="C22">
            <v>32673961</v>
          </cell>
          <cell r="D22">
            <v>40107024</v>
          </cell>
          <cell r="E22">
            <v>96411360</v>
          </cell>
          <cell r="F22">
            <v>71756456</v>
          </cell>
        </row>
      </sheetData>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3.5"/>
      <sheetName val="3.5-01"/>
      <sheetName val="3.5-02"/>
      <sheetName val="3.5-03"/>
      <sheetName val="3.5-04"/>
      <sheetName val="3.5-05"/>
      <sheetName val="3.5-06"/>
      <sheetName val="3.5-07"/>
      <sheetName val="3.5-08"/>
      <sheetName val="3.5-09"/>
      <sheetName val="3.5-10"/>
      <sheetName val="3.5-11"/>
      <sheetName val="3.5-12"/>
      <sheetName val="3.5-13"/>
      <sheetName val="3.5-14"/>
      <sheetName val="3.5-15"/>
      <sheetName val="3.5-16"/>
      <sheetName val="3.5-17"/>
      <sheetName val="3.5-18"/>
      <sheetName val="3.5-19"/>
      <sheetName val="3.5-20"/>
      <sheetName val="3.5-21"/>
      <sheetName val="3.5-22"/>
      <sheetName val="3.5-23"/>
      <sheetName val="3.5-24"/>
      <sheetName val="3.5-25"/>
      <sheetName val="3.5-26"/>
      <sheetName val="3.5-27"/>
      <sheetName val="3.5-28"/>
      <sheetName val="3.5-29"/>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6">
          <cell r="B16">
            <v>2009</v>
          </cell>
          <cell r="C16">
            <v>2010</v>
          </cell>
          <cell r="D16">
            <v>2011</v>
          </cell>
          <cell r="E16">
            <v>2012</v>
          </cell>
          <cell r="F16">
            <v>2013</v>
          </cell>
        </row>
        <row r="18">
          <cell r="A18" t="str">
            <v>Autores nacionales</v>
          </cell>
          <cell r="B18">
            <v>1040701491</v>
          </cell>
          <cell r="C18">
            <v>1178419120</v>
          </cell>
          <cell r="D18">
            <v>1307132912</v>
          </cell>
          <cell r="E18">
            <v>1474820887</v>
          </cell>
          <cell r="F18">
            <v>1810278275</v>
          </cell>
        </row>
        <row r="19">
          <cell r="A19" t="str">
            <v>Editores locales</v>
          </cell>
          <cell r="B19">
            <v>1920623381</v>
          </cell>
          <cell r="C19">
            <v>2268375174</v>
          </cell>
          <cell r="D19">
            <v>2508433594</v>
          </cell>
          <cell r="E19">
            <v>2964090787</v>
          </cell>
          <cell r="F19">
            <v>3433107578</v>
          </cell>
        </row>
        <row r="20">
          <cell r="A20" t="str">
            <v>Sociedades extranjeras</v>
          </cell>
          <cell r="B20">
            <v>2560406285</v>
          </cell>
          <cell r="C20">
            <v>3561315545</v>
          </cell>
          <cell r="D20">
            <v>4029423570</v>
          </cell>
          <cell r="E20">
            <v>4797073107</v>
          </cell>
          <cell r="F20">
            <v>5345181783</v>
          </cell>
        </row>
      </sheetData>
      <sheetData sheetId="14">
        <row r="18">
          <cell r="B18">
            <v>2009</v>
          </cell>
          <cell r="C18">
            <v>2010</v>
          </cell>
          <cell r="D18">
            <v>2011</v>
          </cell>
          <cell r="E18">
            <v>2012</v>
          </cell>
          <cell r="F18">
            <v>2013</v>
          </cell>
        </row>
        <row r="19">
          <cell r="A19" t="str">
            <v>Recaudación</v>
          </cell>
          <cell r="B19">
            <v>88076369</v>
          </cell>
          <cell r="C19">
            <v>132905476</v>
          </cell>
          <cell r="D19">
            <v>93685036</v>
          </cell>
          <cell r="E19">
            <v>151694202</v>
          </cell>
          <cell r="F19">
            <v>119931127</v>
          </cell>
        </row>
        <row r="20">
          <cell r="A20" t="str">
            <v>Distribución</v>
          </cell>
          <cell r="B20">
            <v>94999952</v>
          </cell>
          <cell r="C20">
            <v>87772250</v>
          </cell>
          <cell r="D20">
            <v>74340998</v>
          </cell>
          <cell r="E20">
            <v>186162609</v>
          </cell>
          <cell r="F20">
            <v>149283568</v>
          </cell>
        </row>
      </sheetData>
      <sheetData sheetId="15" refreshError="1"/>
      <sheetData sheetId="16" refreshError="1"/>
      <sheetData sheetId="17"/>
      <sheetData sheetId="18" refreshError="1"/>
      <sheetData sheetId="19">
        <row r="24">
          <cell r="B24">
            <v>2009</v>
          </cell>
          <cell r="C24">
            <v>2010</v>
          </cell>
          <cell r="D24">
            <v>2011</v>
          </cell>
          <cell r="E24">
            <v>2012</v>
          </cell>
          <cell r="F24">
            <v>2013</v>
          </cell>
        </row>
        <row r="25">
          <cell r="B25">
            <v>6101173</v>
          </cell>
          <cell r="C25">
            <v>6412163</v>
          </cell>
          <cell r="D25">
            <v>6038280</v>
          </cell>
          <cell r="E25">
            <v>8208947</v>
          </cell>
          <cell r="F25">
            <v>8325178</v>
          </cell>
        </row>
        <row r="26">
          <cell r="B26">
            <v>2375042</v>
          </cell>
          <cell r="C26">
            <v>2520963</v>
          </cell>
          <cell r="D26">
            <v>2625203</v>
          </cell>
          <cell r="E26">
            <v>3503223</v>
          </cell>
          <cell r="F26">
            <v>3136146</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3.6.1"/>
      <sheetName val="3.6.1-01"/>
      <sheetName val="3.6.1-02"/>
      <sheetName val="3.6.1-03"/>
      <sheetName val="3.6.1-04"/>
      <sheetName val="3.6.1-05"/>
      <sheetName val="3.6.1-06"/>
      <sheetName val="3.6.1-07"/>
      <sheetName val="3.6.1-08"/>
      <sheetName val="3.6.1-09"/>
      <sheetName val="3.6.1-10"/>
      <sheetName val="3.6.1-11"/>
      <sheetName val="3.6.1-12"/>
      <sheetName val="3.6.1-13"/>
      <sheetName val="3.6.1-14"/>
      <sheetName val="3.6.1-15"/>
      <sheetName val="3.6.1-16"/>
      <sheetName val="3.6.1-17"/>
      <sheetName val="3.6.1-18"/>
      <sheetName val="3.6.2"/>
      <sheetName val="3.6.2-01"/>
      <sheetName val="3.6.2-02"/>
      <sheetName val="3.6.2-03"/>
      <sheetName val="3.6.2-04"/>
      <sheetName val="3.6.2-05"/>
      <sheetName val="3.6.2-06"/>
      <sheetName val="3.6.2-07"/>
      <sheetName val="3.6.2-08"/>
      <sheetName val="3.6.2-09"/>
      <sheetName val="3.6.2-10"/>
      <sheetName val="3.6.2-11"/>
      <sheetName val="3.6.2-12"/>
      <sheetName val="3.6.2-13"/>
      <sheetName val="3.6.2-14"/>
      <sheetName val="3.6.2-15"/>
      <sheetName val="3.6.2-16"/>
      <sheetName val="3.6.2-17"/>
      <sheetName val="3.6.3"/>
      <sheetName val="3.6.3-01"/>
      <sheetName val="3.6.3-02"/>
      <sheetName val="3.6.3-03"/>
    </sheetNames>
    <sheetDataSet>
      <sheetData sheetId="0" refreshError="1"/>
      <sheetData sheetId="1" refreshError="1"/>
      <sheetData sheetId="2" refreshError="1"/>
      <sheetData sheetId="3" refreshError="1"/>
      <sheetData sheetId="4" refreshError="1"/>
      <sheetData sheetId="5">
        <row r="21">
          <cell r="B21" t="str">
            <v>Cantidad de títulos</v>
          </cell>
        </row>
        <row r="22">
          <cell r="A22" t="str">
            <v xml:space="preserve">Obras generales </v>
          </cell>
          <cell r="B22">
            <v>5</v>
          </cell>
        </row>
        <row r="23">
          <cell r="A23" t="str">
            <v>Filosofía y psicología</v>
          </cell>
          <cell r="B23">
            <v>25</v>
          </cell>
        </row>
        <row r="24">
          <cell r="A24" t="str">
            <v>Religión</v>
          </cell>
          <cell r="B24">
            <v>0</v>
          </cell>
        </row>
        <row r="25">
          <cell r="A25" t="str">
            <v>Ciencias sociales</v>
          </cell>
          <cell r="B25">
            <v>15</v>
          </cell>
        </row>
        <row r="26">
          <cell r="A26" t="str">
            <v>Ciencias naturales y matemáticas</v>
          </cell>
          <cell r="B26">
            <v>9</v>
          </cell>
        </row>
        <row r="27">
          <cell r="A27" t="str">
            <v>Tecnología (ciencias aplicadas)</v>
          </cell>
          <cell r="B27">
            <v>21</v>
          </cell>
        </row>
        <row r="28">
          <cell r="A28" t="str">
            <v>Las artes - bellas artes y artes decorativas</v>
          </cell>
          <cell r="B28">
            <v>27</v>
          </cell>
        </row>
        <row r="29">
          <cell r="A29" t="str">
            <v>Literatura y retórica</v>
          </cell>
          <cell r="B29">
            <v>141</v>
          </cell>
        </row>
        <row r="30">
          <cell r="A30" t="str">
            <v xml:space="preserve">Geografía e historia </v>
          </cell>
          <cell r="B30">
            <v>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ow r="27">
          <cell r="B27">
            <v>2009</v>
          </cell>
          <cell r="C27">
            <v>2010</v>
          </cell>
          <cell r="D27">
            <v>2011</v>
          </cell>
          <cell r="E27">
            <v>2012</v>
          </cell>
          <cell r="F27">
            <v>2013</v>
          </cell>
        </row>
        <row r="28">
          <cell r="B28">
            <v>4462</v>
          </cell>
          <cell r="C28">
            <v>5107</v>
          </cell>
          <cell r="D28">
            <v>5720</v>
          </cell>
          <cell r="E28">
            <v>6045</v>
          </cell>
          <cell r="F28">
            <v>5952</v>
          </cell>
        </row>
      </sheetData>
      <sheetData sheetId="24"/>
      <sheetData sheetId="25">
        <row r="15">
          <cell r="B15">
            <v>2009</v>
          </cell>
          <cell r="C15">
            <v>2010</v>
          </cell>
          <cell r="D15">
            <v>2011</v>
          </cell>
          <cell r="E15">
            <v>2012</v>
          </cell>
          <cell r="F15">
            <v>2013</v>
          </cell>
        </row>
        <row r="16">
          <cell r="A16" t="str">
            <v>Poesía</v>
          </cell>
          <cell r="B16">
            <v>297</v>
          </cell>
          <cell r="C16">
            <v>303</v>
          </cell>
          <cell r="D16">
            <v>290</v>
          </cell>
          <cell r="E16">
            <v>279</v>
          </cell>
          <cell r="F16">
            <v>326</v>
          </cell>
        </row>
        <row r="17">
          <cell r="A17" t="str">
            <v>Narrativa</v>
          </cell>
          <cell r="B17">
            <v>263</v>
          </cell>
          <cell r="C17">
            <v>268</v>
          </cell>
          <cell r="D17">
            <v>378</v>
          </cell>
          <cell r="E17">
            <v>373</v>
          </cell>
          <cell r="F17">
            <v>480</v>
          </cell>
        </row>
        <row r="18">
          <cell r="A18" t="str">
            <v>Lit. Infantil</v>
          </cell>
          <cell r="B18">
            <v>344</v>
          </cell>
          <cell r="C18">
            <v>332</v>
          </cell>
          <cell r="D18">
            <v>542</v>
          </cell>
          <cell r="E18">
            <v>382</v>
          </cell>
          <cell r="F18">
            <v>458</v>
          </cell>
        </row>
        <row r="19">
          <cell r="A19" t="str">
            <v>Ensayos</v>
          </cell>
          <cell r="B19">
            <v>122</v>
          </cell>
          <cell r="C19">
            <v>95</v>
          </cell>
          <cell r="D19">
            <v>130</v>
          </cell>
          <cell r="E19">
            <v>150</v>
          </cell>
          <cell r="F19">
            <v>186</v>
          </cell>
        </row>
      </sheetData>
      <sheetData sheetId="26" refreshError="1"/>
      <sheetData sheetId="27" refreshError="1"/>
      <sheetData sheetId="28" refreshError="1"/>
      <sheetData sheetId="29" refreshError="1"/>
      <sheetData sheetId="30"/>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21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11.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3.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214.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215.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216.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218.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220.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221.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222.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223.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224.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225.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226.bin"/></Relationships>
</file>

<file path=xl/worksheets/_rels/sheet227.xml.rels><?xml version="1.0" encoding="UTF-8" standalone="yes"?>
<Relationships xmlns="http://schemas.openxmlformats.org/package/2006/relationships"><Relationship Id="rId1" Type="http://schemas.openxmlformats.org/officeDocument/2006/relationships/printerSettings" Target="../printerSettings/printerSettings227.bin"/></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228.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22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230.bin"/></Relationships>
</file>

<file path=xl/worksheets/_rels/sheet23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31.bin"/></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232.bin"/></Relationships>
</file>

<file path=xl/worksheets/_rels/sheet233.xml.rels><?xml version="1.0" encoding="UTF-8" standalone="yes"?>
<Relationships xmlns="http://schemas.openxmlformats.org/package/2006/relationships"><Relationship Id="rId1" Type="http://schemas.openxmlformats.org/officeDocument/2006/relationships/printerSettings" Target="../printerSettings/printerSettings233.bin"/></Relationships>
</file>

<file path=xl/worksheets/_rels/sheet234.xml.rels><?xml version="1.0" encoding="UTF-8" standalone="yes"?>
<Relationships xmlns="http://schemas.openxmlformats.org/package/2006/relationships"><Relationship Id="rId1" Type="http://schemas.openxmlformats.org/officeDocument/2006/relationships/printerSettings" Target="../printerSettings/printerSettings234.bin"/></Relationships>
</file>

<file path=xl/worksheets/_rels/sheet235.xml.rels><?xml version="1.0" encoding="UTF-8" standalone="yes"?>
<Relationships xmlns="http://schemas.openxmlformats.org/package/2006/relationships"><Relationship Id="rId1" Type="http://schemas.openxmlformats.org/officeDocument/2006/relationships/printerSettings" Target="../printerSettings/printerSettings235.bin"/></Relationships>
</file>

<file path=xl/worksheets/_rels/sheet236.xml.rels><?xml version="1.0" encoding="UTF-8" standalone="yes"?>
<Relationships xmlns="http://schemas.openxmlformats.org/package/2006/relationships"><Relationship Id="rId1" Type="http://schemas.openxmlformats.org/officeDocument/2006/relationships/printerSettings" Target="../printerSettings/printerSettings236.bin"/></Relationships>
</file>

<file path=xl/worksheets/_rels/sheet237.xml.rels><?xml version="1.0" encoding="UTF-8" standalone="yes"?>
<Relationships xmlns="http://schemas.openxmlformats.org/package/2006/relationships"><Relationship Id="rId1" Type="http://schemas.openxmlformats.org/officeDocument/2006/relationships/printerSettings" Target="../printerSettings/printerSettings237.bin"/></Relationships>
</file>

<file path=xl/worksheets/_rels/sheet238.xml.rels><?xml version="1.0" encoding="UTF-8" standalone="yes"?>
<Relationships xmlns="http://schemas.openxmlformats.org/package/2006/relationships"><Relationship Id="rId1" Type="http://schemas.openxmlformats.org/officeDocument/2006/relationships/printerSettings" Target="../printerSettings/printerSettings238.bin"/></Relationships>
</file>

<file path=xl/worksheets/_rels/sheet239.xml.rels><?xml version="1.0" encoding="UTF-8" standalone="yes"?>
<Relationships xmlns="http://schemas.openxmlformats.org/package/2006/relationships"><Relationship Id="rId1" Type="http://schemas.openxmlformats.org/officeDocument/2006/relationships/printerSettings" Target="../printerSettings/printerSettings23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40.xml.rels><?xml version="1.0" encoding="UTF-8" standalone="yes"?>
<Relationships xmlns="http://schemas.openxmlformats.org/package/2006/relationships"><Relationship Id="rId1" Type="http://schemas.openxmlformats.org/officeDocument/2006/relationships/printerSettings" Target="../printerSettings/printerSettings240.bin"/></Relationships>
</file>

<file path=xl/worksheets/_rels/sheet241.xml.rels><?xml version="1.0" encoding="UTF-8" standalone="yes"?>
<Relationships xmlns="http://schemas.openxmlformats.org/package/2006/relationships"><Relationship Id="rId1" Type="http://schemas.openxmlformats.org/officeDocument/2006/relationships/printerSettings" Target="../printerSettings/printerSettings241.bin"/></Relationships>
</file>

<file path=xl/worksheets/_rels/sheet242.xml.rels><?xml version="1.0" encoding="UTF-8" standalone="yes"?>
<Relationships xmlns="http://schemas.openxmlformats.org/package/2006/relationships"><Relationship Id="rId1" Type="http://schemas.openxmlformats.org/officeDocument/2006/relationships/printerSettings" Target="../printerSettings/printerSettings242.bin"/></Relationships>
</file>

<file path=xl/worksheets/_rels/sheet243.xml.rels><?xml version="1.0" encoding="UTF-8" standalone="yes"?>
<Relationships xmlns="http://schemas.openxmlformats.org/package/2006/relationships"><Relationship Id="rId1" Type="http://schemas.openxmlformats.org/officeDocument/2006/relationships/printerSettings" Target="../printerSettings/printerSettings243.bin"/></Relationships>
</file>

<file path=xl/worksheets/_rels/sheet244.xml.rels><?xml version="1.0" encoding="UTF-8" standalone="yes"?>
<Relationships xmlns="http://schemas.openxmlformats.org/package/2006/relationships"><Relationship Id="rId1" Type="http://schemas.openxmlformats.org/officeDocument/2006/relationships/printerSettings" Target="../printerSettings/printerSettings244.bin"/></Relationships>
</file>

<file path=xl/worksheets/_rels/sheet245.xml.rels><?xml version="1.0" encoding="UTF-8" standalone="yes"?>
<Relationships xmlns="http://schemas.openxmlformats.org/package/2006/relationships"><Relationship Id="rId1" Type="http://schemas.openxmlformats.org/officeDocument/2006/relationships/printerSettings" Target="../printerSettings/printerSettings245.bin"/></Relationships>
</file>

<file path=xl/worksheets/_rels/sheet246.xml.rels><?xml version="1.0" encoding="UTF-8" standalone="yes"?>
<Relationships xmlns="http://schemas.openxmlformats.org/package/2006/relationships"><Relationship Id="rId1" Type="http://schemas.openxmlformats.org/officeDocument/2006/relationships/printerSettings" Target="../printerSettings/printerSettings246.bin"/></Relationships>
</file>

<file path=xl/worksheets/_rels/sheet247.xml.rels><?xml version="1.0" encoding="UTF-8" standalone="yes"?>
<Relationships xmlns="http://schemas.openxmlformats.org/package/2006/relationships"><Relationship Id="rId1" Type="http://schemas.openxmlformats.org/officeDocument/2006/relationships/printerSettings" Target="../printerSettings/printerSettings247.bin"/></Relationships>
</file>

<file path=xl/worksheets/_rels/sheet248.xml.rels><?xml version="1.0" encoding="UTF-8" standalone="yes"?>
<Relationships xmlns="http://schemas.openxmlformats.org/package/2006/relationships"><Relationship Id="rId1" Type="http://schemas.openxmlformats.org/officeDocument/2006/relationships/printerSettings" Target="../printerSettings/printerSettings248.bin"/></Relationships>
</file>

<file path=xl/worksheets/_rels/sheet249.xml.rels><?xml version="1.0" encoding="UTF-8" standalone="yes"?>
<Relationships xmlns="http://schemas.openxmlformats.org/package/2006/relationships"><Relationship Id="rId1" Type="http://schemas.openxmlformats.org/officeDocument/2006/relationships/printerSettings" Target="../printerSettings/printerSettings24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50.xml.rels><?xml version="1.0" encoding="UTF-8" standalone="yes"?>
<Relationships xmlns="http://schemas.openxmlformats.org/package/2006/relationships"><Relationship Id="rId1" Type="http://schemas.openxmlformats.org/officeDocument/2006/relationships/printerSettings" Target="../printerSettings/printerSettings250.bin"/></Relationships>
</file>

<file path=xl/worksheets/_rels/sheet251.xml.rels><?xml version="1.0" encoding="UTF-8" standalone="yes"?>
<Relationships xmlns="http://schemas.openxmlformats.org/package/2006/relationships"><Relationship Id="rId1" Type="http://schemas.openxmlformats.org/officeDocument/2006/relationships/printerSettings" Target="../printerSettings/printerSettings251.bin"/></Relationships>
</file>

<file path=xl/worksheets/_rels/sheet252.xml.rels><?xml version="1.0" encoding="UTF-8" standalone="yes"?>
<Relationships xmlns="http://schemas.openxmlformats.org/package/2006/relationships"><Relationship Id="rId1" Type="http://schemas.openxmlformats.org/officeDocument/2006/relationships/printerSettings" Target="../printerSettings/printerSettings252.bin"/></Relationships>
</file>

<file path=xl/worksheets/_rels/sheet253.xml.rels><?xml version="1.0" encoding="UTF-8" standalone="yes"?>
<Relationships xmlns="http://schemas.openxmlformats.org/package/2006/relationships"><Relationship Id="rId1" Type="http://schemas.openxmlformats.org/officeDocument/2006/relationships/printerSettings" Target="../printerSettings/printerSettings253.bin"/></Relationships>
</file>

<file path=xl/worksheets/_rels/sheet254.xml.rels><?xml version="1.0" encoding="UTF-8" standalone="yes"?>
<Relationships xmlns="http://schemas.openxmlformats.org/package/2006/relationships"><Relationship Id="rId1" Type="http://schemas.openxmlformats.org/officeDocument/2006/relationships/printerSettings" Target="../printerSettings/printerSettings254.bin"/></Relationships>
</file>

<file path=xl/worksheets/_rels/sheet255.xml.rels><?xml version="1.0" encoding="UTF-8" standalone="yes"?>
<Relationships xmlns="http://schemas.openxmlformats.org/package/2006/relationships"><Relationship Id="rId1" Type="http://schemas.openxmlformats.org/officeDocument/2006/relationships/printerSettings" Target="../printerSettings/printerSettings255.bin"/></Relationships>
</file>

<file path=xl/worksheets/_rels/sheet256.xml.rels><?xml version="1.0" encoding="UTF-8" standalone="yes"?>
<Relationships xmlns="http://schemas.openxmlformats.org/package/2006/relationships"><Relationship Id="rId1" Type="http://schemas.openxmlformats.org/officeDocument/2006/relationships/printerSettings" Target="../printerSettings/printerSettings256.bin"/></Relationships>
</file>

<file path=xl/worksheets/_rels/sheet257.xml.rels><?xml version="1.0" encoding="UTF-8" standalone="yes"?>
<Relationships xmlns="http://schemas.openxmlformats.org/package/2006/relationships"><Relationship Id="rId1" Type="http://schemas.openxmlformats.org/officeDocument/2006/relationships/printerSettings" Target="../printerSettings/printerSettings257.bin"/></Relationships>
</file>

<file path=xl/worksheets/_rels/sheet258.xml.rels><?xml version="1.0" encoding="UTF-8" standalone="yes"?>
<Relationships xmlns="http://schemas.openxmlformats.org/package/2006/relationships"><Relationship Id="rId1" Type="http://schemas.openxmlformats.org/officeDocument/2006/relationships/printerSettings" Target="../printerSettings/printerSettings258.bin"/></Relationships>
</file>

<file path=xl/worksheets/_rels/sheet259.xml.rels><?xml version="1.0" encoding="UTF-8" standalone="yes"?>
<Relationships xmlns="http://schemas.openxmlformats.org/package/2006/relationships"><Relationship Id="rId1" Type="http://schemas.openxmlformats.org/officeDocument/2006/relationships/printerSettings" Target="../printerSettings/printerSettings25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60.xml.rels><?xml version="1.0" encoding="UTF-8" standalone="yes"?>
<Relationships xmlns="http://schemas.openxmlformats.org/package/2006/relationships"><Relationship Id="rId1" Type="http://schemas.openxmlformats.org/officeDocument/2006/relationships/printerSettings" Target="../printerSettings/printerSettings260.bin"/></Relationships>
</file>

<file path=xl/worksheets/_rels/sheet261.xml.rels><?xml version="1.0" encoding="UTF-8" standalone="yes"?>
<Relationships xmlns="http://schemas.openxmlformats.org/package/2006/relationships"><Relationship Id="rId1" Type="http://schemas.openxmlformats.org/officeDocument/2006/relationships/printerSettings" Target="../printerSettings/printerSettings261.bin"/></Relationships>
</file>

<file path=xl/worksheets/_rels/sheet262.xml.rels><?xml version="1.0" encoding="UTF-8" standalone="yes"?>
<Relationships xmlns="http://schemas.openxmlformats.org/package/2006/relationships"><Relationship Id="rId1" Type="http://schemas.openxmlformats.org/officeDocument/2006/relationships/printerSettings" Target="../printerSettings/printerSettings262.bin"/></Relationships>
</file>

<file path=xl/worksheets/_rels/sheet263.xml.rels><?xml version="1.0" encoding="UTF-8" standalone="yes"?>
<Relationships xmlns="http://schemas.openxmlformats.org/package/2006/relationships"><Relationship Id="rId1" Type="http://schemas.openxmlformats.org/officeDocument/2006/relationships/printerSettings" Target="../printerSettings/printerSettings263.bin"/></Relationships>
</file>

<file path=xl/worksheets/_rels/sheet264.xml.rels><?xml version="1.0" encoding="UTF-8" standalone="yes"?>
<Relationships xmlns="http://schemas.openxmlformats.org/package/2006/relationships"><Relationship Id="rId1" Type="http://schemas.openxmlformats.org/officeDocument/2006/relationships/printerSettings" Target="../printerSettings/printerSettings264.bin"/></Relationships>
</file>

<file path=xl/worksheets/_rels/sheet265.xml.rels><?xml version="1.0" encoding="UTF-8" standalone="yes"?>
<Relationships xmlns="http://schemas.openxmlformats.org/package/2006/relationships"><Relationship Id="rId1" Type="http://schemas.openxmlformats.org/officeDocument/2006/relationships/printerSettings" Target="../printerSettings/printerSettings265.bin"/></Relationships>
</file>

<file path=xl/worksheets/_rels/sheet266.xml.rels><?xml version="1.0" encoding="UTF-8" standalone="yes"?>
<Relationships xmlns="http://schemas.openxmlformats.org/package/2006/relationships"><Relationship Id="rId1" Type="http://schemas.openxmlformats.org/officeDocument/2006/relationships/printerSettings" Target="../printerSettings/printerSettings266.bin"/></Relationships>
</file>

<file path=xl/worksheets/_rels/sheet267.xml.rels><?xml version="1.0" encoding="UTF-8" standalone="yes"?>
<Relationships xmlns="http://schemas.openxmlformats.org/package/2006/relationships"><Relationship Id="rId1" Type="http://schemas.openxmlformats.org/officeDocument/2006/relationships/printerSettings" Target="../printerSettings/printerSettings267.bin"/></Relationships>
</file>

<file path=xl/worksheets/_rels/sheet268.xml.rels><?xml version="1.0" encoding="UTF-8" standalone="yes"?>
<Relationships xmlns="http://schemas.openxmlformats.org/package/2006/relationships"><Relationship Id="rId1" Type="http://schemas.openxmlformats.org/officeDocument/2006/relationships/printerSettings" Target="../printerSettings/printerSettings268.bin"/></Relationships>
</file>

<file path=xl/worksheets/_rels/sheet269.xml.rels><?xml version="1.0" encoding="UTF-8" standalone="yes"?>
<Relationships xmlns="http://schemas.openxmlformats.org/package/2006/relationships"><Relationship Id="rId1" Type="http://schemas.openxmlformats.org/officeDocument/2006/relationships/printerSettings" Target="../printerSettings/printerSettings26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70.xml.rels><?xml version="1.0" encoding="UTF-8" standalone="yes"?>
<Relationships xmlns="http://schemas.openxmlformats.org/package/2006/relationships"><Relationship Id="rId1" Type="http://schemas.openxmlformats.org/officeDocument/2006/relationships/printerSettings" Target="../printerSettings/printerSettings270.bin"/></Relationships>
</file>

<file path=xl/worksheets/_rels/sheet271.xml.rels><?xml version="1.0" encoding="UTF-8" standalone="yes"?>
<Relationships xmlns="http://schemas.openxmlformats.org/package/2006/relationships"><Relationship Id="rId1" Type="http://schemas.openxmlformats.org/officeDocument/2006/relationships/printerSettings" Target="../printerSettings/printerSettings271.bin"/></Relationships>
</file>

<file path=xl/worksheets/_rels/sheet27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72.bin"/></Relationships>
</file>

<file path=xl/worksheets/_rels/sheet273.xml.rels><?xml version="1.0" encoding="UTF-8" standalone="yes"?>
<Relationships xmlns="http://schemas.openxmlformats.org/package/2006/relationships"><Relationship Id="rId1" Type="http://schemas.openxmlformats.org/officeDocument/2006/relationships/printerSettings" Target="../printerSettings/printerSettings273.bin"/></Relationships>
</file>

<file path=xl/worksheets/_rels/sheet274.xml.rels><?xml version="1.0" encoding="UTF-8" standalone="yes"?>
<Relationships xmlns="http://schemas.openxmlformats.org/package/2006/relationships"><Relationship Id="rId1" Type="http://schemas.openxmlformats.org/officeDocument/2006/relationships/printerSettings" Target="../printerSettings/printerSettings274.bin"/></Relationships>
</file>

<file path=xl/worksheets/_rels/sheet277.xml.rels><?xml version="1.0" encoding="UTF-8" standalone="yes"?>
<Relationships xmlns="http://schemas.openxmlformats.org/package/2006/relationships"><Relationship Id="rId1" Type="http://schemas.openxmlformats.org/officeDocument/2006/relationships/printerSettings" Target="../printerSettings/printerSettings275.bin"/></Relationships>
</file>

<file path=xl/worksheets/_rels/sheet278.xml.rels><?xml version="1.0" encoding="UTF-8" standalone="yes"?>
<Relationships xmlns="http://schemas.openxmlformats.org/package/2006/relationships"><Relationship Id="rId1" Type="http://schemas.openxmlformats.org/officeDocument/2006/relationships/printerSettings" Target="../printerSettings/printerSettings276.bin"/></Relationships>
</file>

<file path=xl/worksheets/_rels/sheet279.xml.rels><?xml version="1.0" encoding="UTF-8" standalone="yes"?>
<Relationships xmlns="http://schemas.openxmlformats.org/package/2006/relationships"><Relationship Id="rId1" Type="http://schemas.openxmlformats.org/officeDocument/2006/relationships/printerSettings" Target="../printerSettings/printerSettings27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8.bin"/></Relationships>
</file>

<file path=xl/worksheets/_rels/sheet280.xml.rels><?xml version="1.0" encoding="UTF-8" standalone="yes"?>
<Relationships xmlns="http://schemas.openxmlformats.org/package/2006/relationships"><Relationship Id="rId1" Type="http://schemas.openxmlformats.org/officeDocument/2006/relationships/printerSettings" Target="../printerSettings/printerSettings278.bin"/></Relationships>
</file>

<file path=xl/worksheets/_rels/sheet281.xml.rels><?xml version="1.0" encoding="UTF-8" standalone="yes"?>
<Relationships xmlns="http://schemas.openxmlformats.org/package/2006/relationships"><Relationship Id="rId1" Type="http://schemas.openxmlformats.org/officeDocument/2006/relationships/printerSettings" Target="../printerSettings/printerSettings279.bin"/></Relationships>
</file>

<file path=xl/worksheets/_rels/sheet282.xml.rels><?xml version="1.0" encoding="UTF-8" standalone="yes"?>
<Relationships xmlns="http://schemas.openxmlformats.org/package/2006/relationships"><Relationship Id="rId1" Type="http://schemas.openxmlformats.org/officeDocument/2006/relationships/printerSettings" Target="../printerSettings/printerSettings280.bin"/></Relationships>
</file>

<file path=xl/worksheets/_rels/sheet283.xml.rels><?xml version="1.0" encoding="UTF-8" standalone="yes"?>
<Relationships xmlns="http://schemas.openxmlformats.org/package/2006/relationships"><Relationship Id="rId1" Type="http://schemas.openxmlformats.org/officeDocument/2006/relationships/printerSettings" Target="../printerSettings/printerSettings281.bin"/></Relationships>
</file>

<file path=xl/worksheets/_rels/sheet284.xml.rels><?xml version="1.0" encoding="UTF-8" standalone="yes"?>
<Relationships xmlns="http://schemas.openxmlformats.org/package/2006/relationships"><Relationship Id="rId1" Type="http://schemas.openxmlformats.org/officeDocument/2006/relationships/printerSettings" Target="../printerSettings/printerSettings282.bin"/></Relationships>
</file>

<file path=xl/worksheets/_rels/sheet28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83.bin"/></Relationships>
</file>

<file path=xl/worksheets/_rels/sheet28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84.bin"/></Relationships>
</file>

<file path=xl/worksheets/_rels/sheet287.xml.rels><?xml version="1.0" encoding="UTF-8" standalone="yes"?>
<Relationships xmlns="http://schemas.openxmlformats.org/package/2006/relationships"><Relationship Id="rId1" Type="http://schemas.openxmlformats.org/officeDocument/2006/relationships/printerSettings" Target="../printerSettings/printerSettings285.bin"/></Relationships>
</file>

<file path=xl/worksheets/_rels/sheet288.xml.rels><?xml version="1.0" encoding="UTF-8" standalone="yes"?>
<Relationships xmlns="http://schemas.openxmlformats.org/package/2006/relationships"><Relationship Id="rId1" Type="http://schemas.openxmlformats.org/officeDocument/2006/relationships/printerSettings" Target="../printerSettings/printerSettings286.bin"/></Relationships>
</file>

<file path=xl/worksheets/_rels/sheet289.xml.rels><?xml version="1.0" encoding="UTF-8" standalone="yes"?>
<Relationships xmlns="http://schemas.openxmlformats.org/package/2006/relationships"><Relationship Id="rId1" Type="http://schemas.openxmlformats.org/officeDocument/2006/relationships/printerSettings" Target="../printerSettings/printerSettings28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90.xml.rels><?xml version="1.0" encoding="UTF-8" standalone="yes"?>
<Relationships xmlns="http://schemas.openxmlformats.org/package/2006/relationships"><Relationship Id="rId1" Type="http://schemas.openxmlformats.org/officeDocument/2006/relationships/printerSettings" Target="../printerSettings/printerSettings288.bin"/></Relationships>
</file>

<file path=xl/worksheets/_rels/sheet291.xml.rels><?xml version="1.0" encoding="UTF-8" standalone="yes"?>
<Relationships xmlns="http://schemas.openxmlformats.org/package/2006/relationships"><Relationship Id="rId1" Type="http://schemas.openxmlformats.org/officeDocument/2006/relationships/printerSettings" Target="../printerSettings/printerSettings289.bin"/></Relationships>
</file>

<file path=xl/worksheets/_rels/sheet292.xml.rels><?xml version="1.0" encoding="UTF-8" standalone="yes"?>
<Relationships xmlns="http://schemas.openxmlformats.org/package/2006/relationships"><Relationship Id="rId1" Type="http://schemas.openxmlformats.org/officeDocument/2006/relationships/printerSettings" Target="../printerSettings/printerSettings290.bin"/></Relationships>
</file>

<file path=xl/worksheets/_rels/sheet293.xml.rels><?xml version="1.0" encoding="UTF-8" standalone="yes"?>
<Relationships xmlns="http://schemas.openxmlformats.org/package/2006/relationships"><Relationship Id="rId1" Type="http://schemas.openxmlformats.org/officeDocument/2006/relationships/printerSettings" Target="../printerSettings/printerSettings291.bin"/></Relationships>
</file>

<file path=xl/worksheets/_rels/sheet294.xml.rels><?xml version="1.0" encoding="UTF-8" standalone="yes"?>
<Relationships xmlns="http://schemas.openxmlformats.org/package/2006/relationships"><Relationship Id="rId1" Type="http://schemas.openxmlformats.org/officeDocument/2006/relationships/printerSettings" Target="../printerSettings/printerSettings292.bin"/></Relationships>
</file>

<file path=xl/worksheets/_rels/sheet295.xml.rels><?xml version="1.0" encoding="UTF-8" standalone="yes"?>
<Relationships xmlns="http://schemas.openxmlformats.org/package/2006/relationships"><Relationship Id="rId1" Type="http://schemas.openxmlformats.org/officeDocument/2006/relationships/printerSettings" Target="../printerSettings/printerSettings293.bin"/></Relationships>
</file>

<file path=xl/worksheets/_rels/sheet296.xml.rels><?xml version="1.0" encoding="UTF-8" standalone="yes"?>
<Relationships xmlns="http://schemas.openxmlformats.org/package/2006/relationships"><Relationship Id="rId1" Type="http://schemas.openxmlformats.org/officeDocument/2006/relationships/printerSettings" Target="../printerSettings/printerSettings294.bin"/></Relationships>
</file>

<file path=xl/worksheets/_rels/sheet297.xml.rels><?xml version="1.0" encoding="UTF-8" standalone="yes"?>
<Relationships xmlns="http://schemas.openxmlformats.org/package/2006/relationships"><Relationship Id="rId1" Type="http://schemas.openxmlformats.org/officeDocument/2006/relationships/printerSettings" Target="../printerSettings/printerSettings295.bin"/></Relationships>
</file>

<file path=xl/worksheets/_rels/sheet298.xml.rels><?xml version="1.0" encoding="UTF-8" standalone="yes"?>
<Relationships xmlns="http://schemas.openxmlformats.org/package/2006/relationships"><Relationship Id="rId1" Type="http://schemas.openxmlformats.org/officeDocument/2006/relationships/printerSettings" Target="../printerSettings/printerSettings296.bin"/></Relationships>
</file>

<file path=xl/worksheets/_rels/sheet299.xml.rels><?xml version="1.0" encoding="UTF-8" standalone="yes"?>
<Relationships xmlns="http://schemas.openxmlformats.org/package/2006/relationships"><Relationship Id="rId1" Type="http://schemas.openxmlformats.org/officeDocument/2006/relationships/printerSettings" Target="../printerSettings/printerSettings29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00.xml.rels><?xml version="1.0" encoding="UTF-8" standalone="yes"?>
<Relationships xmlns="http://schemas.openxmlformats.org/package/2006/relationships"><Relationship Id="rId1" Type="http://schemas.openxmlformats.org/officeDocument/2006/relationships/printerSettings" Target="../printerSettings/printerSettings298.bin"/></Relationships>
</file>

<file path=xl/worksheets/_rels/sheet301.xml.rels><?xml version="1.0" encoding="UTF-8" standalone="yes"?>
<Relationships xmlns="http://schemas.openxmlformats.org/package/2006/relationships"><Relationship Id="rId1" Type="http://schemas.openxmlformats.org/officeDocument/2006/relationships/printerSettings" Target="../printerSettings/printerSettings299.bin"/></Relationships>
</file>

<file path=xl/worksheets/_rels/sheet302.xml.rels><?xml version="1.0" encoding="UTF-8" standalone="yes"?>
<Relationships xmlns="http://schemas.openxmlformats.org/package/2006/relationships"><Relationship Id="rId1" Type="http://schemas.openxmlformats.org/officeDocument/2006/relationships/printerSettings" Target="../printerSettings/printerSettings300.bin"/></Relationships>
</file>

<file path=xl/worksheets/_rels/sheet303.xml.rels><?xml version="1.0" encoding="UTF-8" standalone="yes"?>
<Relationships xmlns="http://schemas.openxmlformats.org/package/2006/relationships"><Relationship Id="rId1" Type="http://schemas.openxmlformats.org/officeDocument/2006/relationships/printerSettings" Target="../printerSettings/printerSettings301.bin"/></Relationships>
</file>

<file path=xl/worksheets/_rels/sheet304.xml.rels><?xml version="1.0" encoding="UTF-8" standalone="yes"?>
<Relationships xmlns="http://schemas.openxmlformats.org/package/2006/relationships"><Relationship Id="rId1" Type="http://schemas.openxmlformats.org/officeDocument/2006/relationships/printerSettings" Target="../printerSettings/printerSettings302.bin"/></Relationships>
</file>

<file path=xl/worksheets/_rels/sheet305.xml.rels><?xml version="1.0" encoding="UTF-8" standalone="yes"?>
<Relationships xmlns="http://schemas.openxmlformats.org/package/2006/relationships"><Relationship Id="rId1" Type="http://schemas.openxmlformats.org/officeDocument/2006/relationships/printerSettings" Target="../printerSettings/printerSettings303.bin"/></Relationships>
</file>

<file path=xl/worksheets/_rels/sheet306.xml.rels><?xml version="1.0" encoding="UTF-8" standalone="yes"?>
<Relationships xmlns="http://schemas.openxmlformats.org/package/2006/relationships"><Relationship Id="rId1" Type="http://schemas.openxmlformats.org/officeDocument/2006/relationships/printerSettings" Target="../printerSettings/printerSettings304.bin"/></Relationships>
</file>

<file path=xl/worksheets/_rels/sheet307.xml.rels><?xml version="1.0" encoding="UTF-8" standalone="yes"?>
<Relationships xmlns="http://schemas.openxmlformats.org/package/2006/relationships"><Relationship Id="rId1" Type="http://schemas.openxmlformats.org/officeDocument/2006/relationships/printerSettings" Target="../printerSettings/printerSettings305.bin"/></Relationships>
</file>

<file path=xl/worksheets/_rels/sheet308.xml.rels><?xml version="1.0" encoding="UTF-8" standalone="yes"?>
<Relationships xmlns="http://schemas.openxmlformats.org/package/2006/relationships"><Relationship Id="rId1" Type="http://schemas.openxmlformats.org/officeDocument/2006/relationships/printerSettings" Target="../printerSettings/printerSettings306.bin"/></Relationships>
</file>

<file path=xl/worksheets/_rels/sheet309.xml.rels><?xml version="1.0" encoding="UTF-8" standalone="yes"?>
<Relationships xmlns="http://schemas.openxmlformats.org/package/2006/relationships"><Relationship Id="rId1" Type="http://schemas.openxmlformats.org/officeDocument/2006/relationships/printerSettings" Target="../printerSettings/printerSettings30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10.xml.rels><?xml version="1.0" encoding="UTF-8" standalone="yes"?>
<Relationships xmlns="http://schemas.openxmlformats.org/package/2006/relationships"><Relationship Id="rId1" Type="http://schemas.openxmlformats.org/officeDocument/2006/relationships/printerSettings" Target="../printerSettings/printerSettings308.bin"/></Relationships>
</file>

<file path=xl/worksheets/_rels/sheet311.xml.rels><?xml version="1.0" encoding="UTF-8" standalone="yes"?>
<Relationships xmlns="http://schemas.openxmlformats.org/package/2006/relationships"><Relationship Id="rId1" Type="http://schemas.openxmlformats.org/officeDocument/2006/relationships/printerSettings" Target="../printerSettings/printerSettings309.bin"/></Relationships>
</file>

<file path=xl/worksheets/_rels/sheet312.xml.rels><?xml version="1.0" encoding="UTF-8" standalone="yes"?>
<Relationships xmlns="http://schemas.openxmlformats.org/package/2006/relationships"><Relationship Id="rId1" Type="http://schemas.openxmlformats.org/officeDocument/2006/relationships/printerSettings" Target="../printerSettings/printerSettings310.bin"/></Relationships>
</file>

<file path=xl/worksheets/_rels/sheet313.xml.rels><?xml version="1.0" encoding="UTF-8" standalone="yes"?>
<Relationships xmlns="http://schemas.openxmlformats.org/package/2006/relationships"><Relationship Id="rId1" Type="http://schemas.openxmlformats.org/officeDocument/2006/relationships/printerSettings" Target="../printerSettings/printerSettings311.bin"/></Relationships>
</file>

<file path=xl/worksheets/_rels/sheet314.xml.rels><?xml version="1.0" encoding="UTF-8" standalone="yes"?>
<Relationships xmlns="http://schemas.openxmlformats.org/package/2006/relationships"><Relationship Id="rId1" Type="http://schemas.openxmlformats.org/officeDocument/2006/relationships/printerSettings" Target="../printerSettings/printerSettings312.bin"/></Relationships>
</file>

<file path=xl/worksheets/_rels/sheet315.xml.rels><?xml version="1.0" encoding="UTF-8" standalone="yes"?>
<Relationships xmlns="http://schemas.openxmlformats.org/package/2006/relationships"><Relationship Id="rId1" Type="http://schemas.openxmlformats.org/officeDocument/2006/relationships/printerSettings" Target="../printerSettings/printerSettings313.bin"/></Relationships>
</file>

<file path=xl/worksheets/_rels/sheet316.xml.rels><?xml version="1.0" encoding="UTF-8" standalone="yes"?>
<Relationships xmlns="http://schemas.openxmlformats.org/package/2006/relationships"><Relationship Id="rId1" Type="http://schemas.openxmlformats.org/officeDocument/2006/relationships/printerSettings" Target="../printerSettings/printerSettings314.bin"/></Relationships>
</file>

<file path=xl/worksheets/_rels/sheet317.xml.rels><?xml version="1.0" encoding="UTF-8" standalone="yes"?>
<Relationships xmlns="http://schemas.openxmlformats.org/package/2006/relationships"><Relationship Id="rId1" Type="http://schemas.openxmlformats.org/officeDocument/2006/relationships/printerSettings" Target="../printerSettings/printerSettings315.bin"/></Relationships>
</file>

<file path=xl/worksheets/_rels/sheet318.xml.rels><?xml version="1.0" encoding="UTF-8" standalone="yes"?>
<Relationships xmlns="http://schemas.openxmlformats.org/package/2006/relationships"><Relationship Id="rId1" Type="http://schemas.openxmlformats.org/officeDocument/2006/relationships/printerSettings" Target="../printerSettings/printerSettings316.bin"/></Relationships>
</file>

<file path=xl/worksheets/_rels/sheet319.xml.rels><?xml version="1.0" encoding="UTF-8" standalone="yes"?>
<Relationships xmlns="http://schemas.openxmlformats.org/package/2006/relationships"><Relationship Id="rId1" Type="http://schemas.openxmlformats.org/officeDocument/2006/relationships/printerSettings" Target="../printerSettings/printerSettings31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20.xml.rels><?xml version="1.0" encoding="UTF-8" standalone="yes"?>
<Relationships xmlns="http://schemas.openxmlformats.org/package/2006/relationships"><Relationship Id="rId1" Type="http://schemas.openxmlformats.org/officeDocument/2006/relationships/printerSettings" Target="../printerSettings/printerSettings318.bin"/></Relationships>
</file>

<file path=xl/worksheets/_rels/sheet321.xml.rels><?xml version="1.0" encoding="UTF-8" standalone="yes"?>
<Relationships xmlns="http://schemas.openxmlformats.org/package/2006/relationships"><Relationship Id="rId1" Type="http://schemas.openxmlformats.org/officeDocument/2006/relationships/printerSettings" Target="../printerSettings/printerSettings31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tabColor theme="8"/>
  </sheetPr>
  <dimension ref="A1:A7"/>
  <sheetViews>
    <sheetView tabSelected="1" workbookViewId="0">
      <selection activeCell="B29" sqref="B29"/>
    </sheetView>
  </sheetViews>
  <sheetFormatPr baseColWidth="10" defaultColWidth="11.44140625" defaultRowHeight="10.199999999999999" x14ac:dyDescent="0.2"/>
  <cols>
    <col min="1" max="1" width="64.6640625" style="2" customWidth="1"/>
    <col min="2" max="16384" width="11.44140625" style="2"/>
  </cols>
  <sheetData>
    <row r="1" spans="1:1" x14ac:dyDescent="0.2">
      <c r="A1" s="24"/>
    </row>
    <row r="2" spans="1:1" x14ac:dyDescent="0.2">
      <c r="A2" s="24" t="s">
        <v>73</v>
      </c>
    </row>
    <row r="4" spans="1:1" x14ac:dyDescent="0.2">
      <c r="A4" s="43" t="s">
        <v>72</v>
      </c>
    </row>
    <row r="5" spans="1:1" x14ac:dyDescent="0.2">
      <c r="A5" s="43" t="s">
        <v>84</v>
      </c>
    </row>
    <row r="6" spans="1:1" x14ac:dyDescent="0.2">
      <c r="A6" s="43" t="s">
        <v>85</v>
      </c>
    </row>
    <row r="7" spans="1:1" x14ac:dyDescent="0.2">
      <c r="A7" s="43" t="s">
        <v>86</v>
      </c>
    </row>
  </sheetData>
  <hyperlinks>
    <hyperlink ref="A4" location="'2.1-01'!A1" display="CUADRO 2.1-01: MATRÍCULA DE JÓVENES CON ESPECIALIDAD CREATIVA EN ENSEÑANZA MEDIA TÉCNICA PROFESIONAL Y ARTÍSTICA POR NÚMERO DE ESTABLECIMIENTOS QUE LA IMPARTEN, SEGÚN REGIÓN. 2013" xr:uid="{3DA939CE-1205-4B8E-B8A2-98EA455182E4}"/>
    <hyperlink ref="A5" location="'2.1-02'!A1" display="CUADRO 2.1-02: DETALLE DE CARRERAS IMPARTIDAS POR CENTROS DE EDUCACIÓN SUPERIOR POR TIPO DE CARRERA, SEGÚN DOMINIO Y SUBDOMINIO CULTURAL. 2013/1" xr:uid="{0DF42BB4-5DCB-45AB-BCBB-82D095A34A09}"/>
    <hyperlink ref="A6" location="'2.1-03'!A1" display="CUADRO 2.1-03: DETALLE DE MATRÍCULA EN INSTITUCIONES DE EDUCACIÓN SUPERIOR, POR TIPO DE CARRERA Y SEXO, SEGÚN DOMINIO Y SUBDOMINIO CULTURAL. 2013/1" xr:uid="{9CDB905E-8E84-4E92-B5F4-7B53B66DDAE4}"/>
    <hyperlink ref="A7" location="'2.1-04'!A1" display="CUADRO 2.1-04: DETALLE DE CARRERAS IMPARTIDAS POR CENTROS DE EDUCACIÓN SUPERIOR POR REGIÓN, SEGÚN DOMINIO Y SUBDOMINO CULTURAL. 2013/1" xr:uid="{1461B770-2D5C-4ECF-87D0-4269C0E3B144}"/>
  </hyperlinks>
  <pageMargins left="0.7" right="0.7" top="0.75" bottom="0.75" header="0.3" footer="0.3"/>
  <pageSetup paperSize="14" scale="96" orientation="portrait" verticalDpi="599"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0AFAA-7D73-4520-AA24-50E4150DAAF3}">
  <sheetPr codeName="Hoja10"/>
  <dimension ref="A2:N58"/>
  <sheetViews>
    <sheetView workbookViewId="0">
      <selection activeCell="C25" sqref="C25"/>
    </sheetView>
  </sheetViews>
  <sheetFormatPr baseColWidth="10" defaultRowHeight="13.2" x14ac:dyDescent="0.25"/>
  <cols>
    <col min="1" max="1" width="21.33203125" style="79" customWidth="1"/>
    <col min="2" max="16384" width="11.5546875" style="79"/>
  </cols>
  <sheetData>
    <row r="2" spans="1:14" s="62" customFormat="1" ht="17.25" customHeight="1" x14ac:dyDescent="0.2">
      <c r="A2" s="64" t="s">
        <v>130</v>
      </c>
      <c r="B2" s="64"/>
      <c r="C2" s="64"/>
      <c r="D2" s="64"/>
      <c r="E2" s="64"/>
      <c r="F2" s="64"/>
      <c r="H2" s="101"/>
      <c r="I2" s="102"/>
      <c r="J2" s="102"/>
      <c r="K2" s="102"/>
      <c r="L2" s="102"/>
      <c r="M2" s="102"/>
    </row>
    <row r="3" spans="1:14" s="62" customFormat="1" ht="17.25" customHeight="1" x14ac:dyDescent="0.2">
      <c r="A3" s="64"/>
      <c r="B3" s="64"/>
      <c r="C3" s="64"/>
      <c r="D3" s="64"/>
      <c r="E3" s="64"/>
      <c r="F3" s="64"/>
      <c r="H3" s="101"/>
      <c r="I3" s="102"/>
      <c r="J3" s="102"/>
      <c r="K3" s="102"/>
      <c r="L3" s="102"/>
      <c r="M3" s="102"/>
    </row>
    <row r="4" spans="1:14" s="62" customFormat="1" ht="10.199999999999999" x14ac:dyDescent="0.2">
      <c r="A4" s="100"/>
      <c r="B4" s="100"/>
      <c r="C4" s="100"/>
      <c r="D4" s="100"/>
      <c r="E4" s="100"/>
      <c r="F4" s="100"/>
      <c r="I4" s="70"/>
      <c r="J4" s="103"/>
      <c r="K4" s="103"/>
    </row>
    <row r="5" spans="1:14" s="62" customFormat="1" ht="16.5" customHeight="1" x14ac:dyDescent="0.2">
      <c r="A5" s="96" t="s">
        <v>131</v>
      </c>
      <c r="B5" s="82" t="s">
        <v>98</v>
      </c>
      <c r="C5" s="83"/>
      <c r="D5" s="83"/>
      <c r="E5" s="83"/>
      <c r="F5" s="84"/>
      <c r="I5" s="70"/>
      <c r="J5" s="103"/>
      <c r="K5" s="103"/>
    </row>
    <row r="6" spans="1:14" s="62" customFormat="1" ht="16.5" customHeight="1" x14ac:dyDescent="0.2">
      <c r="A6" s="96"/>
      <c r="B6" s="72">
        <v>2009</v>
      </c>
      <c r="C6" s="72">
        <v>2010</v>
      </c>
      <c r="D6" s="72">
        <v>2011</v>
      </c>
      <c r="E6" s="72">
        <v>2012</v>
      </c>
      <c r="F6" s="72">
        <v>2013</v>
      </c>
      <c r="I6" s="70"/>
      <c r="J6" s="103"/>
      <c r="K6" s="103"/>
    </row>
    <row r="7" spans="1:14" s="62" customFormat="1" ht="10.199999999999999" x14ac:dyDescent="0.2">
      <c r="A7" s="87" t="s">
        <v>3</v>
      </c>
      <c r="B7" s="88">
        <f>SUM(B8+B24)</f>
        <v>12584</v>
      </c>
      <c r="C7" s="88">
        <f>SUM(C8+C24)</f>
        <v>12977</v>
      </c>
      <c r="D7" s="88">
        <f>SUM(D8+D24)</f>
        <v>13169</v>
      </c>
      <c r="E7" s="88">
        <f>SUM(E8+E24)</f>
        <v>12259</v>
      </c>
      <c r="F7" s="88">
        <f>SUM(F8+F24)</f>
        <v>13046</v>
      </c>
      <c r="J7" s="104"/>
      <c r="K7" s="104"/>
      <c r="L7" s="104"/>
      <c r="M7" s="104"/>
      <c r="N7" s="104"/>
    </row>
    <row r="8" spans="1:14" s="62" customFormat="1" ht="10.199999999999999" x14ac:dyDescent="0.2">
      <c r="A8" s="87" t="s">
        <v>132</v>
      </c>
      <c r="B8" s="88">
        <f>SUM(B9:B23)</f>
        <v>12009</v>
      </c>
      <c r="C8" s="88">
        <f>SUM(C9:C23)</f>
        <v>12572</v>
      </c>
      <c r="D8" s="88">
        <f>SUM(D9:D23)</f>
        <v>12715</v>
      </c>
      <c r="E8" s="88">
        <f>SUM(E9:E23)</f>
        <v>11807</v>
      </c>
      <c r="F8" s="88">
        <f>SUM(F9:F23)</f>
        <v>12720</v>
      </c>
      <c r="J8" s="104"/>
      <c r="K8" s="104"/>
      <c r="L8" s="104"/>
      <c r="M8" s="104"/>
      <c r="N8" s="104"/>
    </row>
    <row r="9" spans="1:14" s="62" customFormat="1" ht="12" x14ac:dyDescent="0.2">
      <c r="A9" s="105" t="s">
        <v>133</v>
      </c>
      <c r="B9" s="106">
        <v>0</v>
      </c>
      <c r="C9" s="106">
        <v>0</v>
      </c>
      <c r="D9" s="106">
        <v>0</v>
      </c>
      <c r="E9" s="91">
        <v>2</v>
      </c>
      <c r="F9" s="91">
        <v>1</v>
      </c>
      <c r="I9" s="107"/>
      <c r="J9" s="74"/>
      <c r="K9" s="74"/>
      <c r="L9" s="74"/>
      <c r="M9" s="74"/>
      <c r="N9" s="74"/>
    </row>
    <row r="10" spans="1:14" s="62" customFormat="1" ht="10.199999999999999" x14ac:dyDescent="0.2">
      <c r="A10" s="105" t="s">
        <v>5</v>
      </c>
      <c r="B10" s="91">
        <v>150</v>
      </c>
      <c r="C10" s="91">
        <v>150</v>
      </c>
      <c r="D10" s="91">
        <v>160</v>
      </c>
      <c r="E10" s="91">
        <v>150</v>
      </c>
      <c r="F10" s="91">
        <v>98</v>
      </c>
      <c r="I10" s="107"/>
      <c r="J10" s="74"/>
      <c r="K10" s="74"/>
      <c r="L10" s="74"/>
      <c r="M10" s="74"/>
      <c r="N10" s="74"/>
    </row>
    <row r="11" spans="1:14" s="62" customFormat="1" ht="10.199999999999999" x14ac:dyDescent="0.2">
      <c r="A11" s="105" t="s">
        <v>6</v>
      </c>
      <c r="B11" s="91">
        <v>127</v>
      </c>
      <c r="C11" s="91">
        <v>120</v>
      </c>
      <c r="D11" s="91">
        <v>92</v>
      </c>
      <c r="E11" s="91">
        <v>123</v>
      </c>
      <c r="F11" s="91">
        <v>130</v>
      </c>
      <c r="I11" s="107"/>
      <c r="J11" s="74"/>
      <c r="K11" s="74"/>
      <c r="L11" s="74"/>
      <c r="M11" s="74"/>
      <c r="N11" s="74"/>
    </row>
    <row r="12" spans="1:14" s="62" customFormat="1" ht="10.199999999999999" x14ac:dyDescent="0.2">
      <c r="A12" s="105" t="s">
        <v>7</v>
      </c>
      <c r="B12" s="91">
        <v>63</v>
      </c>
      <c r="C12" s="91">
        <v>50</v>
      </c>
      <c r="D12" s="91">
        <v>72</v>
      </c>
      <c r="E12" s="91">
        <v>68</v>
      </c>
      <c r="F12" s="91">
        <v>51</v>
      </c>
      <c r="I12" s="107"/>
      <c r="J12" s="74"/>
      <c r="K12" s="74"/>
      <c r="L12" s="74"/>
      <c r="M12" s="74"/>
      <c r="N12" s="74"/>
    </row>
    <row r="13" spans="1:14" s="62" customFormat="1" ht="10.199999999999999" x14ac:dyDescent="0.2">
      <c r="A13" s="105" t="s">
        <v>8</v>
      </c>
      <c r="B13" s="91">
        <v>162</v>
      </c>
      <c r="C13" s="91">
        <v>192</v>
      </c>
      <c r="D13" s="91">
        <v>196</v>
      </c>
      <c r="E13" s="91">
        <v>209</v>
      </c>
      <c r="F13" s="91">
        <v>137</v>
      </c>
      <c r="I13" s="107"/>
      <c r="J13" s="74"/>
      <c r="K13" s="74"/>
      <c r="L13" s="74"/>
      <c r="M13" s="74"/>
      <c r="N13" s="74"/>
    </row>
    <row r="14" spans="1:14" s="62" customFormat="1" ht="10.199999999999999" x14ac:dyDescent="0.2">
      <c r="A14" s="105" t="s">
        <v>9</v>
      </c>
      <c r="B14" s="91">
        <v>842</v>
      </c>
      <c r="C14" s="91">
        <v>883</v>
      </c>
      <c r="D14" s="91">
        <v>824</v>
      </c>
      <c r="E14" s="91">
        <v>815</v>
      </c>
      <c r="F14" s="91">
        <v>1044</v>
      </c>
      <c r="I14" s="107"/>
      <c r="J14" s="74"/>
      <c r="K14" s="74"/>
      <c r="L14" s="74"/>
      <c r="M14" s="74"/>
      <c r="N14" s="74"/>
    </row>
    <row r="15" spans="1:14" s="62" customFormat="1" ht="10.199999999999999" x14ac:dyDescent="0.2">
      <c r="A15" s="105" t="s">
        <v>10</v>
      </c>
      <c r="B15" s="91">
        <v>9499</v>
      </c>
      <c r="C15" s="91">
        <v>9998</v>
      </c>
      <c r="D15" s="91">
        <v>10139</v>
      </c>
      <c r="E15" s="91">
        <v>9401</v>
      </c>
      <c r="F15" s="91">
        <v>10045</v>
      </c>
      <c r="I15" s="107"/>
      <c r="J15" s="74"/>
      <c r="K15" s="74"/>
      <c r="L15" s="74"/>
      <c r="M15" s="74"/>
      <c r="N15" s="74"/>
    </row>
    <row r="16" spans="1:14" s="62" customFormat="1" ht="10.199999999999999" x14ac:dyDescent="0.2">
      <c r="A16" s="105" t="s">
        <v>134</v>
      </c>
      <c r="B16" s="91">
        <v>141</v>
      </c>
      <c r="C16" s="91">
        <v>140</v>
      </c>
      <c r="D16" s="91">
        <v>122</v>
      </c>
      <c r="E16" s="91">
        <v>115</v>
      </c>
      <c r="F16" s="91">
        <v>122</v>
      </c>
      <c r="I16" s="107"/>
      <c r="J16" s="74"/>
      <c r="K16" s="74"/>
      <c r="L16" s="74"/>
      <c r="M16" s="74"/>
      <c r="N16" s="74"/>
    </row>
    <row r="17" spans="1:14" s="62" customFormat="1" ht="10.199999999999999" x14ac:dyDescent="0.2">
      <c r="A17" s="105" t="s">
        <v>12</v>
      </c>
      <c r="B17" s="91">
        <v>176</v>
      </c>
      <c r="C17" s="91">
        <v>137</v>
      </c>
      <c r="D17" s="91">
        <v>197</v>
      </c>
      <c r="E17" s="91">
        <v>124</v>
      </c>
      <c r="F17" s="91">
        <v>82</v>
      </c>
      <c r="I17" s="107"/>
      <c r="J17" s="74"/>
      <c r="K17" s="74"/>
      <c r="L17" s="74"/>
      <c r="M17" s="74"/>
      <c r="N17" s="74"/>
    </row>
    <row r="18" spans="1:14" s="62" customFormat="1" ht="10.199999999999999" x14ac:dyDescent="0.2">
      <c r="A18" s="105" t="s">
        <v>13</v>
      </c>
      <c r="B18" s="91">
        <v>350</v>
      </c>
      <c r="C18" s="91">
        <v>358</v>
      </c>
      <c r="D18" s="91">
        <v>379</v>
      </c>
      <c r="E18" s="91">
        <v>348</v>
      </c>
      <c r="F18" s="91">
        <v>522</v>
      </c>
      <c r="I18" s="107"/>
      <c r="J18" s="74"/>
      <c r="K18" s="74"/>
      <c r="L18" s="74"/>
      <c r="M18" s="74"/>
      <c r="N18" s="74"/>
    </row>
    <row r="19" spans="1:14" s="62" customFormat="1" ht="10.199999999999999" x14ac:dyDescent="0.2">
      <c r="A19" s="105" t="s">
        <v>47</v>
      </c>
      <c r="B19" s="91">
        <v>178</v>
      </c>
      <c r="C19" s="91">
        <v>155</v>
      </c>
      <c r="D19" s="91">
        <v>138</v>
      </c>
      <c r="E19" s="91">
        <v>165</v>
      </c>
      <c r="F19" s="91">
        <v>253</v>
      </c>
      <c r="I19" s="107"/>
      <c r="J19" s="74"/>
      <c r="K19" s="74"/>
      <c r="L19" s="74"/>
      <c r="M19" s="74"/>
      <c r="N19" s="74"/>
    </row>
    <row r="20" spans="1:14" s="62" customFormat="1" ht="10.199999999999999" x14ac:dyDescent="0.2">
      <c r="A20" s="105" t="s">
        <v>135</v>
      </c>
      <c r="B20" s="91">
        <v>121</v>
      </c>
      <c r="C20" s="91">
        <v>118</v>
      </c>
      <c r="D20" s="91">
        <v>114</v>
      </c>
      <c r="E20" s="91">
        <v>80</v>
      </c>
      <c r="F20" s="91">
        <v>70</v>
      </c>
      <c r="I20" s="107"/>
      <c r="J20" s="74"/>
      <c r="K20" s="74"/>
      <c r="L20" s="74"/>
      <c r="M20" s="74"/>
      <c r="N20" s="74"/>
    </row>
    <row r="21" spans="1:14" s="62" customFormat="1" ht="10.199999999999999" x14ac:dyDescent="0.2">
      <c r="A21" s="105" t="s">
        <v>136</v>
      </c>
      <c r="B21" s="91">
        <v>102</v>
      </c>
      <c r="C21" s="91">
        <v>155</v>
      </c>
      <c r="D21" s="91">
        <v>159</v>
      </c>
      <c r="E21" s="91">
        <v>120</v>
      </c>
      <c r="F21" s="91">
        <v>94</v>
      </c>
      <c r="I21" s="107"/>
      <c r="J21" s="74"/>
      <c r="K21" s="74"/>
      <c r="L21" s="74"/>
      <c r="M21" s="74"/>
      <c r="N21" s="74"/>
    </row>
    <row r="22" spans="1:14" s="62" customFormat="1" ht="10.199999999999999" x14ac:dyDescent="0.2">
      <c r="A22" s="105" t="s">
        <v>17</v>
      </c>
      <c r="B22" s="91">
        <v>15</v>
      </c>
      <c r="C22" s="91">
        <v>27</v>
      </c>
      <c r="D22" s="91">
        <v>29</v>
      </c>
      <c r="E22" s="91">
        <v>13</v>
      </c>
      <c r="F22" s="91">
        <v>15</v>
      </c>
      <c r="I22" s="107"/>
      <c r="J22" s="74"/>
      <c r="K22" s="74"/>
      <c r="L22" s="74"/>
      <c r="M22" s="74"/>
      <c r="N22" s="74"/>
    </row>
    <row r="23" spans="1:14" s="62" customFormat="1" ht="10.199999999999999" x14ac:dyDescent="0.2">
      <c r="A23" s="105" t="s">
        <v>18</v>
      </c>
      <c r="B23" s="91">
        <v>83</v>
      </c>
      <c r="C23" s="91">
        <v>89</v>
      </c>
      <c r="D23" s="91">
        <v>94</v>
      </c>
      <c r="E23" s="91">
        <v>74</v>
      </c>
      <c r="F23" s="91">
        <v>56</v>
      </c>
      <c r="I23" s="107"/>
      <c r="J23" s="74"/>
      <c r="K23" s="74"/>
      <c r="L23" s="74"/>
      <c r="M23" s="74"/>
      <c r="N23" s="74"/>
    </row>
    <row r="24" spans="1:14" s="62" customFormat="1" ht="10.199999999999999" x14ac:dyDescent="0.2">
      <c r="A24" s="87" t="s">
        <v>137</v>
      </c>
      <c r="B24" s="88">
        <f>B25</f>
        <v>575</v>
      </c>
      <c r="C24" s="88">
        <f>C25</f>
        <v>405</v>
      </c>
      <c r="D24" s="88">
        <f>D25</f>
        <v>454</v>
      </c>
      <c r="E24" s="88">
        <f>E25</f>
        <v>452</v>
      </c>
      <c r="F24" s="88">
        <f>F25</f>
        <v>326</v>
      </c>
      <c r="J24" s="104"/>
      <c r="K24" s="104"/>
      <c r="L24" s="104"/>
      <c r="M24" s="104"/>
      <c r="N24" s="104"/>
    </row>
    <row r="25" spans="1:14" s="62" customFormat="1" ht="10.199999999999999" x14ac:dyDescent="0.2">
      <c r="A25" s="62" t="s">
        <v>138</v>
      </c>
      <c r="B25" s="91">
        <v>575</v>
      </c>
      <c r="C25" s="91">
        <v>405</v>
      </c>
      <c r="D25" s="91">
        <v>454</v>
      </c>
      <c r="E25" s="91">
        <v>452</v>
      </c>
      <c r="F25" s="91">
        <v>326</v>
      </c>
      <c r="J25" s="74"/>
      <c r="K25" s="74"/>
      <c r="L25" s="74"/>
      <c r="M25" s="74"/>
      <c r="N25" s="74"/>
    </row>
    <row r="26" spans="1:14" s="62" customFormat="1" ht="6.75" customHeight="1" x14ac:dyDescent="0.2">
      <c r="B26" s="91"/>
      <c r="C26" s="91"/>
      <c r="D26" s="91"/>
      <c r="E26" s="91"/>
      <c r="F26" s="91"/>
      <c r="J26" s="74"/>
      <c r="K26" s="74"/>
      <c r="L26" s="74"/>
      <c r="M26" s="74"/>
      <c r="N26" s="74"/>
    </row>
    <row r="27" spans="1:14" s="62" customFormat="1" ht="31.5" customHeight="1" x14ac:dyDescent="0.2">
      <c r="A27" s="108" t="s">
        <v>139</v>
      </c>
      <c r="B27" s="108"/>
      <c r="C27" s="108"/>
      <c r="D27" s="108"/>
      <c r="E27" s="108"/>
      <c r="F27" s="108"/>
      <c r="I27" s="109"/>
      <c r="J27" s="110"/>
      <c r="K27" s="110"/>
      <c r="L27" s="110"/>
      <c r="M27" s="110"/>
      <c r="N27" s="110"/>
    </row>
    <row r="28" spans="1:14" s="62" customFormat="1" ht="11.4" x14ac:dyDescent="0.2">
      <c r="A28" s="111" t="s">
        <v>140</v>
      </c>
      <c r="B28" s="111"/>
      <c r="C28" s="111"/>
      <c r="D28" s="111"/>
      <c r="E28" s="111"/>
      <c r="F28" s="111"/>
      <c r="I28" s="109"/>
      <c r="J28" s="110"/>
      <c r="K28" s="110"/>
      <c r="L28" s="110"/>
      <c r="M28" s="110"/>
      <c r="N28" s="110"/>
    </row>
    <row r="29" spans="1:14" s="62" customFormat="1" ht="24.75" customHeight="1" x14ac:dyDescent="0.2">
      <c r="A29" s="77" t="s">
        <v>102</v>
      </c>
      <c r="B29" s="77"/>
      <c r="C29" s="77"/>
      <c r="D29" s="77"/>
      <c r="E29" s="77"/>
      <c r="F29" s="77"/>
    </row>
    <row r="30" spans="1:14" s="62" customFormat="1" ht="10.199999999999999" x14ac:dyDescent="0.2"/>
    <row r="31" spans="1:14" s="62" customFormat="1" ht="10.199999999999999" x14ac:dyDescent="0.2"/>
    <row r="32" spans="1:14" s="62" customFormat="1" ht="10.199999999999999" x14ac:dyDescent="0.2"/>
    <row r="33" spans="1:1" s="62" customFormat="1" ht="10.199999999999999" x14ac:dyDescent="0.2"/>
    <row r="34" spans="1:1" s="62" customFormat="1" ht="10.199999999999999" x14ac:dyDescent="0.2"/>
    <row r="35" spans="1:1" s="62" customFormat="1" ht="10.199999999999999" x14ac:dyDescent="0.2"/>
    <row r="36" spans="1:1" s="62" customFormat="1" ht="10.199999999999999" x14ac:dyDescent="0.2"/>
    <row r="37" spans="1:1" s="62" customFormat="1" ht="10.199999999999999" x14ac:dyDescent="0.2"/>
    <row r="38" spans="1:1" s="62" customFormat="1" ht="10.199999999999999" x14ac:dyDescent="0.2"/>
    <row r="39" spans="1:1" s="62" customFormat="1" ht="10.199999999999999" x14ac:dyDescent="0.2"/>
    <row r="40" spans="1:1" s="62" customFormat="1" ht="10.199999999999999" x14ac:dyDescent="0.2"/>
    <row r="41" spans="1:1" s="62" customFormat="1" ht="10.199999999999999" x14ac:dyDescent="0.2"/>
    <row r="42" spans="1:1" s="62" customFormat="1" ht="10.199999999999999" x14ac:dyDescent="0.2"/>
    <row r="43" spans="1:1" s="62" customFormat="1" ht="10.199999999999999" x14ac:dyDescent="0.2">
      <c r="A43" s="78"/>
    </row>
    <row r="44" spans="1:1" s="62" customFormat="1" ht="10.199999999999999" x14ac:dyDescent="0.2">
      <c r="A44" s="78"/>
    </row>
    <row r="45" spans="1:1" s="62" customFormat="1" ht="10.199999999999999" x14ac:dyDescent="0.2">
      <c r="A45" s="78"/>
    </row>
    <row r="46" spans="1:1" s="62" customFormat="1" ht="10.199999999999999" x14ac:dyDescent="0.2">
      <c r="A46" s="78"/>
    </row>
    <row r="47" spans="1:1" s="62" customFormat="1" ht="10.199999999999999" x14ac:dyDescent="0.2">
      <c r="A47" s="78"/>
    </row>
    <row r="48" spans="1:1" s="62" customFormat="1" ht="10.199999999999999" x14ac:dyDescent="0.2">
      <c r="A48" s="78"/>
    </row>
    <row r="49" spans="1:1" s="62" customFormat="1" ht="10.199999999999999" x14ac:dyDescent="0.2">
      <c r="A49" s="78"/>
    </row>
    <row r="50" spans="1:1" s="62" customFormat="1" ht="10.199999999999999" x14ac:dyDescent="0.2">
      <c r="A50" s="78"/>
    </row>
    <row r="51" spans="1:1" s="62" customFormat="1" ht="10.199999999999999" x14ac:dyDescent="0.2"/>
    <row r="52" spans="1:1" x14ac:dyDescent="0.25">
      <c r="A52" s="93"/>
    </row>
    <row r="53" spans="1:1" x14ac:dyDescent="0.25">
      <c r="A53" s="93"/>
    </row>
    <row r="54" spans="1:1" x14ac:dyDescent="0.25">
      <c r="A54" s="93"/>
    </row>
    <row r="55" spans="1:1" x14ac:dyDescent="0.25">
      <c r="A55" s="93"/>
    </row>
    <row r="56" spans="1:1" x14ac:dyDescent="0.25">
      <c r="A56" s="93"/>
    </row>
    <row r="57" spans="1:1" x14ac:dyDescent="0.25">
      <c r="A57" s="93"/>
    </row>
    <row r="58" spans="1:1" x14ac:dyDescent="0.25">
      <c r="A58" s="93"/>
    </row>
  </sheetData>
  <mergeCells count="6">
    <mergeCell ref="A2:F3"/>
    <mergeCell ref="A5:A6"/>
    <mergeCell ref="B5:F5"/>
    <mergeCell ref="A27:F27"/>
    <mergeCell ref="A28:F28"/>
    <mergeCell ref="A29:F29"/>
  </mergeCells>
  <pageMargins left="0.7" right="0.7" top="0.75" bottom="0.75" header="0.3" footer="0.3"/>
  <pageSetup paperSize="14" orientation="portrait" verticalDpi="599"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AAD68-9593-4EBA-942E-76EA810905C6}">
  <sheetPr codeName="Hoja100"/>
  <dimension ref="A2:G12"/>
  <sheetViews>
    <sheetView workbookViewId="0">
      <selection activeCell="D4" sqref="D4"/>
    </sheetView>
  </sheetViews>
  <sheetFormatPr baseColWidth="10" defaultColWidth="11.44140625" defaultRowHeight="10.199999999999999" x14ac:dyDescent="0.2"/>
  <cols>
    <col min="1" max="1" width="15.6640625" style="2" customWidth="1"/>
    <col min="2" max="2" width="13" style="2" bestFit="1" customWidth="1"/>
    <col min="3" max="3" width="11.44140625" style="2"/>
    <col min="4" max="4" width="21.33203125" style="2" customWidth="1"/>
    <col min="5" max="5" width="11.44140625" style="2"/>
    <col min="6" max="6" width="11.88671875" style="2" bestFit="1" customWidth="1"/>
    <col min="7" max="16384" width="11.44140625" style="2"/>
  </cols>
  <sheetData>
    <row r="2" spans="1:7" s="624" customFormat="1" ht="34.5" customHeight="1" x14ac:dyDescent="0.2">
      <c r="A2" s="45" t="s">
        <v>1101</v>
      </c>
      <c r="B2" s="45"/>
      <c r="C2" s="45"/>
      <c r="D2" s="45"/>
      <c r="E2" s="45"/>
      <c r="F2" s="45"/>
      <c r="G2" s="45"/>
    </row>
    <row r="4" spans="1:7" ht="38.25" customHeight="1" x14ac:dyDescent="0.2">
      <c r="A4" s="298" t="s">
        <v>1639</v>
      </c>
      <c r="B4" s="298" t="s">
        <v>42</v>
      </c>
      <c r="C4" s="298"/>
      <c r="D4" s="298" t="s">
        <v>1640</v>
      </c>
      <c r="E4" s="298"/>
      <c r="F4" s="298" t="s">
        <v>1641</v>
      </c>
      <c r="G4" s="298"/>
    </row>
    <row r="5" spans="1:7" ht="19.5" customHeight="1" x14ac:dyDescent="0.2">
      <c r="A5" s="298"/>
      <c r="B5" s="644" t="s">
        <v>1642</v>
      </c>
      <c r="C5" s="644" t="s">
        <v>1643</v>
      </c>
      <c r="D5" s="644" t="s">
        <v>1642</v>
      </c>
      <c r="E5" s="644" t="s">
        <v>1643</v>
      </c>
      <c r="F5" s="644" t="s">
        <v>1642</v>
      </c>
      <c r="G5" s="644" t="s">
        <v>1643</v>
      </c>
    </row>
    <row r="6" spans="1:7" s="24" customFormat="1" ht="15.75" customHeight="1" x14ac:dyDescent="0.2">
      <c r="A6" s="24" t="s">
        <v>3</v>
      </c>
      <c r="B6" s="622">
        <f t="shared" ref="B6:G6" si="0">SUM(B7:B8)</f>
        <v>11438951</v>
      </c>
      <c r="C6" s="673">
        <f>SUM(C7:C8)</f>
        <v>1</v>
      </c>
      <c r="D6" s="622">
        <f t="shared" si="0"/>
        <v>4548232</v>
      </c>
      <c r="E6" s="673">
        <f t="shared" si="0"/>
        <v>1</v>
      </c>
      <c r="F6" s="622">
        <f t="shared" si="0"/>
        <v>6756317</v>
      </c>
      <c r="G6" s="673">
        <f t="shared" si="0"/>
        <v>1</v>
      </c>
    </row>
    <row r="7" spans="1:7" ht="16.5" customHeight="1" x14ac:dyDescent="0.2">
      <c r="A7" s="2" t="s">
        <v>1644</v>
      </c>
      <c r="B7" s="315">
        <v>8471915</v>
      </c>
      <c r="C7" s="674">
        <f>B7/B6</f>
        <v>0.74061992222888273</v>
      </c>
      <c r="D7" s="315">
        <v>4548232</v>
      </c>
      <c r="E7" s="674">
        <f>D7/D6</f>
        <v>1</v>
      </c>
      <c r="F7" s="315">
        <v>3789281</v>
      </c>
      <c r="G7" s="674">
        <f>F7/F6</f>
        <v>0.56085009036728151</v>
      </c>
    </row>
    <row r="8" spans="1:7" ht="15.75" customHeight="1" x14ac:dyDescent="0.2">
      <c r="A8" s="2" t="s">
        <v>1645</v>
      </c>
      <c r="B8" s="315">
        <v>2967036</v>
      </c>
      <c r="C8" s="674">
        <f>B8/B6</f>
        <v>0.25938007777111732</v>
      </c>
      <c r="D8" s="626" t="s">
        <v>193</v>
      </c>
      <c r="E8" s="626" t="s">
        <v>193</v>
      </c>
      <c r="F8" s="315">
        <v>2967036</v>
      </c>
      <c r="G8" s="674">
        <f>F8/F6</f>
        <v>0.43914990963271855</v>
      </c>
    </row>
    <row r="9" spans="1:7" ht="15" customHeight="1" x14ac:dyDescent="0.2"/>
    <row r="10" spans="1:7" ht="36" customHeight="1" x14ac:dyDescent="0.2">
      <c r="A10" s="639" t="s">
        <v>1646</v>
      </c>
      <c r="B10" s="639"/>
      <c r="C10" s="639"/>
      <c r="D10" s="639"/>
      <c r="E10" s="639"/>
      <c r="F10" s="639"/>
      <c r="G10" s="639"/>
    </row>
    <row r="11" spans="1:7" x14ac:dyDescent="0.2">
      <c r="A11" s="2" t="s">
        <v>198</v>
      </c>
      <c r="B11" s="309"/>
      <c r="C11" s="309"/>
      <c r="D11" s="309"/>
      <c r="E11" s="309"/>
      <c r="F11" s="309"/>
      <c r="G11" s="309"/>
    </row>
    <row r="12" spans="1:7" x14ac:dyDescent="0.2">
      <c r="A12" s="623" t="s">
        <v>1412</v>
      </c>
      <c r="B12" s="623"/>
      <c r="C12" s="623"/>
      <c r="D12" s="623"/>
      <c r="E12" s="623"/>
      <c r="F12" s="623"/>
      <c r="G12" s="623"/>
    </row>
  </sheetData>
  <mergeCells count="7">
    <mergeCell ref="A12:G12"/>
    <mergeCell ref="A2:G2"/>
    <mergeCell ref="A4:A5"/>
    <mergeCell ref="B4:C4"/>
    <mergeCell ref="D4:E4"/>
    <mergeCell ref="F4:G4"/>
    <mergeCell ref="A10:G10"/>
  </mergeCells>
  <pageMargins left="0.70866141732283472" right="0.70866141732283472" top="0.74803149606299213" bottom="0.74803149606299213" header="0.31496062992125984" footer="0.31496062992125984"/>
  <pageSetup paperSize="14" orientation="landscape"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19A14-15E1-41B7-B5CE-C2A45E8DA53A}">
  <sheetPr codeName="Hoja101"/>
  <dimension ref="A2:H17"/>
  <sheetViews>
    <sheetView workbookViewId="0">
      <selection activeCell="D4" sqref="D4"/>
    </sheetView>
  </sheetViews>
  <sheetFormatPr baseColWidth="10" defaultColWidth="11.44140625" defaultRowHeight="10.199999999999999" x14ac:dyDescent="0.2"/>
  <cols>
    <col min="1" max="1" width="22" style="2" customWidth="1"/>
    <col min="2" max="2" width="30.33203125" style="2" customWidth="1"/>
    <col min="3" max="3" width="11.44140625" style="2"/>
    <col min="4" max="4" width="12.88671875" style="2" customWidth="1"/>
    <col min="5" max="16384" width="11.44140625" style="2"/>
  </cols>
  <sheetData>
    <row r="2" spans="1:8" s="624" customFormat="1" ht="36.75" customHeight="1" x14ac:dyDescent="0.2">
      <c r="A2" s="45" t="s">
        <v>1102</v>
      </c>
      <c r="B2" s="45"/>
      <c r="C2" s="45"/>
      <c r="D2" s="45"/>
      <c r="E2" s="45"/>
    </row>
    <row r="4" spans="1:8" ht="28.5" customHeight="1" x14ac:dyDescent="0.2">
      <c r="A4" s="644" t="s">
        <v>0</v>
      </c>
      <c r="B4" s="644" t="s">
        <v>1647</v>
      </c>
      <c r="C4" s="644" t="s">
        <v>1648</v>
      </c>
      <c r="D4" s="644" t="s">
        <v>1649</v>
      </c>
      <c r="E4" s="644" t="s">
        <v>1650</v>
      </c>
    </row>
    <row r="5" spans="1:8" x14ac:dyDescent="0.2">
      <c r="A5" s="2" t="s">
        <v>4</v>
      </c>
      <c r="B5" s="2" t="s">
        <v>1425</v>
      </c>
      <c r="C5" s="2">
        <v>1981</v>
      </c>
      <c r="D5" s="646" t="s">
        <v>193</v>
      </c>
      <c r="E5" s="315">
        <v>358312</v>
      </c>
    </row>
    <row r="6" spans="1:8" x14ac:dyDescent="0.2">
      <c r="A6" s="2" t="s">
        <v>8</v>
      </c>
      <c r="B6" s="2" t="s">
        <v>1443</v>
      </c>
      <c r="C6" s="2">
        <v>1977</v>
      </c>
      <c r="D6" s="646">
        <v>2012</v>
      </c>
      <c r="E6" s="315">
        <v>134311</v>
      </c>
    </row>
    <row r="7" spans="1:8" x14ac:dyDescent="0.2">
      <c r="A7" s="623" t="s">
        <v>9</v>
      </c>
      <c r="B7" s="2" t="s">
        <v>1651</v>
      </c>
      <c r="C7" s="2">
        <v>1984</v>
      </c>
      <c r="D7" s="646">
        <v>2009</v>
      </c>
      <c r="E7" s="315">
        <v>238216</v>
      </c>
    </row>
    <row r="8" spans="1:8" x14ac:dyDescent="0.2">
      <c r="A8" s="623"/>
      <c r="B8" s="2" t="s">
        <v>1652</v>
      </c>
      <c r="C8" s="2">
        <v>1977</v>
      </c>
      <c r="D8" s="646" t="s">
        <v>193</v>
      </c>
      <c r="E8" s="315">
        <v>9967</v>
      </c>
      <c r="H8" s="2" t="s">
        <v>48</v>
      </c>
    </row>
    <row r="9" spans="1:8" x14ac:dyDescent="0.2">
      <c r="A9" s="2" t="s">
        <v>13</v>
      </c>
      <c r="B9" s="2" t="s">
        <v>1653</v>
      </c>
      <c r="C9" s="2">
        <v>2011</v>
      </c>
      <c r="D9" s="646" t="s">
        <v>193</v>
      </c>
      <c r="E9" s="315">
        <v>565807</v>
      </c>
    </row>
    <row r="10" spans="1:8" x14ac:dyDescent="0.2">
      <c r="A10" s="2" t="s">
        <v>47</v>
      </c>
      <c r="B10" s="2" t="s">
        <v>1654</v>
      </c>
      <c r="C10" s="2">
        <v>1983</v>
      </c>
      <c r="D10" s="646">
        <v>2010</v>
      </c>
      <c r="E10" s="315">
        <v>1142850</v>
      </c>
    </row>
    <row r="11" spans="1:8" x14ac:dyDescent="0.2">
      <c r="A11" s="2" t="s">
        <v>16</v>
      </c>
      <c r="B11" s="2" t="s">
        <v>1655</v>
      </c>
      <c r="C11" s="2">
        <v>2007</v>
      </c>
      <c r="D11" s="646" t="s">
        <v>193</v>
      </c>
      <c r="E11" s="315">
        <v>2168956</v>
      </c>
    </row>
    <row r="12" spans="1:8" x14ac:dyDescent="0.2">
      <c r="A12" s="2" t="s">
        <v>17</v>
      </c>
      <c r="B12" s="2" t="s">
        <v>1499</v>
      </c>
      <c r="C12" s="2">
        <v>1979</v>
      </c>
      <c r="D12" s="646" t="s">
        <v>193</v>
      </c>
      <c r="E12" s="315">
        <v>1742000</v>
      </c>
    </row>
    <row r="13" spans="1:8" x14ac:dyDescent="0.2">
      <c r="A13" s="2" t="s">
        <v>18</v>
      </c>
      <c r="B13" s="2" t="s">
        <v>1656</v>
      </c>
      <c r="C13" s="2">
        <v>1978</v>
      </c>
      <c r="D13" s="646" t="s">
        <v>193</v>
      </c>
      <c r="E13" s="315">
        <v>184414</v>
      </c>
    </row>
    <row r="14" spans="1:8" x14ac:dyDescent="0.2">
      <c r="A14" s="2" t="s">
        <v>18</v>
      </c>
      <c r="B14" s="2" t="s">
        <v>1657</v>
      </c>
      <c r="C14" s="2">
        <v>2005</v>
      </c>
      <c r="D14" s="646" t="s">
        <v>193</v>
      </c>
      <c r="E14" s="315">
        <v>4884273</v>
      </c>
    </row>
    <row r="15" spans="1:8" x14ac:dyDescent="0.2">
      <c r="A15" s="623"/>
      <c r="B15" s="623"/>
      <c r="C15" s="623"/>
      <c r="D15" s="623"/>
    </row>
    <row r="16" spans="1:8" ht="12.75" customHeight="1" x14ac:dyDescent="0.2">
      <c r="A16" s="623" t="s">
        <v>1658</v>
      </c>
      <c r="B16" s="623"/>
      <c r="C16" s="623"/>
      <c r="D16" s="623"/>
      <c r="E16" s="623"/>
      <c r="F16" s="623"/>
    </row>
    <row r="17" spans="1:5" x14ac:dyDescent="0.2">
      <c r="A17" s="623" t="s">
        <v>1412</v>
      </c>
      <c r="B17" s="623"/>
      <c r="C17" s="623"/>
      <c r="D17" s="623"/>
      <c r="E17" s="623"/>
    </row>
  </sheetData>
  <mergeCells count="5">
    <mergeCell ref="A2:E2"/>
    <mergeCell ref="A7:A8"/>
    <mergeCell ref="A15:D15"/>
    <mergeCell ref="A16:F16"/>
    <mergeCell ref="A17:E17"/>
  </mergeCells>
  <pageMargins left="0.70866141732283472" right="0.70866141732283472" top="0.74803149606299213" bottom="0.74803149606299213" header="0.31496062992125984" footer="0.31496062992125984"/>
  <pageSetup paperSize="14" orientation="landscape"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898ED-D1B4-4F07-B82B-5C38D9D46E8C}">
  <sheetPr codeName="Hoja102"/>
  <dimension ref="A2:G19"/>
  <sheetViews>
    <sheetView workbookViewId="0">
      <selection activeCell="D4" sqref="D4"/>
    </sheetView>
  </sheetViews>
  <sheetFormatPr baseColWidth="10" defaultColWidth="11.44140625" defaultRowHeight="10.199999999999999" x14ac:dyDescent="0.2"/>
  <cols>
    <col min="1" max="1" width="18" style="2" customWidth="1"/>
    <col min="2" max="2" width="42.6640625" style="2" customWidth="1"/>
    <col min="3" max="4" width="17.33203125" style="2" customWidth="1"/>
    <col min="5" max="5" width="26.44140625" style="2" bestFit="1" customWidth="1"/>
    <col min="6" max="6" width="19.88671875" style="2" customWidth="1"/>
    <col min="7" max="7" width="15.33203125" style="2" customWidth="1"/>
    <col min="8" max="16384" width="11.44140625" style="2"/>
  </cols>
  <sheetData>
    <row r="2" spans="1:7" s="624" customFormat="1" ht="23.25" customHeight="1" x14ac:dyDescent="0.2">
      <c r="A2" s="45" t="s">
        <v>1103</v>
      </c>
      <c r="B2" s="45"/>
      <c r="C2" s="45"/>
      <c r="D2" s="45"/>
      <c r="E2" s="45"/>
      <c r="F2" s="45"/>
      <c r="G2" s="45"/>
    </row>
    <row r="4" spans="1:7" ht="18" customHeight="1" x14ac:dyDescent="0.2">
      <c r="A4" s="323" t="s">
        <v>0</v>
      </c>
      <c r="B4" s="323" t="s">
        <v>1640</v>
      </c>
      <c r="C4" s="323"/>
      <c r="D4" s="323"/>
      <c r="E4" s="323" t="s">
        <v>1641</v>
      </c>
      <c r="F4" s="323"/>
      <c r="G4" s="323"/>
    </row>
    <row r="5" spans="1:7" ht="18.75" customHeight="1" x14ac:dyDescent="0.2">
      <c r="A5" s="323"/>
      <c r="B5" s="621" t="s">
        <v>1659</v>
      </c>
      <c r="C5" s="621" t="s">
        <v>1648</v>
      </c>
      <c r="D5" s="621" t="s">
        <v>1660</v>
      </c>
      <c r="E5" s="621" t="s">
        <v>1661</v>
      </c>
      <c r="F5" s="621" t="s">
        <v>1648</v>
      </c>
      <c r="G5" s="621" t="s">
        <v>1660</v>
      </c>
    </row>
    <row r="6" spans="1:7" x14ac:dyDescent="0.2">
      <c r="A6" s="2" t="s">
        <v>4</v>
      </c>
      <c r="B6" s="665" t="s">
        <v>1613</v>
      </c>
      <c r="C6" s="665">
        <v>1996</v>
      </c>
      <c r="D6" s="650">
        <v>15858</v>
      </c>
      <c r="E6" s="665" t="s">
        <v>1224</v>
      </c>
      <c r="F6" s="665" t="s">
        <v>1224</v>
      </c>
      <c r="G6" s="650" t="s">
        <v>1224</v>
      </c>
    </row>
    <row r="7" spans="1:7" x14ac:dyDescent="0.2">
      <c r="A7" s="2" t="s">
        <v>5</v>
      </c>
      <c r="B7" s="665" t="s">
        <v>1428</v>
      </c>
      <c r="C7" s="665">
        <v>1996</v>
      </c>
      <c r="D7" s="650">
        <v>6000</v>
      </c>
      <c r="E7" s="665" t="s">
        <v>1224</v>
      </c>
      <c r="F7" s="665" t="s">
        <v>1224</v>
      </c>
      <c r="G7" s="650" t="s">
        <v>1224</v>
      </c>
    </row>
    <row r="8" spans="1:7" x14ac:dyDescent="0.2">
      <c r="A8" s="2" t="s">
        <v>6</v>
      </c>
      <c r="B8" s="665" t="s">
        <v>1662</v>
      </c>
      <c r="C8" s="665">
        <v>1996</v>
      </c>
      <c r="D8" s="650">
        <v>96439</v>
      </c>
      <c r="E8" s="665" t="s">
        <v>1663</v>
      </c>
      <c r="F8" s="665">
        <v>1996</v>
      </c>
      <c r="G8" s="650">
        <v>67133</v>
      </c>
    </row>
    <row r="9" spans="1:7" x14ac:dyDescent="0.2">
      <c r="A9" s="2" t="s">
        <v>6</v>
      </c>
      <c r="B9" s="665" t="s">
        <v>1664</v>
      </c>
      <c r="C9" s="665">
        <v>2009</v>
      </c>
      <c r="D9" s="650">
        <v>17397</v>
      </c>
      <c r="E9" s="665" t="s">
        <v>1665</v>
      </c>
      <c r="F9" s="665">
        <v>2009</v>
      </c>
      <c r="G9" s="650">
        <v>15529</v>
      </c>
    </row>
    <row r="10" spans="1:7" x14ac:dyDescent="0.2">
      <c r="A10" s="2" t="s">
        <v>7</v>
      </c>
      <c r="B10" s="665" t="s">
        <v>1666</v>
      </c>
      <c r="C10" s="665">
        <v>1996</v>
      </c>
      <c r="D10" s="650">
        <v>62460</v>
      </c>
      <c r="E10" s="665" t="s">
        <v>1224</v>
      </c>
      <c r="F10" s="665" t="s">
        <v>1224</v>
      </c>
      <c r="G10" s="650" t="s">
        <v>1224</v>
      </c>
    </row>
    <row r="11" spans="1:7" x14ac:dyDescent="0.2">
      <c r="A11" s="2" t="s">
        <v>8</v>
      </c>
      <c r="B11" s="665" t="s">
        <v>1224</v>
      </c>
      <c r="C11" s="665" t="s">
        <v>1224</v>
      </c>
      <c r="D11" s="650" t="s">
        <v>1224</v>
      </c>
      <c r="E11" s="665" t="s">
        <v>1667</v>
      </c>
      <c r="F11" s="665">
        <v>2004</v>
      </c>
      <c r="G11" s="650">
        <v>34</v>
      </c>
    </row>
    <row r="12" spans="1:7" x14ac:dyDescent="0.2">
      <c r="A12" s="2" t="s">
        <v>9</v>
      </c>
      <c r="B12" s="665" t="s">
        <v>1533</v>
      </c>
      <c r="C12" s="665">
        <v>1996</v>
      </c>
      <c r="D12" s="650">
        <v>520</v>
      </c>
      <c r="E12" s="665" t="s">
        <v>1668</v>
      </c>
      <c r="F12" s="665">
        <v>2010</v>
      </c>
      <c r="G12" s="650">
        <v>13796</v>
      </c>
    </row>
    <row r="13" spans="1:7" x14ac:dyDescent="0.2">
      <c r="A13" s="2" t="s">
        <v>15</v>
      </c>
      <c r="B13" s="665" t="s">
        <v>1224</v>
      </c>
      <c r="C13" s="665" t="s">
        <v>1224</v>
      </c>
      <c r="D13" s="650" t="s">
        <v>1224</v>
      </c>
      <c r="E13" s="665" t="s">
        <v>1669</v>
      </c>
      <c r="F13" s="665">
        <v>1981</v>
      </c>
      <c r="G13" s="650">
        <v>4877</v>
      </c>
    </row>
    <row r="14" spans="1:7" x14ac:dyDescent="0.2">
      <c r="A14" s="2" t="s">
        <v>18</v>
      </c>
      <c r="B14" s="665" t="s">
        <v>1224</v>
      </c>
      <c r="C14" s="665" t="s">
        <v>1224</v>
      </c>
      <c r="D14" s="650" t="s">
        <v>1224</v>
      </c>
      <c r="E14" s="665" t="s">
        <v>1670</v>
      </c>
      <c r="F14" s="665">
        <v>2004</v>
      </c>
      <c r="G14" s="650">
        <v>58956</v>
      </c>
    </row>
    <row r="16" spans="1:7" ht="35.25" customHeight="1" x14ac:dyDescent="0.2">
      <c r="A16" s="639" t="s">
        <v>1671</v>
      </c>
      <c r="B16" s="639"/>
      <c r="C16" s="639"/>
      <c r="D16" s="639"/>
      <c r="E16" s="639"/>
      <c r="F16" s="639"/>
      <c r="G16" s="639"/>
    </row>
    <row r="17" spans="1:7" ht="13.5" customHeight="1" x14ac:dyDescent="0.2">
      <c r="A17" s="623" t="s">
        <v>19</v>
      </c>
      <c r="B17" s="623"/>
      <c r="C17" s="623"/>
      <c r="D17" s="623"/>
      <c r="E17" s="623"/>
      <c r="F17" s="623"/>
      <c r="G17" s="623"/>
    </row>
    <row r="18" spans="1:7" x14ac:dyDescent="0.2">
      <c r="A18" s="623" t="s">
        <v>1412</v>
      </c>
      <c r="B18" s="623"/>
      <c r="C18" s="623"/>
      <c r="D18" s="623"/>
      <c r="E18" s="623"/>
      <c r="F18" s="623"/>
      <c r="G18" s="623"/>
    </row>
    <row r="19" spans="1:7" ht="23.25" customHeight="1" x14ac:dyDescent="0.2"/>
  </sheetData>
  <mergeCells count="7">
    <mergeCell ref="A18:G18"/>
    <mergeCell ref="A2:G2"/>
    <mergeCell ref="A4:A5"/>
    <mergeCell ref="B4:D4"/>
    <mergeCell ref="E4:G4"/>
    <mergeCell ref="A16:G16"/>
    <mergeCell ref="A17:G17"/>
  </mergeCells>
  <pageMargins left="0.70866141732283472" right="0.70866141732283472" top="0.74803149606299213" bottom="0.74803149606299213" header="0.31496062992125984" footer="0.31496062992125984"/>
  <pageSetup paperSize="14" scale="80" orientation="landscape"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4BB6B6-85D1-47B8-8F8A-AA359EDD3623}">
  <sheetPr codeName="Hoja103"/>
  <dimension ref="A1:D20"/>
  <sheetViews>
    <sheetView zoomScale="110" zoomScaleNormal="110" workbookViewId="0">
      <selection activeCell="D4" sqref="D4"/>
    </sheetView>
  </sheetViews>
  <sheetFormatPr baseColWidth="10" defaultColWidth="11.44140625" defaultRowHeight="10.199999999999999" x14ac:dyDescent="0.2"/>
  <cols>
    <col min="1" max="3" width="23.88671875" style="2" customWidth="1"/>
    <col min="4" max="4" width="48.109375" style="2" customWidth="1"/>
    <col min="5" max="16384" width="11.44140625" style="2"/>
  </cols>
  <sheetData>
    <row r="1" spans="1:4" ht="17.25" customHeight="1" x14ac:dyDescent="0.2"/>
    <row r="2" spans="1:4" s="624" customFormat="1" ht="24" customHeight="1" x14ac:dyDescent="0.2">
      <c r="A2" s="45" t="s">
        <v>1104</v>
      </c>
      <c r="B2" s="45"/>
      <c r="C2" s="45"/>
      <c r="D2" s="45"/>
    </row>
    <row r="4" spans="1:4" ht="33.75" customHeight="1" x14ac:dyDescent="0.2">
      <c r="A4" s="644" t="s">
        <v>1672</v>
      </c>
      <c r="B4" s="644" t="s">
        <v>1673</v>
      </c>
      <c r="C4" s="644" t="s">
        <v>1674</v>
      </c>
      <c r="D4" s="644" t="s">
        <v>1675</v>
      </c>
    </row>
    <row r="5" spans="1:4" x14ac:dyDescent="0.2">
      <c r="A5" s="2" t="s">
        <v>4</v>
      </c>
      <c r="B5" s="2" t="s">
        <v>1676</v>
      </c>
      <c r="C5" s="665">
        <v>2007</v>
      </c>
      <c r="D5" s="2" t="s">
        <v>1677</v>
      </c>
    </row>
    <row r="6" spans="1:4" x14ac:dyDescent="0.2">
      <c r="A6" s="2" t="s">
        <v>5</v>
      </c>
      <c r="B6" s="2" t="s">
        <v>1678</v>
      </c>
      <c r="C6" s="665">
        <v>2005</v>
      </c>
      <c r="D6" s="2" t="s">
        <v>1679</v>
      </c>
    </row>
    <row r="7" spans="1:4" x14ac:dyDescent="0.2">
      <c r="A7" s="2" t="s">
        <v>9</v>
      </c>
      <c r="B7" s="2" t="s">
        <v>1680</v>
      </c>
      <c r="C7" s="665">
        <v>2005</v>
      </c>
      <c r="D7" s="2" t="s">
        <v>1681</v>
      </c>
    </row>
    <row r="8" spans="1:4" x14ac:dyDescent="0.2">
      <c r="A8" s="2" t="s">
        <v>9</v>
      </c>
      <c r="B8" s="2" t="s">
        <v>1682</v>
      </c>
      <c r="C8" s="665">
        <v>2010</v>
      </c>
      <c r="D8" s="2" t="s">
        <v>1683</v>
      </c>
    </row>
    <row r="9" spans="1:4" x14ac:dyDescent="0.2">
      <c r="A9" s="2" t="s">
        <v>1684</v>
      </c>
      <c r="B9" s="2" t="s">
        <v>1685</v>
      </c>
      <c r="C9" s="665">
        <v>2011</v>
      </c>
      <c r="D9" s="2" t="s">
        <v>1686</v>
      </c>
    </row>
    <row r="10" spans="1:4" x14ac:dyDescent="0.2">
      <c r="A10" s="2" t="s">
        <v>1687</v>
      </c>
      <c r="B10" s="2" t="s">
        <v>1688</v>
      </c>
      <c r="C10" s="665">
        <v>2008</v>
      </c>
      <c r="D10" s="2" t="s">
        <v>1689</v>
      </c>
    </row>
    <row r="11" spans="1:4" x14ac:dyDescent="0.2">
      <c r="A11" s="2" t="s">
        <v>12</v>
      </c>
      <c r="B11" s="2" t="s">
        <v>1690</v>
      </c>
      <c r="C11" s="665">
        <v>2003</v>
      </c>
      <c r="D11" s="2" t="s">
        <v>1691</v>
      </c>
    </row>
    <row r="12" spans="1:4" x14ac:dyDescent="0.2">
      <c r="A12" s="2" t="s">
        <v>12</v>
      </c>
      <c r="B12" s="2" t="s">
        <v>1692</v>
      </c>
      <c r="C12" s="665">
        <v>2006</v>
      </c>
      <c r="D12" s="2" t="s">
        <v>1693</v>
      </c>
    </row>
    <row r="13" spans="1:4" x14ac:dyDescent="0.2">
      <c r="A13" s="2" t="s">
        <v>12</v>
      </c>
      <c r="B13" s="2" t="s">
        <v>1694</v>
      </c>
      <c r="C13" s="665">
        <v>2011</v>
      </c>
      <c r="D13" s="2" t="s">
        <v>1695</v>
      </c>
    </row>
    <row r="14" spans="1:4" x14ac:dyDescent="0.2">
      <c r="A14" s="2" t="s">
        <v>13</v>
      </c>
      <c r="B14" s="2" t="s">
        <v>1696</v>
      </c>
      <c r="C14" s="665">
        <v>2004</v>
      </c>
      <c r="D14" s="2" t="s">
        <v>1691</v>
      </c>
    </row>
    <row r="15" spans="1:4" x14ac:dyDescent="0.2">
      <c r="A15" s="2" t="s">
        <v>14</v>
      </c>
      <c r="B15" s="2" t="s">
        <v>1697</v>
      </c>
      <c r="C15" s="665">
        <v>2006</v>
      </c>
      <c r="D15" s="2" t="s">
        <v>1693</v>
      </c>
    </row>
    <row r="16" spans="1:4" x14ac:dyDescent="0.2">
      <c r="A16" s="2" t="s">
        <v>14</v>
      </c>
      <c r="B16" s="2" t="s">
        <v>1698</v>
      </c>
      <c r="C16" s="665">
        <v>2007</v>
      </c>
      <c r="D16" s="2" t="s">
        <v>1699</v>
      </c>
    </row>
    <row r="17" spans="1:4" x14ac:dyDescent="0.2">
      <c r="A17" s="2" t="s">
        <v>15</v>
      </c>
      <c r="B17" s="2" t="s">
        <v>1474</v>
      </c>
      <c r="C17" s="665">
        <v>2009</v>
      </c>
      <c r="D17" s="2" t="s">
        <v>1700</v>
      </c>
    </row>
    <row r="19" spans="1:4" ht="38.25" customHeight="1" x14ac:dyDescent="0.2">
      <c r="A19" s="639" t="s">
        <v>1701</v>
      </c>
      <c r="B19" s="639"/>
      <c r="C19" s="639"/>
      <c r="D19" s="639"/>
    </row>
    <row r="20" spans="1:4" x14ac:dyDescent="0.2">
      <c r="A20" s="623" t="s">
        <v>1412</v>
      </c>
      <c r="B20" s="623"/>
      <c r="C20" s="623"/>
      <c r="D20" s="623"/>
    </row>
  </sheetData>
  <mergeCells count="3">
    <mergeCell ref="A2:D2"/>
    <mergeCell ref="A19:D19"/>
    <mergeCell ref="A20:D20"/>
  </mergeCells>
  <pageMargins left="0.70866141732283472" right="0.70866141732283472" top="0.74803149606299213" bottom="0.74803149606299213" header="0.31496062992125984" footer="0.31496062992125984"/>
  <pageSetup paperSize="14" orientation="landscape"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7859A-9CE6-4FF9-8A31-84BC13977E40}">
  <sheetPr codeName="Hoja104"/>
  <dimension ref="A2:D26"/>
  <sheetViews>
    <sheetView zoomScale="130" zoomScaleNormal="130" workbookViewId="0">
      <selection activeCell="D4" sqref="D4"/>
    </sheetView>
  </sheetViews>
  <sheetFormatPr baseColWidth="10" defaultColWidth="11.44140625" defaultRowHeight="10.199999999999999" x14ac:dyDescent="0.2"/>
  <cols>
    <col min="1" max="1" width="33.44140625" style="2" customWidth="1"/>
    <col min="2" max="2" width="23" style="2" customWidth="1"/>
    <col min="3" max="3" width="14.88671875" style="2" customWidth="1"/>
    <col min="4" max="4" width="23" style="2" customWidth="1"/>
    <col min="5" max="16384" width="11.44140625" style="2"/>
  </cols>
  <sheetData>
    <row r="2" spans="1:4" s="624" customFormat="1" ht="34.5" customHeight="1" x14ac:dyDescent="0.2">
      <c r="A2" s="45" t="s">
        <v>1105</v>
      </c>
      <c r="B2" s="45"/>
      <c r="C2" s="45"/>
      <c r="D2" s="45"/>
    </row>
    <row r="4" spans="1:4" ht="34.5" customHeight="1" x14ac:dyDescent="0.2">
      <c r="A4" s="644" t="s">
        <v>1672</v>
      </c>
      <c r="B4" s="644" t="s">
        <v>1673</v>
      </c>
      <c r="C4" s="644" t="s">
        <v>1674</v>
      </c>
      <c r="D4" s="644" t="s">
        <v>1675</v>
      </c>
    </row>
    <row r="5" spans="1:4" ht="20.399999999999999" x14ac:dyDescent="0.2">
      <c r="A5" s="2" t="s">
        <v>4</v>
      </c>
      <c r="B5" s="2" t="s">
        <v>1702</v>
      </c>
      <c r="C5" s="665">
        <v>2006</v>
      </c>
      <c r="D5" s="309" t="s">
        <v>1703</v>
      </c>
    </row>
    <row r="6" spans="1:4" ht="30.6" x14ac:dyDescent="0.2">
      <c r="A6" s="2" t="s">
        <v>4</v>
      </c>
      <c r="B6" s="2" t="s">
        <v>1704</v>
      </c>
      <c r="C6" s="665">
        <v>2003</v>
      </c>
      <c r="D6" s="309" t="s">
        <v>1705</v>
      </c>
    </row>
    <row r="7" spans="1:4" x14ac:dyDescent="0.2">
      <c r="A7" s="2" t="s">
        <v>4</v>
      </c>
      <c r="B7" s="2" t="s">
        <v>1706</v>
      </c>
      <c r="C7" s="665">
        <v>2006</v>
      </c>
      <c r="D7" s="309" t="s">
        <v>1707</v>
      </c>
    </row>
    <row r="8" spans="1:4" ht="30.6" x14ac:dyDescent="0.2">
      <c r="A8" s="2" t="s">
        <v>6</v>
      </c>
      <c r="B8" s="2" t="s">
        <v>1708</v>
      </c>
      <c r="C8" s="665">
        <v>2008</v>
      </c>
      <c r="D8" s="309" t="s">
        <v>1705</v>
      </c>
    </row>
    <row r="9" spans="1:4" ht="30.6" x14ac:dyDescent="0.2">
      <c r="A9" s="2" t="s">
        <v>6</v>
      </c>
      <c r="B9" s="2" t="s">
        <v>1709</v>
      </c>
      <c r="C9" s="665">
        <v>2004</v>
      </c>
      <c r="D9" s="309" t="s">
        <v>1705</v>
      </c>
    </row>
    <row r="10" spans="1:4" ht="30.6" x14ac:dyDescent="0.2">
      <c r="A10" s="2" t="s">
        <v>7</v>
      </c>
      <c r="B10" s="2" t="s">
        <v>1710</v>
      </c>
      <c r="C10" s="665">
        <v>2004</v>
      </c>
      <c r="D10" s="309" t="s">
        <v>1705</v>
      </c>
    </row>
    <row r="11" spans="1:4" ht="54" customHeight="1" x14ac:dyDescent="0.2">
      <c r="A11" s="2" t="s">
        <v>7</v>
      </c>
      <c r="B11" s="2" t="s">
        <v>1711</v>
      </c>
      <c r="C11" s="665">
        <v>2010</v>
      </c>
      <c r="D11" s="309" t="s">
        <v>1712</v>
      </c>
    </row>
    <row r="12" spans="1:4" ht="30.6" x14ac:dyDescent="0.2">
      <c r="A12" s="2" t="s">
        <v>8</v>
      </c>
      <c r="B12" s="2" t="s">
        <v>1713</v>
      </c>
      <c r="C12" s="665">
        <v>2002</v>
      </c>
      <c r="D12" s="309" t="s">
        <v>1714</v>
      </c>
    </row>
    <row r="13" spans="1:4" x14ac:dyDescent="0.2">
      <c r="A13" s="2" t="s">
        <v>9</v>
      </c>
      <c r="B13" s="2" t="s">
        <v>1715</v>
      </c>
      <c r="C13" s="665">
        <v>2005</v>
      </c>
      <c r="D13" s="2" t="s">
        <v>1716</v>
      </c>
    </row>
    <row r="14" spans="1:4" x14ac:dyDescent="0.2">
      <c r="A14" s="2" t="s">
        <v>13</v>
      </c>
      <c r="B14" s="2" t="s">
        <v>1717</v>
      </c>
      <c r="C14" s="665">
        <v>2007</v>
      </c>
      <c r="D14" s="309" t="s">
        <v>1718</v>
      </c>
    </row>
    <row r="15" spans="1:4" ht="30.6" x14ac:dyDescent="0.2">
      <c r="A15" s="2" t="s">
        <v>14</v>
      </c>
      <c r="B15" s="2" t="s">
        <v>1719</v>
      </c>
      <c r="C15" s="665">
        <v>2004</v>
      </c>
      <c r="D15" s="309" t="s">
        <v>1705</v>
      </c>
    </row>
    <row r="16" spans="1:4" ht="30.6" x14ac:dyDescent="0.2">
      <c r="A16" s="2" t="s">
        <v>15</v>
      </c>
      <c r="B16" s="2" t="s">
        <v>1720</v>
      </c>
      <c r="C16" s="665">
        <v>2005</v>
      </c>
      <c r="D16" s="309" t="s">
        <v>1705</v>
      </c>
    </row>
    <row r="17" spans="1:4" ht="55.5" customHeight="1" x14ac:dyDescent="0.2">
      <c r="A17" s="2" t="s">
        <v>16</v>
      </c>
      <c r="B17" s="2" t="s">
        <v>1721</v>
      </c>
      <c r="C17" s="665">
        <v>2009</v>
      </c>
      <c r="D17" s="309" t="s">
        <v>1722</v>
      </c>
    </row>
    <row r="18" spans="1:4" x14ac:dyDescent="0.2">
      <c r="A18" s="2" t="s">
        <v>17</v>
      </c>
      <c r="B18" s="2" t="s">
        <v>1723</v>
      </c>
      <c r="C18" s="665" t="s">
        <v>1724</v>
      </c>
      <c r="D18" s="309" t="s">
        <v>1707</v>
      </c>
    </row>
    <row r="19" spans="1:4" ht="40.799999999999997" x14ac:dyDescent="0.2">
      <c r="A19" s="2" t="s">
        <v>10</v>
      </c>
      <c r="B19" s="2" t="s">
        <v>1725</v>
      </c>
      <c r="C19" s="665">
        <v>2001</v>
      </c>
      <c r="D19" s="309" t="s">
        <v>1726</v>
      </c>
    </row>
    <row r="20" spans="1:4" ht="12" x14ac:dyDescent="0.2">
      <c r="A20" s="2" t="s">
        <v>193</v>
      </c>
      <c r="B20" s="2" t="s">
        <v>1727</v>
      </c>
      <c r="C20" s="665" t="s">
        <v>193</v>
      </c>
      <c r="D20" s="309" t="s">
        <v>1728</v>
      </c>
    </row>
    <row r="21" spans="1:4" ht="12" x14ac:dyDescent="0.2">
      <c r="A21" s="2" t="s">
        <v>193</v>
      </c>
      <c r="B21" s="2" t="s">
        <v>1729</v>
      </c>
      <c r="C21" s="665" t="s">
        <v>193</v>
      </c>
      <c r="D21" s="309" t="s">
        <v>1730</v>
      </c>
    </row>
    <row r="23" spans="1:4" ht="43.5" customHeight="1" x14ac:dyDescent="0.2">
      <c r="A23" s="639" t="s">
        <v>1731</v>
      </c>
      <c r="B23" s="639"/>
      <c r="C23" s="639"/>
      <c r="D23" s="639"/>
    </row>
    <row r="24" spans="1:4" x14ac:dyDescent="0.2">
      <c r="A24" s="623" t="s">
        <v>1732</v>
      </c>
      <c r="B24" s="623"/>
      <c r="C24" s="623"/>
      <c r="D24" s="623"/>
    </row>
    <row r="25" spans="1:4" x14ac:dyDescent="0.2">
      <c r="A25" s="623" t="s">
        <v>1658</v>
      </c>
      <c r="B25" s="623"/>
      <c r="C25" s="623"/>
      <c r="D25" s="623"/>
    </row>
    <row r="26" spans="1:4" x14ac:dyDescent="0.2">
      <c r="A26" s="623" t="s">
        <v>1412</v>
      </c>
      <c r="B26" s="623"/>
      <c r="C26" s="623"/>
      <c r="D26" s="623"/>
    </row>
  </sheetData>
  <mergeCells count="5">
    <mergeCell ref="A2:D2"/>
    <mergeCell ref="A23:D23"/>
    <mergeCell ref="A24:D24"/>
    <mergeCell ref="A25:D25"/>
    <mergeCell ref="A26:D26"/>
  </mergeCells>
  <pageMargins left="0.7" right="0.7" top="0.75" bottom="0.75" header="0.3" footer="0.3"/>
  <pageSetup paperSize="14" scale="96"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7F0366-CED1-4E43-BC01-22A2197D8E0C}">
  <sheetPr codeName="Hoja105"/>
  <dimension ref="A2:H22"/>
  <sheetViews>
    <sheetView workbookViewId="0">
      <selection activeCell="D4" sqref="D4"/>
    </sheetView>
  </sheetViews>
  <sheetFormatPr baseColWidth="10" defaultColWidth="11.44140625" defaultRowHeight="10.199999999999999" x14ac:dyDescent="0.2"/>
  <cols>
    <col min="1" max="1" width="33.88671875" style="2" customWidth="1"/>
    <col min="2" max="2" width="21" style="2" customWidth="1"/>
    <col min="3" max="3" width="11.44140625" style="2"/>
    <col min="4" max="4" width="15.33203125" style="2" customWidth="1"/>
    <col min="5" max="6" width="11.44140625" style="2"/>
    <col min="7" max="7" width="15.109375" style="2" customWidth="1"/>
    <col min="8" max="16384" width="11.44140625" style="2"/>
  </cols>
  <sheetData>
    <row r="2" spans="1:8" s="24" customFormat="1" x14ac:dyDescent="0.2">
      <c r="A2" s="24" t="s">
        <v>1106</v>
      </c>
    </row>
    <row r="4" spans="1:8" ht="15.75" customHeight="1" x14ac:dyDescent="0.2">
      <c r="A4" s="298" t="s">
        <v>1733</v>
      </c>
      <c r="B4" s="298" t="s">
        <v>1734</v>
      </c>
      <c r="C4" s="298" t="s">
        <v>42</v>
      </c>
      <c r="D4" s="298" t="s">
        <v>1735</v>
      </c>
      <c r="E4" s="298"/>
      <c r="F4" s="298"/>
      <c r="G4" s="298"/>
      <c r="H4" s="298"/>
    </row>
    <row r="5" spans="1:8" ht="29.25" customHeight="1" x14ac:dyDescent="0.2">
      <c r="A5" s="298"/>
      <c r="B5" s="298"/>
      <c r="C5" s="298"/>
      <c r="D5" s="644" t="s">
        <v>1208</v>
      </c>
      <c r="E5" s="644" t="s">
        <v>1209</v>
      </c>
      <c r="F5" s="644" t="s">
        <v>1736</v>
      </c>
      <c r="G5" s="644" t="s">
        <v>1737</v>
      </c>
      <c r="H5" s="644" t="s">
        <v>1738</v>
      </c>
    </row>
    <row r="6" spans="1:8" x14ac:dyDescent="0.2">
      <c r="A6" s="2" t="s">
        <v>1739</v>
      </c>
      <c r="B6" s="2" t="s">
        <v>1740</v>
      </c>
      <c r="C6" s="315">
        <f t="shared" ref="C6:C19" si="0">SUM(D6:H6)</f>
        <v>68</v>
      </c>
      <c r="D6" s="315">
        <v>40</v>
      </c>
      <c r="E6" s="315">
        <v>22</v>
      </c>
      <c r="F6" s="315">
        <v>6</v>
      </c>
      <c r="G6" s="315">
        <v>0</v>
      </c>
      <c r="H6" s="315">
        <v>0</v>
      </c>
    </row>
    <row r="7" spans="1:8" x14ac:dyDescent="0.2">
      <c r="A7" s="2" t="s">
        <v>1741</v>
      </c>
      <c r="B7" s="2" t="s">
        <v>1740</v>
      </c>
      <c r="C7" s="315">
        <f t="shared" si="0"/>
        <v>99</v>
      </c>
      <c r="D7" s="315">
        <v>26</v>
      </c>
      <c r="E7" s="315">
        <v>59</v>
      </c>
      <c r="F7" s="315">
        <v>9</v>
      </c>
      <c r="G7" s="315">
        <v>0</v>
      </c>
      <c r="H7" s="315">
        <v>5</v>
      </c>
    </row>
    <row r="8" spans="1:8" x14ac:dyDescent="0.2">
      <c r="A8" s="2" t="s">
        <v>1742</v>
      </c>
      <c r="B8" s="2" t="s">
        <v>1743</v>
      </c>
      <c r="C8" s="315">
        <f t="shared" si="0"/>
        <v>26</v>
      </c>
      <c r="D8" s="315">
        <v>15</v>
      </c>
      <c r="E8" s="315">
        <v>1</v>
      </c>
      <c r="F8" s="315">
        <v>8</v>
      </c>
      <c r="G8" s="315">
        <v>0</v>
      </c>
      <c r="H8" s="315">
        <v>2</v>
      </c>
    </row>
    <row r="9" spans="1:8" x14ac:dyDescent="0.2">
      <c r="A9" s="2" t="s">
        <v>1744</v>
      </c>
      <c r="B9" s="2" t="s">
        <v>1743</v>
      </c>
      <c r="C9" s="315">
        <f t="shared" si="0"/>
        <v>40</v>
      </c>
      <c r="D9" s="315">
        <v>2</v>
      </c>
      <c r="E9" s="315">
        <v>38</v>
      </c>
      <c r="F9" s="315">
        <v>0</v>
      </c>
      <c r="G9" s="315">
        <v>0</v>
      </c>
      <c r="H9" s="315">
        <v>0</v>
      </c>
    </row>
    <row r="10" spans="1:8" x14ac:dyDescent="0.2">
      <c r="A10" s="2" t="s">
        <v>1745</v>
      </c>
      <c r="B10" s="2" t="s">
        <v>1743</v>
      </c>
      <c r="C10" s="315">
        <f t="shared" si="0"/>
        <v>1</v>
      </c>
      <c r="D10" s="315">
        <v>0</v>
      </c>
      <c r="E10" s="315">
        <v>0</v>
      </c>
      <c r="F10" s="315">
        <v>1</v>
      </c>
      <c r="G10" s="315">
        <v>0</v>
      </c>
      <c r="H10" s="315">
        <v>0</v>
      </c>
    </row>
    <row r="11" spans="1:8" x14ac:dyDescent="0.2">
      <c r="A11" s="2" t="s">
        <v>1746</v>
      </c>
      <c r="B11" s="2" t="s">
        <v>1740</v>
      </c>
      <c r="C11" s="315">
        <f t="shared" si="0"/>
        <v>18</v>
      </c>
      <c r="D11" s="315">
        <v>0</v>
      </c>
      <c r="E11" s="315">
        <v>14</v>
      </c>
      <c r="F11" s="315">
        <v>4</v>
      </c>
      <c r="G11" s="315">
        <v>0</v>
      </c>
      <c r="H11" s="315">
        <v>0</v>
      </c>
    </row>
    <row r="12" spans="1:8" x14ac:dyDescent="0.2">
      <c r="A12" s="2" t="s">
        <v>1747</v>
      </c>
      <c r="B12" s="2" t="s">
        <v>1743</v>
      </c>
      <c r="C12" s="315">
        <f t="shared" si="0"/>
        <v>13</v>
      </c>
      <c r="D12" s="315">
        <v>4</v>
      </c>
      <c r="E12" s="315">
        <v>0</v>
      </c>
      <c r="F12" s="315">
        <v>1</v>
      </c>
      <c r="G12" s="315">
        <v>8</v>
      </c>
      <c r="H12" s="315">
        <v>0</v>
      </c>
    </row>
    <row r="13" spans="1:8" x14ac:dyDescent="0.2">
      <c r="A13" s="2" t="s">
        <v>1748</v>
      </c>
      <c r="B13" s="2" t="s">
        <v>1740</v>
      </c>
      <c r="C13" s="315">
        <f t="shared" si="0"/>
        <v>20</v>
      </c>
      <c r="D13" s="315">
        <v>10</v>
      </c>
      <c r="E13" s="315">
        <v>9</v>
      </c>
      <c r="F13" s="315">
        <v>0</v>
      </c>
      <c r="G13" s="315">
        <v>0</v>
      </c>
      <c r="H13" s="315">
        <v>1</v>
      </c>
    </row>
    <row r="14" spans="1:8" x14ac:dyDescent="0.2">
      <c r="A14" s="2" t="s">
        <v>1749</v>
      </c>
      <c r="B14" s="2" t="s">
        <v>1740</v>
      </c>
      <c r="C14" s="315">
        <f t="shared" si="0"/>
        <v>8</v>
      </c>
      <c r="D14" s="315">
        <v>6</v>
      </c>
      <c r="E14" s="315">
        <v>1</v>
      </c>
      <c r="F14" s="315">
        <v>1</v>
      </c>
      <c r="G14" s="315">
        <v>0</v>
      </c>
      <c r="H14" s="315">
        <v>0</v>
      </c>
    </row>
    <row r="15" spans="1:8" x14ac:dyDescent="0.2">
      <c r="A15" s="2" t="s">
        <v>1750</v>
      </c>
      <c r="B15" s="2" t="s">
        <v>1740</v>
      </c>
      <c r="C15" s="315">
        <f t="shared" si="0"/>
        <v>3</v>
      </c>
      <c r="D15" s="315">
        <v>1</v>
      </c>
      <c r="E15" s="315">
        <v>1</v>
      </c>
      <c r="F15" s="315">
        <v>1</v>
      </c>
      <c r="G15" s="315">
        <v>0</v>
      </c>
      <c r="H15" s="315">
        <v>0</v>
      </c>
    </row>
    <row r="16" spans="1:8" x14ac:dyDescent="0.2">
      <c r="A16" s="2" t="s">
        <v>1751</v>
      </c>
      <c r="B16" s="2" t="s">
        <v>1743</v>
      </c>
      <c r="C16" s="315">
        <f t="shared" si="0"/>
        <v>7</v>
      </c>
      <c r="D16" s="315">
        <v>0</v>
      </c>
      <c r="E16" s="315">
        <v>6</v>
      </c>
      <c r="F16" s="315">
        <v>1</v>
      </c>
      <c r="G16" s="315">
        <v>0</v>
      </c>
      <c r="H16" s="315">
        <v>0</v>
      </c>
    </row>
    <row r="17" spans="1:8" x14ac:dyDescent="0.2">
      <c r="A17" s="2" t="s">
        <v>1752</v>
      </c>
      <c r="B17" s="2" t="s">
        <v>1740</v>
      </c>
      <c r="C17" s="315">
        <f t="shared" si="0"/>
        <v>20</v>
      </c>
      <c r="D17" s="315">
        <v>5</v>
      </c>
      <c r="E17" s="315">
        <v>9</v>
      </c>
      <c r="F17" s="315">
        <v>5</v>
      </c>
      <c r="G17" s="315">
        <v>1</v>
      </c>
      <c r="H17" s="315">
        <v>0</v>
      </c>
    </row>
    <row r="18" spans="1:8" x14ac:dyDescent="0.2">
      <c r="A18" s="2" t="s">
        <v>1753</v>
      </c>
      <c r="B18" s="2" t="s">
        <v>1743</v>
      </c>
      <c r="C18" s="315">
        <f t="shared" si="0"/>
        <v>7</v>
      </c>
      <c r="D18" s="315">
        <v>0</v>
      </c>
      <c r="E18" s="315">
        <v>0</v>
      </c>
      <c r="F18" s="315">
        <v>6</v>
      </c>
      <c r="G18" s="315">
        <v>0</v>
      </c>
      <c r="H18" s="315">
        <v>1</v>
      </c>
    </row>
    <row r="19" spans="1:8" x14ac:dyDescent="0.2">
      <c r="A19" s="2" t="s">
        <v>1754</v>
      </c>
      <c r="B19" s="2" t="s">
        <v>1743</v>
      </c>
      <c r="C19" s="315">
        <f t="shared" si="0"/>
        <v>4</v>
      </c>
      <c r="D19" s="315">
        <v>2</v>
      </c>
      <c r="E19" s="315">
        <v>1</v>
      </c>
      <c r="F19" s="315">
        <v>1</v>
      </c>
      <c r="G19" s="315">
        <v>0</v>
      </c>
      <c r="H19" s="315">
        <v>0</v>
      </c>
    </row>
    <row r="21" spans="1:8" x14ac:dyDescent="0.2">
      <c r="A21" s="623" t="s">
        <v>1755</v>
      </c>
      <c r="B21" s="623"/>
      <c r="C21" s="623"/>
      <c r="D21" s="623"/>
      <c r="E21" s="623"/>
      <c r="F21" s="623"/>
      <c r="G21" s="623"/>
      <c r="H21" s="623"/>
    </row>
    <row r="22" spans="1:8" x14ac:dyDescent="0.2">
      <c r="A22" s="623" t="s">
        <v>1412</v>
      </c>
      <c r="B22" s="623"/>
      <c r="C22" s="623"/>
      <c r="D22" s="623"/>
    </row>
  </sheetData>
  <mergeCells count="6">
    <mergeCell ref="A4:A5"/>
    <mergeCell ref="B4:B5"/>
    <mergeCell ref="C4:C5"/>
    <mergeCell ref="D4:H4"/>
    <mergeCell ref="A21:H21"/>
    <mergeCell ref="A22:D22"/>
  </mergeCells>
  <pageMargins left="0.70866141732283472" right="0.70866141732283472" top="0.74803149606299213" bottom="0.74803149606299213" header="0.31496062992125984" footer="0.31496062992125984"/>
  <pageSetup paperSize="14" orientation="landscape" verticalDpi="300"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049C6-DE7C-476B-BD49-A71630BCD280}">
  <sheetPr codeName="Hoja106"/>
  <dimension ref="A2:B23"/>
  <sheetViews>
    <sheetView workbookViewId="0">
      <selection activeCell="D4" sqref="D4"/>
    </sheetView>
  </sheetViews>
  <sheetFormatPr baseColWidth="10" defaultColWidth="11.44140625" defaultRowHeight="10.199999999999999" x14ac:dyDescent="0.2"/>
  <cols>
    <col min="1" max="1" width="34.5546875" style="2" customWidth="1"/>
    <col min="2" max="2" width="22.5546875" style="2" customWidth="1"/>
    <col min="3" max="16384" width="11.44140625" style="2"/>
  </cols>
  <sheetData>
    <row r="2" spans="1:2" s="624" customFormat="1" ht="36.75" customHeight="1" x14ac:dyDescent="0.2">
      <c r="A2" s="45" t="s">
        <v>1107</v>
      </c>
      <c r="B2" s="45"/>
    </row>
    <row r="4" spans="1:2" ht="32.25" customHeight="1" x14ac:dyDescent="0.2">
      <c r="A4" s="644" t="s">
        <v>0</v>
      </c>
      <c r="B4" s="644" t="s">
        <v>1337</v>
      </c>
    </row>
    <row r="5" spans="1:2" s="24" customFormat="1" x14ac:dyDescent="0.2">
      <c r="A5" s="24" t="s">
        <v>3</v>
      </c>
      <c r="B5" s="622">
        <f>SUM(B6:B20)</f>
        <v>2</v>
      </c>
    </row>
    <row r="6" spans="1:2" x14ac:dyDescent="0.2">
      <c r="A6" s="2" t="s">
        <v>4</v>
      </c>
      <c r="B6" s="315">
        <v>0</v>
      </c>
    </row>
    <row r="7" spans="1:2" x14ac:dyDescent="0.2">
      <c r="A7" s="2" t="s">
        <v>5</v>
      </c>
      <c r="B7" s="315">
        <v>0</v>
      </c>
    </row>
    <row r="8" spans="1:2" x14ac:dyDescent="0.2">
      <c r="A8" s="2" t="s">
        <v>6</v>
      </c>
      <c r="B8" s="315">
        <v>0</v>
      </c>
    </row>
    <row r="9" spans="1:2" x14ac:dyDescent="0.2">
      <c r="A9" s="2" t="s">
        <v>7</v>
      </c>
      <c r="B9" s="315">
        <v>0</v>
      </c>
    </row>
    <row r="10" spans="1:2" x14ac:dyDescent="0.2">
      <c r="A10" s="2" t="s">
        <v>8</v>
      </c>
      <c r="B10" s="315">
        <v>0</v>
      </c>
    </row>
    <row r="11" spans="1:2" x14ac:dyDescent="0.2">
      <c r="A11" s="2" t="s">
        <v>9</v>
      </c>
      <c r="B11" s="315">
        <v>0</v>
      </c>
    </row>
    <row r="12" spans="1:2" x14ac:dyDescent="0.2">
      <c r="A12" s="2" t="s">
        <v>10</v>
      </c>
      <c r="B12" s="315">
        <v>1</v>
      </c>
    </row>
    <row r="13" spans="1:2" x14ac:dyDescent="0.2">
      <c r="A13" s="2" t="s">
        <v>134</v>
      </c>
      <c r="B13" s="315">
        <v>1</v>
      </c>
    </row>
    <row r="14" spans="1:2" x14ac:dyDescent="0.2">
      <c r="A14" s="2" t="s">
        <v>12</v>
      </c>
      <c r="B14" s="315">
        <v>0</v>
      </c>
    </row>
    <row r="15" spans="1:2" x14ac:dyDescent="0.2">
      <c r="A15" s="2" t="s">
        <v>13</v>
      </c>
      <c r="B15" s="315">
        <v>0</v>
      </c>
    </row>
    <row r="16" spans="1:2" x14ac:dyDescent="0.2">
      <c r="A16" s="2" t="s">
        <v>47</v>
      </c>
      <c r="B16" s="315">
        <v>0</v>
      </c>
    </row>
    <row r="17" spans="1:2" x14ac:dyDescent="0.2">
      <c r="A17" s="2" t="s">
        <v>135</v>
      </c>
      <c r="B17" s="315">
        <v>0</v>
      </c>
    </row>
    <row r="18" spans="1:2" x14ac:dyDescent="0.2">
      <c r="A18" s="2" t="s">
        <v>136</v>
      </c>
      <c r="B18" s="315">
        <v>0</v>
      </c>
    </row>
    <row r="19" spans="1:2" x14ac:dyDescent="0.2">
      <c r="A19" s="2" t="s">
        <v>17</v>
      </c>
      <c r="B19" s="315">
        <v>0</v>
      </c>
    </row>
    <row r="20" spans="1:2" x14ac:dyDescent="0.2">
      <c r="A20" s="2" t="s">
        <v>18</v>
      </c>
      <c r="B20" s="315">
        <v>0</v>
      </c>
    </row>
    <row r="22" spans="1:2" x14ac:dyDescent="0.2">
      <c r="A22" s="2" t="s">
        <v>197</v>
      </c>
    </row>
    <row r="23" spans="1:2" x14ac:dyDescent="0.2">
      <c r="A23" s="2" t="s">
        <v>1323</v>
      </c>
    </row>
  </sheetData>
  <mergeCells count="1">
    <mergeCell ref="A2:B2"/>
  </mergeCells>
  <pageMargins left="0.7" right="0.7" top="0.75" bottom="0.75" header="0.3" footer="0.3"/>
  <pageSetup paperSize="14"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6A651-17EC-4410-9990-FFD0DD439773}">
  <sheetPr codeName="Hoja107"/>
  <dimension ref="A2:B23"/>
  <sheetViews>
    <sheetView showWhiteSpace="0" zoomScalePageLayoutView="80" workbookViewId="0">
      <selection activeCell="D4" sqref="D4"/>
    </sheetView>
  </sheetViews>
  <sheetFormatPr baseColWidth="10" defaultColWidth="11.44140625" defaultRowHeight="10.199999999999999" x14ac:dyDescent="0.2"/>
  <cols>
    <col min="1" max="1" width="35.6640625" style="2" customWidth="1"/>
    <col min="2" max="2" width="21.5546875" style="2" customWidth="1"/>
    <col min="3" max="5" width="11.44140625" style="2"/>
    <col min="6" max="6" width="11.44140625" style="2" customWidth="1"/>
    <col min="7" max="16384" width="11.44140625" style="2"/>
  </cols>
  <sheetData>
    <row r="2" spans="1:2" ht="35.25" customHeight="1" x14ac:dyDescent="0.2">
      <c r="A2" s="45" t="s">
        <v>1108</v>
      </c>
      <c r="B2" s="45"/>
    </row>
    <row r="4" spans="1:2" ht="34.5" customHeight="1" x14ac:dyDescent="0.2">
      <c r="A4" s="644" t="s">
        <v>0</v>
      </c>
      <c r="B4" s="644" t="s">
        <v>1337</v>
      </c>
    </row>
    <row r="5" spans="1:2" s="24" customFormat="1" x14ac:dyDescent="0.2">
      <c r="A5" s="24" t="s">
        <v>3</v>
      </c>
      <c r="B5" s="622">
        <f>SUM(B6:B20)</f>
        <v>43</v>
      </c>
    </row>
    <row r="6" spans="1:2" x14ac:dyDescent="0.2">
      <c r="A6" s="2" t="s">
        <v>4</v>
      </c>
      <c r="B6" s="315">
        <v>1</v>
      </c>
    </row>
    <row r="7" spans="1:2" x14ac:dyDescent="0.2">
      <c r="A7" s="2" t="s">
        <v>5</v>
      </c>
      <c r="B7" s="315">
        <v>3</v>
      </c>
    </row>
    <row r="8" spans="1:2" x14ac:dyDescent="0.2">
      <c r="A8" s="2" t="s">
        <v>6</v>
      </c>
      <c r="B8" s="315">
        <v>1</v>
      </c>
    </row>
    <row r="9" spans="1:2" x14ac:dyDescent="0.2">
      <c r="A9" s="2" t="s">
        <v>7</v>
      </c>
      <c r="B9" s="315">
        <v>1</v>
      </c>
    </row>
    <row r="10" spans="1:2" x14ac:dyDescent="0.2">
      <c r="A10" s="2" t="s">
        <v>8</v>
      </c>
      <c r="B10" s="315">
        <v>1</v>
      </c>
    </row>
    <row r="11" spans="1:2" x14ac:dyDescent="0.2">
      <c r="A11" s="2" t="s">
        <v>9</v>
      </c>
      <c r="B11" s="315">
        <v>12</v>
      </c>
    </row>
    <row r="12" spans="1:2" x14ac:dyDescent="0.2">
      <c r="A12" s="2" t="s">
        <v>10</v>
      </c>
      <c r="B12" s="315">
        <v>9</v>
      </c>
    </row>
    <row r="13" spans="1:2" x14ac:dyDescent="0.2">
      <c r="A13" s="2" t="s">
        <v>134</v>
      </c>
      <c r="B13" s="315">
        <v>1</v>
      </c>
    </row>
    <row r="14" spans="1:2" x14ac:dyDescent="0.2">
      <c r="A14" s="2" t="s">
        <v>12</v>
      </c>
      <c r="B14" s="315">
        <v>5</v>
      </c>
    </row>
    <row r="15" spans="1:2" x14ac:dyDescent="0.2">
      <c r="A15" s="2" t="s">
        <v>13</v>
      </c>
      <c r="B15" s="315">
        <v>3</v>
      </c>
    </row>
    <row r="16" spans="1:2" x14ac:dyDescent="0.2">
      <c r="A16" s="2" t="s">
        <v>47</v>
      </c>
      <c r="B16" s="315">
        <v>0</v>
      </c>
    </row>
    <row r="17" spans="1:2" x14ac:dyDescent="0.2">
      <c r="A17" s="2" t="s">
        <v>135</v>
      </c>
      <c r="B17" s="315">
        <v>1</v>
      </c>
    </row>
    <row r="18" spans="1:2" x14ac:dyDescent="0.2">
      <c r="A18" s="2" t="s">
        <v>136</v>
      </c>
      <c r="B18" s="315">
        <v>3</v>
      </c>
    </row>
    <row r="19" spans="1:2" x14ac:dyDescent="0.2">
      <c r="A19" s="2" t="s">
        <v>17</v>
      </c>
      <c r="B19" s="315">
        <v>2</v>
      </c>
    </row>
    <row r="20" spans="1:2" x14ac:dyDescent="0.2">
      <c r="A20" s="2" t="s">
        <v>18</v>
      </c>
      <c r="B20" s="315">
        <v>0</v>
      </c>
    </row>
    <row r="22" spans="1:2" x14ac:dyDescent="0.2">
      <c r="A22" s="2" t="s">
        <v>197</v>
      </c>
    </row>
    <row r="23" spans="1:2" x14ac:dyDescent="0.2">
      <c r="A23" s="2" t="s">
        <v>1323</v>
      </c>
    </row>
  </sheetData>
  <mergeCells count="1">
    <mergeCell ref="A2:B2"/>
  </mergeCells>
  <pageMargins left="0.7" right="0.7" top="0.75" bottom="0.75" header="0.3" footer="0.3"/>
  <pageSetup paperSize="14" orientation="portrait" r:id="rId1"/>
  <colBreaks count="1" manualBreakCount="1">
    <brk id="3" max="23" man="1"/>
  </col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EFBB81-9440-4C8F-8C74-566A012957E5}">
  <sheetPr codeName="Hoja108"/>
  <dimension ref="A2:E13"/>
  <sheetViews>
    <sheetView workbookViewId="0">
      <selection activeCell="D4" sqref="D4"/>
    </sheetView>
  </sheetViews>
  <sheetFormatPr baseColWidth="10" defaultColWidth="11.44140625" defaultRowHeight="10.199999999999999" x14ac:dyDescent="0.2"/>
  <cols>
    <col min="1" max="1" width="33.88671875" style="2" customWidth="1"/>
    <col min="2" max="2" width="19.109375" style="665" bestFit="1" customWidth="1"/>
    <col min="3" max="3" width="17.5546875" style="665" customWidth="1"/>
    <col min="4" max="4" width="20.6640625" style="665" customWidth="1"/>
    <col min="5" max="5" width="19.33203125" style="665" customWidth="1"/>
    <col min="6" max="6" width="11.6640625" style="2" bestFit="1" customWidth="1"/>
    <col min="7" max="7" width="15" style="2" customWidth="1"/>
    <col min="8" max="16384" width="11.44140625" style="2"/>
  </cols>
  <sheetData>
    <row r="2" spans="1:5" s="24" customFormat="1" x14ac:dyDescent="0.2">
      <c r="A2" s="24" t="s">
        <v>1109</v>
      </c>
      <c r="B2" s="664"/>
      <c r="C2" s="664"/>
      <c r="D2" s="664"/>
      <c r="E2" s="664"/>
    </row>
    <row r="4" spans="1:5" ht="33.75" customHeight="1" x14ac:dyDescent="0.2">
      <c r="A4" s="644" t="s">
        <v>0</v>
      </c>
      <c r="B4" s="644" t="s">
        <v>1756</v>
      </c>
      <c r="C4" s="644" t="s">
        <v>1343</v>
      </c>
      <c r="D4" s="644" t="s">
        <v>1344</v>
      </c>
      <c r="E4" s="644" t="s">
        <v>1757</v>
      </c>
    </row>
    <row r="5" spans="1:5" x14ac:dyDescent="0.2">
      <c r="A5" s="2" t="s">
        <v>10</v>
      </c>
      <c r="B5" s="665" t="s">
        <v>1378</v>
      </c>
      <c r="C5" s="665" t="s">
        <v>193</v>
      </c>
      <c r="D5" s="665" t="s">
        <v>1379</v>
      </c>
      <c r="E5" s="665" t="s">
        <v>1348</v>
      </c>
    </row>
    <row r="6" spans="1:5" x14ac:dyDescent="0.2">
      <c r="A6" s="2" t="s">
        <v>134</v>
      </c>
      <c r="B6" s="665" t="s">
        <v>1382</v>
      </c>
      <c r="C6" s="665" t="s">
        <v>193</v>
      </c>
      <c r="D6" s="665" t="s">
        <v>1379</v>
      </c>
      <c r="E6" s="665" t="s">
        <v>1348</v>
      </c>
    </row>
    <row r="9" spans="1:5" ht="24" customHeight="1" x14ac:dyDescent="0.2">
      <c r="A9" s="638" t="s">
        <v>1397</v>
      </c>
      <c r="B9" s="638"/>
      <c r="C9" s="638"/>
      <c r="D9" s="638"/>
      <c r="E9" s="638"/>
    </row>
    <row r="10" spans="1:5" x14ac:dyDescent="0.2">
      <c r="A10" s="623" t="s">
        <v>1758</v>
      </c>
      <c r="B10" s="623"/>
      <c r="C10" s="623"/>
      <c r="D10" s="623"/>
      <c r="E10" s="623"/>
    </row>
    <row r="11" spans="1:5" x14ac:dyDescent="0.2">
      <c r="A11" s="623" t="s">
        <v>1399</v>
      </c>
      <c r="B11" s="623"/>
      <c r="C11" s="623"/>
      <c r="D11" s="623"/>
      <c r="E11" s="623"/>
    </row>
    <row r="12" spans="1:5" x14ac:dyDescent="0.2">
      <c r="A12" s="623" t="s">
        <v>1759</v>
      </c>
      <c r="B12" s="623"/>
      <c r="C12" s="623"/>
      <c r="D12" s="623"/>
      <c r="E12" s="623"/>
    </row>
    <row r="13" spans="1:5" x14ac:dyDescent="0.2">
      <c r="A13" s="623" t="s">
        <v>1323</v>
      </c>
      <c r="B13" s="623"/>
      <c r="C13" s="623"/>
      <c r="D13" s="623"/>
      <c r="E13" s="623"/>
    </row>
  </sheetData>
  <mergeCells count="5">
    <mergeCell ref="A9:E9"/>
    <mergeCell ref="A10:E10"/>
    <mergeCell ref="A11:E11"/>
    <mergeCell ref="A12:E12"/>
    <mergeCell ref="A13:E13"/>
  </mergeCells>
  <pageMargins left="0.70866141732283472" right="0.70866141732283472" top="0.74803149606299213" bottom="0.74803149606299213" header="0.31496062992125984" footer="0.31496062992125984"/>
  <pageSetup paperSize="14" orientation="landscape"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95929-F302-47A9-B821-6B6BA4CBF60F}">
  <sheetPr codeName="Hoja109"/>
  <dimension ref="A2:F128"/>
  <sheetViews>
    <sheetView zoomScale="110" zoomScaleNormal="110" workbookViewId="0">
      <selection activeCell="D4" sqref="D4"/>
    </sheetView>
  </sheetViews>
  <sheetFormatPr baseColWidth="10" defaultColWidth="11.44140625" defaultRowHeight="10.199999999999999" x14ac:dyDescent="0.2"/>
  <cols>
    <col min="1" max="1" width="48.44140625" style="2" customWidth="1"/>
    <col min="2" max="2" width="12" style="2" bestFit="1" customWidth="1"/>
    <col min="3" max="6" width="11.88671875" style="2" bestFit="1" customWidth="1"/>
    <col min="7" max="16384" width="11.44140625" style="2"/>
  </cols>
  <sheetData>
    <row r="2" spans="1:6" s="24" customFormat="1" ht="27" customHeight="1" x14ac:dyDescent="0.2">
      <c r="A2" s="45" t="s">
        <v>1110</v>
      </c>
      <c r="B2" s="45"/>
      <c r="C2" s="45"/>
      <c r="D2" s="45"/>
      <c r="E2" s="45"/>
      <c r="F2" s="45"/>
    </row>
    <row r="4" spans="1:6" ht="17.25" customHeight="1" x14ac:dyDescent="0.2">
      <c r="A4" s="621" t="s">
        <v>1760</v>
      </c>
      <c r="B4" s="621">
        <v>2009</v>
      </c>
      <c r="C4" s="621">
        <v>2010</v>
      </c>
      <c r="D4" s="621">
        <v>2011</v>
      </c>
      <c r="E4" s="621">
        <v>2012</v>
      </c>
      <c r="F4" s="621">
        <v>2013</v>
      </c>
    </row>
    <row r="5" spans="1:6" s="24" customFormat="1" ht="14.25" customHeight="1" x14ac:dyDescent="0.2">
      <c r="A5" s="24" t="s">
        <v>3</v>
      </c>
      <c r="B5" s="622">
        <f>SUM(B6+B11+B15+B21+B25+B30+B39+B42+B46+B55+B63+B77+B80+B92+B112)</f>
        <v>2056218</v>
      </c>
      <c r="C5" s="622">
        <f t="shared" ref="C5:E5" si="0">SUM(C6+C11+C15+C21+C25+C30+C39+C42+C46+C55+C63+C77+C80+C92+C112)</f>
        <v>1816916</v>
      </c>
      <c r="D5" s="622">
        <f t="shared" si="0"/>
        <v>1794732</v>
      </c>
      <c r="E5" s="622">
        <f t="shared" si="0"/>
        <v>2061670</v>
      </c>
      <c r="F5" s="622">
        <f>SUM(F6+F11+F15+F21+F25+F30+F39+F42+F46+F55+F63+F77+F80+F92+F112)</f>
        <v>2408269</v>
      </c>
    </row>
    <row r="6" spans="1:6" s="24" customFormat="1" ht="14.25" customHeight="1" x14ac:dyDescent="0.2">
      <c r="A6" s="24" t="s">
        <v>4</v>
      </c>
      <c r="B6" s="622">
        <f>SUM(B7:B10)</f>
        <v>17526</v>
      </c>
      <c r="C6" s="622">
        <f t="shared" ref="C6:F6" si="1">SUM(C7:C10)</f>
        <v>15045</v>
      </c>
      <c r="D6" s="622">
        <f t="shared" si="1"/>
        <v>13991</v>
      </c>
      <c r="E6" s="622">
        <f t="shared" si="1"/>
        <v>13002</v>
      </c>
      <c r="F6" s="622">
        <f t="shared" si="1"/>
        <v>18425</v>
      </c>
    </row>
    <row r="7" spans="1:6" ht="10.5" customHeight="1" x14ac:dyDescent="0.2">
      <c r="A7" s="2" t="s">
        <v>1761</v>
      </c>
      <c r="B7" s="315">
        <v>15479</v>
      </c>
      <c r="C7" s="315">
        <v>13340</v>
      </c>
      <c r="D7" s="315">
        <v>12081</v>
      </c>
      <c r="E7" s="315">
        <v>12087</v>
      </c>
      <c r="F7" s="315">
        <v>17211</v>
      </c>
    </row>
    <row r="8" spans="1:6" x14ac:dyDescent="0.2">
      <c r="A8" s="2" t="s">
        <v>1762</v>
      </c>
      <c r="B8" s="315">
        <v>987</v>
      </c>
      <c r="C8" s="315">
        <v>448</v>
      </c>
      <c r="D8" s="315">
        <v>777</v>
      </c>
      <c r="E8" s="315">
        <v>208</v>
      </c>
      <c r="F8" s="315">
        <v>450</v>
      </c>
    </row>
    <row r="9" spans="1:6" x14ac:dyDescent="0.2">
      <c r="A9" s="2" t="s">
        <v>1763</v>
      </c>
      <c r="B9" s="315">
        <v>0</v>
      </c>
      <c r="C9" s="315">
        <v>0</v>
      </c>
      <c r="D9" s="315">
        <v>0</v>
      </c>
      <c r="E9" s="315">
        <v>0</v>
      </c>
      <c r="F9" s="315">
        <v>0</v>
      </c>
    </row>
    <row r="10" spans="1:6" x14ac:dyDescent="0.2">
      <c r="A10" s="2" t="s">
        <v>1764</v>
      </c>
      <c r="B10" s="315">
        <v>1060</v>
      </c>
      <c r="C10" s="315">
        <v>1257</v>
      </c>
      <c r="D10" s="315">
        <v>1133</v>
      </c>
      <c r="E10" s="315">
        <v>707</v>
      </c>
      <c r="F10" s="315">
        <v>764</v>
      </c>
    </row>
    <row r="11" spans="1:6" s="24" customFormat="1" ht="12.75" customHeight="1" x14ac:dyDescent="0.2">
      <c r="A11" s="24" t="s">
        <v>5</v>
      </c>
      <c r="B11" s="622">
        <f>SUM(B12:B14)</f>
        <v>12213</v>
      </c>
      <c r="C11" s="622">
        <f t="shared" ref="C11:F11" si="2">SUM(C12:C14)</f>
        <v>17161</v>
      </c>
      <c r="D11" s="622">
        <f t="shared" si="2"/>
        <v>9875</v>
      </c>
      <c r="E11" s="622">
        <f t="shared" si="2"/>
        <v>2271</v>
      </c>
      <c r="F11" s="622">
        <f t="shared" si="2"/>
        <v>3228</v>
      </c>
    </row>
    <row r="12" spans="1:6" x14ac:dyDescent="0.2">
      <c r="A12" s="2" t="s">
        <v>1765</v>
      </c>
      <c r="B12" s="315">
        <v>223</v>
      </c>
      <c r="C12" s="315">
        <v>361</v>
      </c>
      <c r="D12" s="315">
        <v>185</v>
      </c>
      <c r="E12" s="315">
        <v>187</v>
      </c>
      <c r="F12" s="315">
        <v>258</v>
      </c>
    </row>
    <row r="13" spans="1:6" x14ac:dyDescent="0.2">
      <c r="A13" s="2" t="s">
        <v>1766</v>
      </c>
      <c r="B13" s="315">
        <v>0</v>
      </c>
      <c r="C13" s="315">
        <v>0</v>
      </c>
      <c r="D13" s="315">
        <v>0</v>
      </c>
      <c r="E13" s="315">
        <v>0</v>
      </c>
      <c r="F13" s="315">
        <v>0</v>
      </c>
    </row>
    <row r="14" spans="1:6" x14ac:dyDescent="0.2">
      <c r="A14" s="2" t="s">
        <v>1767</v>
      </c>
      <c r="B14" s="315">
        <v>11990</v>
      </c>
      <c r="C14" s="315">
        <v>16800</v>
      </c>
      <c r="D14" s="315">
        <v>9690</v>
      </c>
      <c r="E14" s="315">
        <v>2084</v>
      </c>
      <c r="F14" s="315">
        <v>2970</v>
      </c>
    </row>
    <row r="15" spans="1:6" s="24" customFormat="1" ht="12.75" customHeight="1" x14ac:dyDescent="0.2">
      <c r="A15" s="24" t="s">
        <v>6</v>
      </c>
      <c r="B15" s="622">
        <f>SUM(B16:B20)</f>
        <v>279738</v>
      </c>
      <c r="C15" s="622">
        <f t="shared" ref="C15:F15" si="3">SUM(C16:C20)</f>
        <v>315888</v>
      </c>
      <c r="D15" s="622">
        <f t="shared" si="3"/>
        <v>330317</v>
      </c>
      <c r="E15" s="622">
        <f t="shared" si="3"/>
        <v>338326</v>
      </c>
      <c r="F15" s="622">
        <f t="shared" si="3"/>
        <v>400503</v>
      </c>
    </row>
    <row r="16" spans="1:6" x14ac:dyDescent="0.2">
      <c r="A16" s="2" t="s">
        <v>1768</v>
      </c>
      <c r="B16" s="315">
        <v>0</v>
      </c>
      <c r="C16" s="315">
        <v>0</v>
      </c>
      <c r="D16" s="315">
        <v>0</v>
      </c>
      <c r="E16" s="315">
        <v>0</v>
      </c>
      <c r="F16" s="315">
        <v>0</v>
      </c>
    </row>
    <row r="17" spans="1:6" x14ac:dyDescent="0.2">
      <c r="A17" s="2" t="s">
        <v>1769</v>
      </c>
      <c r="B17" s="315">
        <v>0</v>
      </c>
      <c r="C17" s="315">
        <v>0</v>
      </c>
      <c r="D17" s="315">
        <v>0</v>
      </c>
      <c r="E17" s="315">
        <v>0</v>
      </c>
      <c r="F17" s="315">
        <v>0</v>
      </c>
    </row>
    <row r="18" spans="1:6" x14ac:dyDescent="0.2">
      <c r="A18" s="2" t="s">
        <v>1770</v>
      </c>
      <c r="B18" s="315">
        <v>168332</v>
      </c>
      <c r="C18" s="315">
        <v>208569</v>
      </c>
      <c r="D18" s="315">
        <v>213230</v>
      </c>
      <c r="E18" s="315">
        <v>218741</v>
      </c>
      <c r="F18" s="315">
        <v>240118</v>
      </c>
    </row>
    <row r="19" spans="1:6" x14ac:dyDescent="0.2">
      <c r="A19" s="2" t="s">
        <v>1771</v>
      </c>
      <c r="B19" s="315">
        <v>0</v>
      </c>
      <c r="C19" s="315">
        <v>0</v>
      </c>
      <c r="D19" s="315">
        <v>0</v>
      </c>
      <c r="E19" s="315">
        <v>0</v>
      </c>
      <c r="F19" s="315">
        <v>0</v>
      </c>
    </row>
    <row r="20" spans="1:6" x14ac:dyDescent="0.2">
      <c r="A20" s="2" t="s">
        <v>1772</v>
      </c>
      <c r="B20" s="315">
        <v>111406</v>
      </c>
      <c r="C20" s="315">
        <v>107319</v>
      </c>
      <c r="D20" s="315">
        <v>117087</v>
      </c>
      <c r="E20" s="315">
        <v>119585</v>
      </c>
      <c r="F20" s="315">
        <v>160385</v>
      </c>
    </row>
    <row r="21" spans="1:6" s="24" customFormat="1" ht="12.75" customHeight="1" x14ac:dyDescent="0.2">
      <c r="A21" s="24" t="s">
        <v>7</v>
      </c>
      <c r="B21" s="622">
        <f>SUM(B22:B24)</f>
        <v>17647</v>
      </c>
      <c r="C21" s="622">
        <f t="shared" ref="C21:E21" si="4">SUM(C22:C24)</f>
        <v>24873</v>
      </c>
      <c r="D21" s="622">
        <f t="shared" si="4"/>
        <v>16474</v>
      </c>
      <c r="E21" s="622">
        <f t="shared" si="4"/>
        <v>17725</v>
      </c>
      <c r="F21" s="622">
        <f>SUM(F22:F24)</f>
        <v>19045</v>
      </c>
    </row>
    <row r="22" spans="1:6" x14ac:dyDescent="0.2">
      <c r="A22" s="2" t="s">
        <v>1773</v>
      </c>
      <c r="B22" s="315">
        <v>14964</v>
      </c>
      <c r="C22" s="315">
        <v>22539</v>
      </c>
      <c r="D22" s="315">
        <v>12788</v>
      </c>
      <c r="E22" s="315">
        <v>13458</v>
      </c>
      <c r="F22" s="315">
        <v>13987</v>
      </c>
    </row>
    <row r="23" spans="1:6" x14ac:dyDescent="0.2">
      <c r="A23" s="2" t="s">
        <v>1774</v>
      </c>
      <c r="B23" s="315">
        <v>2386</v>
      </c>
      <c r="C23" s="315">
        <v>2010</v>
      </c>
      <c r="D23" s="315">
        <v>3283</v>
      </c>
      <c r="E23" s="315">
        <v>3761</v>
      </c>
      <c r="F23" s="315">
        <v>4471</v>
      </c>
    </row>
    <row r="24" spans="1:6" x14ac:dyDescent="0.2">
      <c r="A24" s="2" t="s">
        <v>1775</v>
      </c>
      <c r="B24" s="315">
        <v>297</v>
      </c>
      <c r="C24" s="315">
        <v>324</v>
      </c>
      <c r="D24" s="315">
        <v>403</v>
      </c>
      <c r="E24" s="315">
        <v>506</v>
      </c>
      <c r="F24" s="315">
        <v>587</v>
      </c>
    </row>
    <row r="25" spans="1:6" s="24" customFormat="1" ht="12.75" customHeight="1" x14ac:dyDescent="0.2">
      <c r="A25" s="24" t="s">
        <v>8</v>
      </c>
      <c r="B25" s="622">
        <f>SUM(B26:B29)</f>
        <v>51524</v>
      </c>
      <c r="C25" s="622">
        <f t="shared" ref="C25:F25" si="5">SUM(C26:C29)</f>
        <v>57234</v>
      </c>
      <c r="D25" s="622">
        <f t="shared" si="5"/>
        <v>47833</v>
      </c>
      <c r="E25" s="622">
        <f t="shared" si="5"/>
        <v>70493</v>
      </c>
      <c r="F25" s="622">
        <f t="shared" si="5"/>
        <v>68487</v>
      </c>
    </row>
    <row r="26" spans="1:6" x14ac:dyDescent="0.2">
      <c r="A26" s="2" t="s">
        <v>1776</v>
      </c>
      <c r="B26" s="315">
        <v>15361</v>
      </c>
      <c r="C26" s="315">
        <v>15767</v>
      </c>
      <c r="D26" s="315">
        <v>16776</v>
      </c>
      <c r="E26" s="315">
        <v>17372</v>
      </c>
      <c r="F26" s="315">
        <v>15676</v>
      </c>
    </row>
    <row r="27" spans="1:6" x14ac:dyDescent="0.2">
      <c r="A27" s="2" t="s">
        <v>1777</v>
      </c>
      <c r="B27" s="315">
        <v>29310</v>
      </c>
      <c r="C27" s="315">
        <v>33481</v>
      </c>
      <c r="D27" s="315">
        <v>22993</v>
      </c>
      <c r="E27" s="315">
        <v>44557</v>
      </c>
      <c r="F27" s="315">
        <v>45124</v>
      </c>
    </row>
    <row r="28" spans="1:6" x14ac:dyDescent="0.2">
      <c r="A28" s="2" t="s">
        <v>1778</v>
      </c>
      <c r="B28" s="315">
        <v>3068</v>
      </c>
      <c r="C28" s="315">
        <v>3540</v>
      </c>
      <c r="D28" s="315">
        <v>3048</v>
      </c>
      <c r="E28" s="315">
        <v>3621</v>
      </c>
      <c r="F28" s="315">
        <v>2850</v>
      </c>
    </row>
    <row r="29" spans="1:6" x14ac:dyDescent="0.2">
      <c r="A29" s="2" t="s">
        <v>1779</v>
      </c>
      <c r="B29" s="315">
        <v>3785</v>
      </c>
      <c r="C29" s="315">
        <v>4446</v>
      </c>
      <c r="D29" s="315">
        <v>5016</v>
      </c>
      <c r="E29" s="315">
        <v>4943</v>
      </c>
      <c r="F29" s="315">
        <v>4837</v>
      </c>
    </row>
    <row r="30" spans="1:6" s="24" customFormat="1" ht="12.75" customHeight="1" x14ac:dyDescent="0.2">
      <c r="A30" s="24" t="s">
        <v>9</v>
      </c>
      <c r="B30" s="622">
        <f>SUM(B31:B38)</f>
        <v>141978</v>
      </c>
      <c r="C30" s="622">
        <f t="shared" ref="C30:F30" si="6">SUM(C31:C38)</f>
        <v>146161</v>
      </c>
      <c r="D30" s="622">
        <f t="shared" si="6"/>
        <v>134892</v>
      </c>
      <c r="E30" s="622">
        <f t="shared" si="6"/>
        <v>158605</v>
      </c>
      <c r="F30" s="622">
        <f t="shared" si="6"/>
        <v>193118</v>
      </c>
    </row>
    <row r="31" spans="1:6" x14ac:dyDescent="0.2">
      <c r="A31" s="2" t="s">
        <v>1780</v>
      </c>
      <c r="B31" s="315">
        <v>39764</v>
      </c>
      <c r="C31" s="315">
        <v>41204</v>
      </c>
      <c r="D31" s="315">
        <v>44514</v>
      </c>
      <c r="E31" s="315">
        <v>52389</v>
      </c>
      <c r="F31" s="315">
        <v>58112</v>
      </c>
    </row>
    <row r="32" spans="1:6" x14ac:dyDescent="0.2">
      <c r="A32" s="2" t="s">
        <v>1781</v>
      </c>
      <c r="B32" s="315">
        <v>1222</v>
      </c>
      <c r="C32" s="315">
        <v>1708</v>
      </c>
      <c r="D32" s="315">
        <v>1048</v>
      </c>
      <c r="E32" s="315">
        <v>1416</v>
      </c>
      <c r="F32" s="315">
        <v>1142</v>
      </c>
    </row>
    <row r="33" spans="1:6" x14ac:dyDescent="0.2">
      <c r="A33" s="2" t="s">
        <v>1782</v>
      </c>
      <c r="B33" s="315">
        <v>0</v>
      </c>
      <c r="C33" s="315">
        <v>0</v>
      </c>
      <c r="D33" s="315">
        <v>0</v>
      </c>
      <c r="E33" s="315">
        <v>0</v>
      </c>
      <c r="F33" s="315">
        <v>0</v>
      </c>
    </row>
    <row r="34" spans="1:6" x14ac:dyDescent="0.2">
      <c r="A34" s="2" t="s">
        <v>1783</v>
      </c>
      <c r="B34" s="315">
        <v>43315</v>
      </c>
      <c r="C34" s="315">
        <v>41989</v>
      </c>
      <c r="D34" s="315">
        <v>20638</v>
      </c>
      <c r="E34" s="315">
        <v>33212</v>
      </c>
      <c r="F34" s="315">
        <v>51208</v>
      </c>
    </row>
    <row r="35" spans="1:6" x14ac:dyDescent="0.2">
      <c r="A35" s="2" t="s">
        <v>1784</v>
      </c>
      <c r="B35" s="315">
        <v>1904</v>
      </c>
      <c r="C35" s="315">
        <v>1747</v>
      </c>
      <c r="D35" s="315">
        <v>1569</v>
      </c>
      <c r="E35" s="315">
        <v>1845</v>
      </c>
      <c r="F35" s="315">
        <v>1964</v>
      </c>
    </row>
    <row r="36" spans="1:6" x14ac:dyDescent="0.2">
      <c r="A36" s="2" t="s">
        <v>1785</v>
      </c>
      <c r="B36" s="315">
        <v>0</v>
      </c>
      <c r="C36" s="315">
        <v>0</v>
      </c>
      <c r="D36" s="315">
        <v>0</v>
      </c>
      <c r="E36" s="315">
        <v>0</v>
      </c>
      <c r="F36" s="315">
        <v>0</v>
      </c>
    </row>
    <row r="37" spans="1:6" ht="12" x14ac:dyDescent="0.2">
      <c r="A37" s="2" t="s">
        <v>1786</v>
      </c>
      <c r="B37" s="315">
        <v>11904</v>
      </c>
      <c r="C37" s="315">
        <v>12627</v>
      </c>
      <c r="D37" s="315">
        <v>17811</v>
      </c>
      <c r="E37" s="315">
        <v>17541</v>
      </c>
      <c r="F37" s="315">
        <v>22233</v>
      </c>
    </row>
    <row r="38" spans="1:6" x14ac:dyDescent="0.2">
      <c r="A38" s="2" t="s">
        <v>1787</v>
      </c>
      <c r="B38" s="315">
        <v>43869</v>
      </c>
      <c r="C38" s="315">
        <v>46886</v>
      </c>
      <c r="D38" s="315">
        <v>49312</v>
      </c>
      <c r="E38" s="315">
        <v>52202</v>
      </c>
      <c r="F38" s="315">
        <v>58459</v>
      </c>
    </row>
    <row r="39" spans="1:6" s="24" customFormat="1" ht="12.75" customHeight="1" x14ac:dyDescent="0.2">
      <c r="A39" s="24" t="s">
        <v>10</v>
      </c>
      <c r="B39" s="622">
        <f>SUM(B40:B41)</f>
        <v>82293</v>
      </c>
      <c r="C39" s="622">
        <f t="shared" ref="C39:F39" si="7">SUM(C40:C41)</f>
        <v>83459</v>
      </c>
      <c r="D39" s="622">
        <f t="shared" si="7"/>
        <v>93129</v>
      </c>
      <c r="E39" s="622">
        <f t="shared" si="7"/>
        <v>96485</v>
      </c>
      <c r="F39" s="622">
        <f t="shared" si="7"/>
        <v>98529</v>
      </c>
    </row>
    <row r="40" spans="1:6" ht="10.5" customHeight="1" x14ac:dyDescent="0.2">
      <c r="A40" s="2" t="s">
        <v>1788</v>
      </c>
      <c r="B40" s="315">
        <v>69135</v>
      </c>
      <c r="C40" s="315">
        <v>73909</v>
      </c>
      <c r="D40" s="315">
        <v>80382</v>
      </c>
      <c r="E40" s="315">
        <v>84460</v>
      </c>
      <c r="F40" s="315">
        <v>85169</v>
      </c>
    </row>
    <row r="41" spans="1:6" x14ac:dyDescent="0.2">
      <c r="A41" s="2" t="s">
        <v>1789</v>
      </c>
      <c r="B41" s="315">
        <v>13158</v>
      </c>
      <c r="C41" s="315">
        <v>9550</v>
      </c>
      <c r="D41" s="315">
        <v>12747</v>
      </c>
      <c r="E41" s="315">
        <v>12025</v>
      </c>
      <c r="F41" s="315">
        <v>13360</v>
      </c>
    </row>
    <row r="42" spans="1:6" s="24" customFormat="1" ht="12.75" customHeight="1" x14ac:dyDescent="0.2">
      <c r="A42" s="24" t="s">
        <v>1790</v>
      </c>
      <c r="B42" s="622">
        <f>SUM(B43:B45)</f>
        <v>11856</v>
      </c>
      <c r="C42" s="622">
        <f t="shared" ref="C42:F42" si="8">SUM(C43:C45)</f>
        <v>11073</v>
      </c>
      <c r="D42" s="622">
        <f t="shared" si="8"/>
        <v>12824</v>
      </c>
      <c r="E42" s="622">
        <f t="shared" si="8"/>
        <v>13403</v>
      </c>
      <c r="F42" s="622">
        <f t="shared" si="8"/>
        <v>20656</v>
      </c>
    </row>
    <row r="43" spans="1:6" x14ac:dyDescent="0.2">
      <c r="A43" s="2" t="s">
        <v>1791</v>
      </c>
      <c r="B43" s="315">
        <v>0</v>
      </c>
      <c r="C43" s="315">
        <v>0</v>
      </c>
      <c r="D43" s="315">
        <v>0</v>
      </c>
      <c r="E43" s="315">
        <v>0</v>
      </c>
      <c r="F43" s="315">
        <v>0</v>
      </c>
    </row>
    <row r="44" spans="1:6" x14ac:dyDescent="0.2">
      <c r="A44" s="2" t="s">
        <v>1792</v>
      </c>
      <c r="B44" s="315">
        <v>11223</v>
      </c>
      <c r="C44" s="315">
        <v>10647</v>
      </c>
      <c r="D44" s="315">
        <v>12378</v>
      </c>
      <c r="E44" s="315">
        <v>12889</v>
      </c>
      <c r="F44" s="315">
        <v>20088</v>
      </c>
    </row>
    <row r="45" spans="1:6" x14ac:dyDescent="0.2">
      <c r="A45" s="2" t="s">
        <v>1793</v>
      </c>
      <c r="B45" s="315">
        <v>633</v>
      </c>
      <c r="C45" s="315">
        <v>426</v>
      </c>
      <c r="D45" s="315">
        <v>446</v>
      </c>
      <c r="E45" s="315">
        <v>514</v>
      </c>
      <c r="F45" s="315">
        <v>568</v>
      </c>
    </row>
    <row r="46" spans="1:6" s="24" customFormat="1" ht="12.75" customHeight="1" x14ac:dyDescent="0.2">
      <c r="A46" s="24" t="s">
        <v>12</v>
      </c>
      <c r="B46" s="622">
        <f>SUM(B47:B54)</f>
        <v>87509</v>
      </c>
      <c r="C46" s="622">
        <f t="shared" ref="C46:F46" si="9">SUM(C47:C54)</f>
        <v>64500</v>
      </c>
      <c r="D46" s="622">
        <f t="shared" si="9"/>
        <v>61074</v>
      </c>
      <c r="E46" s="622">
        <f t="shared" si="9"/>
        <v>67325</v>
      </c>
      <c r="F46" s="622">
        <f t="shared" si="9"/>
        <v>78376</v>
      </c>
    </row>
    <row r="47" spans="1:6" x14ac:dyDescent="0.2">
      <c r="A47" s="2" t="s">
        <v>1794</v>
      </c>
      <c r="B47" s="315">
        <v>24200</v>
      </c>
      <c r="C47" s="315">
        <v>9076</v>
      </c>
      <c r="D47" s="315">
        <v>5873</v>
      </c>
      <c r="E47" s="315">
        <v>5779</v>
      </c>
      <c r="F47" s="315">
        <v>7354</v>
      </c>
    </row>
    <row r="48" spans="1:6" x14ac:dyDescent="0.2">
      <c r="A48" s="2" t="s">
        <v>1795</v>
      </c>
      <c r="B48" s="315">
        <v>11806</v>
      </c>
      <c r="C48" s="315">
        <v>7723</v>
      </c>
      <c r="D48" s="315">
        <v>7190</v>
      </c>
      <c r="E48" s="315">
        <v>10947</v>
      </c>
      <c r="F48" s="315">
        <v>13291</v>
      </c>
    </row>
    <row r="49" spans="1:6" x14ac:dyDescent="0.2">
      <c r="A49" s="2" t="s">
        <v>1796</v>
      </c>
      <c r="B49" s="315">
        <v>2821</v>
      </c>
      <c r="C49" s="315">
        <v>3027</v>
      </c>
      <c r="D49" s="315">
        <v>2985</v>
      </c>
      <c r="E49" s="315">
        <v>2945</v>
      </c>
      <c r="F49" s="315">
        <v>3413</v>
      </c>
    </row>
    <row r="50" spans="1:6" x14ac:dyDescent="0.2">
      <c r="A50" s="2" t="s">
        <v>1797</v>
      </c>
      <c r="B50" s="315">
        <v>308</v>
      </c>
      <c r="C50" s="315">
        <v>283</v>
      </c>
      <c r="D50" s="315">
        <v>285</v>
      </c>
      <c r="E50" s="315">
        <v>336</v>
      </c>
      <c r="F50" s="315">
        <v>360</v>
      </c>
    </row>
    <row r="51" spans="1:6" x14ac:dyDescent="0.2">
      <c r="A51" s="2" t="s">
        <v>1798</v>
      </c>
      <c r="B51" s="315">
        <v>126</v>
      </c>
      <c r="C51" s="315">
        <v>327</v>
      </c>
      <c r="D51" s="315">
        <v>442</v>
      </c>
      <c r="E51" s="315">
        <v>310</v>
      </c>
      <c r="F51" s="315">
        <v>228</v>
      </c>
    </row>
    <row r="52" spans="1:6" x14ac:dyDescent="0.2">
      <c r="A52" s="2" t="s">
        <v>1799</v>
      </c>
      <c r="B52" s="315">
        <v>12616</v>
      </c>
      <c r="C52" s="315">
        <v>11576</v>
      </c>
      <c r="D52" s="315">
        <v>9017</v>
      </c>
      <c r="E52" s="315">
        <v>10354</v>
      </c>
      <c r="F52" s="315">
        <v>10954</v>
      </c>
    </row>
    <row r="53" spans="1:6" x14ac:dyDescent="0.2">
      <c r="A53" s="2" t="s">
        <v>1800</v>
      </c>
      <c r="B53" s="315">
        <v>0</v>
      </c>
      <c r="C53" s="315">
        <v>0</v>
      </c>
      <c r="D53" s="315">
        <v>0</v>
      </c>
      <c r="E53" s="315">
        <v>0</v>
      </c>
      <c r="F53" s="315">
        <v>0</v>
      </c>
    </row>
    <row r="54" spans="1:6" x14ac:dyDescent="0.2">
      <c r="A54" s="2" t="s">
        <v>1801</v>
      </c>
      <c r="B54" s="315">
        <v>35632</v>
      </c>
      <c r="C54" s="315">
        <v>32488</v>
      </c>
      <c r="D54" s="315">
        <v>35282</v>
      </c>
      <c r="E54" s="315">
        <v>36654</v>
      </c>
      <c r="F54" s="315">
        <v>42776</v>
      </c>
    </row>
    <row r="55" spans="1:6" s="24" customFormat="1" ht="12.75" customHeight="1" x14ac:dyDescent="0.2">
      <c r="A55" s="24" t="s">
        <v>13</v>
      </c>
      <c r="B55" s="622">
        <f>SUM(B56:B62)</f>
        <v>46221</v>
      </c>
      <c r="C55" s="622">
        <f t="shared" ref="C55:F55" si="10">SUM(C56:C62)</f>
        <v>49841</v>
      </c>
      <c r="D55" s="622">
        <f t="shared" si="10"/>
        <v>58769</v>
      </c>
      <c r="E55" s="622">
        <f t="shared" si="10"/>
        <v>61864</v>
      </c>
      <c r="F55" s="622">
        <f t="shared" si="10"/>
        <v>86274</v>
      </c>
    </row>
    <row r="56" spans="1:6" x14ac:dyDescent="0.2">
      <c r="A56" s="2" t="s">
        <v>1802</v>
      </c>
      <c r="B56" s="315">
        <v>42349</v>
      </c>
      <c r="C56" s="315">
        <v>43713</v>
      </c>
      <c r="D56" s="315">
        <v>48271</v>
      </c>
      <c r="E56" s="315">
        <v>48837</v>
      </c>
      <c r="F56" s="315">
        <v>68480</v>
      </c>
    </row>
    <row r="57" spans="1:6" x14ac:dyDescent="0.2">
      <c r="A57" s="2" t="s">
        <v>1803</v>
      </c>
      <c r="B57" s="315">
        <v>1245</v>
      </c>
      <c r="C57" s="315">
        <v>1076</v>
      </c>
      <c r="D57" s="315">
        <v>1377</v>
      </c>
      <c r="E57" s="315">
        <v>1722</v>
      </c>
      <c r="F57" s="315">
        <v>2074</v>
      </c>
    </row>
    <row r="58" spans="1:6" x14ac:dyDescent="0.2">
      <c r="A58" s="2" t="s">
        <v>1804</v>
      </c>
      <c r="B58" s="315">
        <v>386</v>
      </c>
      <c r="C58" s="315">
        <v>183</v>
      </c>
      <c r="D58" s="315">
        <v>558</v>
      </c>
      <c r="E58" s="315">
        <v>716</v>
      </c>
      <c r="F58" s="315">
        <v>1364</v>
      </c>
    </row>
    <row r="59" spans="1:6" x14ac:dyDescent="0.2">
      <c r="A59" s="2" t="s">
        <v>1805</v>
      </c>
      <c r="B59" s="315">
        <v>330</v>
      </c>
      <c r="C59" s="315">
        <v>290</v>
      </c>
      <c r="D59" s="315">
        <v>468</v>
      </c>
      <c r="E59" s="315">
        <v>427</v>
      </c>
      <c r="F59" s="315">
        <v>472</v>
      </c>
    </row>
    <row r="60" spans="1:6" x14ac:dyDescent="0.2">
      <c r="A60" s="2" t="s">
        <v>1806</v>
      </c>
      <c r="B60" s="315">
        <v>605</v>
      </c>
      <c r="C60" s="315">
        <v>534</v>
      </c>
      <c r="D60" s="315">
        <v>643</v>
      </c>
      <c r="E60" s="315">
        <v>672</v>
      </c>
      <c r="F60" s="315">
        <v>871</v>
      </c>
    </row>
    <row r="61" spans="1:6" x14ac:dyDescent="0.2">
      <c r="A61" s="2" t="s">
        <v>1807</v>
      </c>
      <c r="B61" s="315">
        <v>1306</v>
      </c>
      <c r="C61" s="315">
        <v>4045</v>
      </c>
      <c r="D61" s="315">
        <v>7452</v>
      </c>
      <c r="E61" s="315">
        <v>9490</v>
      </c>
      <c r="F61" s="315">
        <v>12839</v>
      </c>
    </row>
    <row r="62" spans="1:6" x14ac:dyDescent="0.2">
      <c r="A62" s="2" t="s">
        <v>1808</v>
      </c>
      <c r="B62" s="315">
        <v>0</v>
      </c>
      <c r="C62" s="315">
        <v>0</v>
      </c>
      <c r="D62" s="315">
        <v>0</v>
      </c>
      <c r="E62" s="315">
        <v>0</v>
      </c>
      <c r="F62" s="315">
        <v>174</v>
      </c>
    </row>
    <row r="63" spans="1:6" s="24" customFormat="1" ht="12.75" customHeight="1" x14ac:dyDescent="0.2">
      <c r="A63" s="24" t="s">
        <v>14</v>
      </c>
      <c r="B63" s="622">
        <f>SUM(B64:B76)</f>
        <v>197695</v>
      </c>
      <c r="C63" s="622">
        <f t="shared" ref="C63:F63" si="11">SUM(C64:C76)</f>
        <v>228921</v>
      </c>
      <c r="D63" s="622">
        <f t="shared" si="11"/>
        <v>262021</v>
      </c>
      <c r="E63" s="622">
        <f t="shared" si="11"/>
        <v>371883</v>
      </c>
      <c r="F63" s="622">
        <f t="shared" si="11"/>
        <v>462349</v>
      </c>
    </row>
    <row r="64" spans="1:6" x14ac:dyDescent="0.2">
      <c r="A64" s="2" t="s">
        <v>1809</v>
      </c>
      <c r="B64" s="315">
        <v>36194</v>
      </c>
      <c r="C64" s="315">
        <v>31129</v>
      </c>
      <c r="D64" s="315">
        <v>37593</v>
      </c>
      <c r="E64" s="315">
        <v>59823</v>
      </c>
      <c r="F64" s="315">
        <v>81739</v>
      </c>
    </row>
    <row r="65" spans="1:6" x14ac:dyDescent="0.2">
      <c r="A65" s="2" t="s">
        <v>1810</v>
      </c>
      <c r="B65" s="315">
        <v>23790</v>
      </c>
      <c r="C65" s="315">
        <v>22533</v>
      </c>
      <c r="D65" s="315">
        <v>23614</v>
      </c>
      <c r="E65" s="315">
        <v>32103</v>
      </c>
      <c r="F65" s="315">
        <v>35026</v>
      </c>
    </row>
    <row r="66" spans="1:6" x14ac:dyDescent="0.2">
      <c r="A66" s="2" t="s">
        <v>1811</v>
      </c>
      <c r="B66" s="315">
        <v>7500</v>
      </c>
      <c r="C66" s="315">
        <v>7626</v>
      </c>
      <c r="D66" s="315">
        <v>9061</v>
      </c>
      <c r="E66" s="315">
        <v>11832</v>
      </c>
      <c r="F66" s="315">
        <v>14669</v>
      </c>
    </row>
    <row r="67" spans="1:6" x14ac:dyDescent="0.2">
      <c r="A67" s="2" t="s">
        <v>1812</v>
      </c>
      <c r="B67" s="315">
        <v>2021</v>
      </c>
      <c r="C67" s="315">
        <v>1674</v>
      </c>
      <c r="D67" s="315">
        <v>4799</v>
      </c>
      <c r="E67" s="315">
        <v>4594</v>
      </c>
      <c r="F67" s="315">
        <v>6956</v>
      </c>
    </row>
    <row r="68" spans="1:6" x14ac:dyDescent="0.2">
      <c r="A68" s="2" t="s">
        <v>1813</v>
      </c>
      <c r="B68" s="315">
        <v>49109</v>
      </c>
      <c r="C68" s="315">
        <v>80669</v>
      </c>
      <c r="D68" s="315">
        <v>85602</v>
      </c>
      <c r="E68" s="315">
        <v>115761</v>
      </c>
      <c r="F68" s="315">
        <v>136014</v>
      </c>
    </row>
    <row r="69" spans="1:6" x14ac:dyDescent="0.2">
      <c r="A69" s="2" t="s">
        <v>1814</v>
      </c>
      <c r="B69" s="315">
        <v>6</v>
      </c>
      <c r="C69" s="315">
        <v>20</v>
      </c>
      <c r="D69" s="315">
        <v>16</v>
      </c>
      <c r="E69" s="315">
        <v>50</v>
      </c>
      <c r="F69" s="315">
        <v>64</v>
      </c>
    </row>
    <row r="70" spans="1:6" x14ac:dyDescent="0.2">
      <c r="A70" s="2" t="s">
        <v>1815</v>
      </c>
      <c r="B70" s="315">
        <v>0</v>
      </c>
      <c r="C70" s="315">
        <v>0</v>
      </c>
      <c r="D70" s="315">
        <v>0</v>
      </c>
      <c r="E70" s="315">
        <v>0</v>
      </c>
      <c r="F70" s="315">
        <v>0</v>
      </c>
    </row>
    <row r="71" spans="1:6" x14ac:dyDescent="0.2">
      <c r="A71" s="2" t="s">
        <v>1816</v>
      </c>
      <c r="B71" s="315">
        <v>22651</v>
      </c>
      <c r="C71" s="315">
        <v>24796</v>
      </c>
      <c r="D71" s="315">
        <v>29447</v>
      </c>
      <c r="E71" s="315">
        <v>55641</v>
      </c>
      <c r="F71" s="315">
        <v>84539</v>
      </c>
    </row>
    <row r="72" spans="1:6" x14ac:dyDescent="0.2">
      <c r="A72" s="2" t="s">
        <v>1817</v>
      </c>
      <c r="B72" s="315">
        <v>23</v>
      </c>
      <c r="C72" s="315">
        <v>0</v>
      </c>
      <c r="D72" s="315">
        <v>0</v>
      </c>
      <c r="E72" s="315">
        <v>341</v>
      </c>
      <c r="F72" s="315">
        <v>624</v>
      </c>
    </row>
    <row r="73" spans="1:6" x14ac:dyDescent="0.2">
      <c r="A73" s="2" t="s">
        <v>1818</v>
      </c>
      <c r="B73" s="315">
        <v>0</v>
      </c>
      <c r="C73" s="315">
        <v>0</v>
      </c>
      <c r="D73" s="315">
        <v>60</v>
      </c>
      <c r="E73" s="315">
        <v>0</v>
      </c>
      <c r="F73" s="315">
        <v>0</v>
      </c>
    </row>
    <row r="74" spans="1:6" x14ac:dyDescent="0.2">
      <c r="A74" s="2" t="s">
        <v>1819</v>
      </c>
      <c r="B74" s="315">
        <v>158</v>
      </c>
      <c r="C74" s="315">
        <v>531</v>
      </c>
      <c r="D74" s="315">
        <v>31</v>
      </c>
      <c r="E74" s="315">
        <v>3954</v>
      </c>
      <c r="F74" s="315">
        <v>11207</v>
      </c>
    </row>
    <row r="75" spans="1:6" x14ac:dyDescent="0.2">
      <c r="A75" s="2" t="s">
        <v>1820</v>
      </c>
      <c r="B75" s="315">
        <v>1273</v>
      </c>
      <c r="C75" s="315">
        <v>1339</v>
      </c>
      <c r="D75" s="315">
        <v>2335</v>
      </c>
      <c r="E75" s="315">
        <v>2731</v>
      </c>
      <c r="F75" s="315">
        <v>5656</v>
      </c>
    </row>
    <row r="76" spans="1:6" x14ac:dyDescent="0.2">
      <c r="A76" s="2" t="s">
        <v>1821</v>
      </c>
      <c r="B76" s="315">
        <v>54970</v>
      </c>
      <c r="C76" s="315">
        <v>58604</v>
      </c>
      <c r="D76" s="315">
        <v>69463</v>
      </c>
      <c r="E76" s="315">
        <v>85053</v>
      </c>
      <c r="F76" s="315">
        <v>85855</v>
      </c>
    </row>
    <row r="77" spans="1:6" s="24" customFormat="1" ht="12.75" customHeight="1" x14ac:dyDescent="0.2">
      <c r="A77" s="24" t="s">
        <v>135</v>
      </c>
      <c r="B77" s="622">
        <f>SUM(B78:B79)</f>
        <v>345</v>
      </c>
      <c r="C77" s="622">
        <f t="shared" ref="C77:F77" si="12">SUM(C78:C79)</f>
        <v>376</v>
      </c>
      <c r="D77" s="622">
        <f t="shared" si="12"/>
        <v>1159</v>
      </c>
      <c r="E77" s="622">
        <f t="shared" si="12"/>
        <v>1221</v>
      </c>
      <c r="F77" s="622">
        <f t="shared" si="12"/>
        <v>2322</v>
      </c>
    </row>
    <row r="78" spans="1:6" x14ac:dyDescent="0.2">
      <c r="A78" s="2" t="s">
        <v>1822</v>
      </c>
      <c r="B78" s="315">
        <v>0</v>
      </c>
      <c r="C78" s="315">
        <v>0</v>
      </c>
      <c r="D78" s="315">
        <v>869</v>
      </c>
      <c r="E78" s="315">
        <v>528</v>
      </c>
      <c r="F78" s="315">
        <v>1198</v>
      </c>
    </row>
    <row r="79" spans="1:6" x14ac:dyDescent="0.2">
      <c r="A79" s="2" t="s">
        <v>1823</v>
      </c>
      <c r="B79" s="315">
        <v>345</v>
      </c>
      <c r="C79" s="315">
        <v>376</v>
      </c>
      <c r="D79" s="315">
        <v>290</v>
      </c>
      <c r="E79" s="315">
        <v>693</v>
      </c>
      <c r="F79" s="315">
        <v>1124</v>
      </c>
    </row>
    <row r="80" spans="1:6" s="24" customFormat="1" ht="12.75" customHeight="1" x14ac:dyDescent="0.2">
      <c r="A80" s="24" t="s">
        <v>136</v>
      </c>
      <c r="B80" s="622">
        <f>SUM(B81:B91)</f>
        <v>794363</v>
      </c>
      <c r="C80" s="622">
        <f t="shared" ref="C80:F80" si="13">SUM(C81:C91)</f>
        <v>486725</v>
      </c>
      <c r="D80" s="622">
        <f t="shared" si="13"/>
        <v>430663</v>
      </c>
      <c r="E80" s="622">
        <f t="shared" si="13"/>
        <v>514248</v>
      </c>
      <c r="F80" s="622">
        <f t="shared" si="13"/>
        <v>568391</v>
      </c>
    </row>
    <row r="81" spans="1:6" x14ac:dyDescent="0.2">
      <c r="A81" s="2" t="s">
        <v>1824</v>
      </c>
      <c r="B81" s="315">
        <v>17107</v>
      </c>
      <c r="C81" s="315">
        <v>14761</v>
      </c>
      <c r="D81" s="315">
        <v>20950</v>
      </c>
      <c r="E81" s="315">
        <v>27049</v>
      </c>
      <c r="F81" s="315">
        <v>31142</v>
      </c>
    </row>
    <row r="82" spans="1:6" x14ac:dyDescent="0.2">
      <c r="A82" s="2" t="s">
        <v>1825</v>
      </c>
      <c r="B82" s="315">
        <v>499129</v>
      </c>
      <c r="C82" s="315">
        <v>250415</v>
      </c>
      <c r="D82" s="315">
        <v>95062</v>
      </c>
      <c r="E82" s="315">
        <v>133037</v>
      </c>
      <c r="F82" s="315">
        <v>124272</v>
      </c>
    </row>
    <row r="83" spans="1:6" x14ac:dyDescent="0.2">
      <c r="A83" s="2" t="s">
        <v>1826</v>
      </c>
      <c r="B83" s="315">
        <v>264496</v>
      </c>
      <c r="C83" s="315">
        <v>203027</v>
      </c>
      <c r="D83" s="315">
        <v>293266</v>
      </c>
      <c r="E83" s="315">
        <v>332334</v>
      </c>
      <c r="F83" s="315">
        <v>386287</v>
      </c>
    </row>
    <row r="84" spans="1:6" x14ac:dyDescent="0.2">
      <c r="A84" s="2" t="s">
        <v>1827</v>
      </c>
      <c r="B84" s="315">
        <v>10813</v>
      </c>
      <c r="C84" s="315">
        <v>9250</v>
      </c>
      <c r="D84" s="315">
        <v>11721</v>
      </c>
      <c r="E84" s="315">
        <v>12189</v>
      </c>
      <c r="F84" s="315">
        <v>15728</v>
      </c>
    </row>
    <row r="85" spans="1:6" x14ac:dyDescent="0.2">
      <c r="A85" s="2" t="s">
        <v>1828</v>
      </c>
      <c r="B85" s="315">
        <v>311</v>
      </c>
      <c r="C85" s="315">
        <v>479</v>
      </c>
      <c r="D85" s="315">
        <v>351</v>
      </c>
      <c r="E85" s="315">
        <v>0</v>
      </c>
      <c r="F85" s="315">
        <v>621</v>
      </c>
    </row>
    <row r="86" spans="1:6" x14ac:dyDescent="0.2">
      <c r="A86" s="2" t="s">
        <v>1829</v>
      </c>
      <c r="B86" s="315">
        <v>0</v>
      </c>
      <c r="C86" s="315">
        <v>0</v>
      </c>
      <c r="D86" s="315">
        <v>0</v>
      </c>
      <c r="E86" s="315">
        <v>0</v>
      </c>
      <c r="F86" s="315">
        <v>0</v>
      </c>
    </row>
    <row r="87" spans="1:6" x14ac:dyDescent="0.2">
      <c r="A87" s="2" t="s">
        <v>1830</v>
      </c>
      <c r="B87" s="315">
        <v>0</v>
      </c>
      <c r="C87" s="315">
        <v>0</v>
      </c>
      <c r="D87" s="315">
        <v>0</v>
      </c>
      <c r="E87" s="315">
        <v>0</v>
      </c>
      <c r="F87" s="315">
        <v>0</v>
      </c>
    </row>
    <row r="88" spans="1:6" x14ac:dyDescent="0.2">
      <c r="A88" s="2" t="s">
        <v>1831</v>
      </c>
      <c r="B88" s="315">
        <v>2507</v>
      </c>
      <c r="C88" s="315">
        <v>2521</v>
      </c>
      <c r="D88" s="315">
        <v>2185</v>
      </c>
      <c r="E88" s="315">
        <v>2988</v>
      </c>
      <c r="F88" s="315">
        <v>3241</v>
      </c>
    </row>
    <row r="89" spans="1:6" x14ac:dyDescent="0.2">
      <c r="A89" s="2" t="s">
        <v>1832</v>
      </c>
      <c r="B89" s="315">
        <v>0</v>
      </c>
      <c r="C89" s="315">
        <v>0</v>
      </c>
      <c r="D89" s="315">
        <v>305</v>
      </c>
      <c r="E89" s="315">
        <v>471</v>
      </c>
      <c r="F89" s="315">
        <v>560</v>
      </c>
    </row>
    <row r="90" spans="1:6" x14ac:dyDescent="0.2">
      <c r="A90" s="2" t="s">
        <v>1833</v>
      </c>
      <c r="B90" s="315">
        <v>0</v>
      </c>
      <c r="C90" s="315">
        <v>0</v>
      </c>
      <c r="D90" s="315">
        <v>2829</v>
      </c>
      <c r="E90" s="315">
        <v>1907</v>
      </c>
      <c r="F90" s="315">
        <v>1855</v>
      </c>
    </row>
    <row r="91" spans="1:6" x14ac:dyDescent="0.2">
      <c r="A91" s="2" t="s">
        <v>1834</v>
      </c>
      <c r="B91" s="315">
        <v>0</v>
      </c>
      <c r="C91" s="315">
        <v>6272</v>
      </c>
      <c r="D91" s="315">
        <v>3994</v>
      </c>
      <c r="E91" s="315">
        <v>4273</v>
      </c>
      <c r="F91" s="315">
        <v>4685</v>
      </c>
    </row>
    <row r="92" spans="1:6" s="24" customFormat="1" ht="12.75" customHeight="1" x14ac:dyDescent="0.2">
      <c r="A92" s="24" t="s">
        <v>17</v>
      </c>
      <c r="B92" s="622">
        <f>SUM(B93:B111)</f>
        <v>30834</v>
      </c>
      <c r="C92" s="622">
        <f t="shared" ref="C92:F92" si="14">SUM(C93:C111)</f>
        <v>32030</v>
      </c>
      <c r="D92" s="622">
        <f t="shared" si="14"/>
        <v>32341</v>
      </c>
      <c r="E92" s="622">
        <f t="shared" si="14"/>
        <v>32544</v>
      </c>
      <c r="F92" s="622">
        <f t="shared" si="14"/>
        <v>50008</v>
      </c>
    </row>
    <row r="93" spans="1:6" x14ac:dyDescent="0.2">
      <c r="A93" s="2" t="s">
        <v>1835</v>
      </c>
      <c r="B93" s="315">
        <v>0</v>
      </c>
      <c r="C93" s="315">
        <v>0</v>
      </c>
      <c r="D93" s="315">
        <v>0</v>
      </c>
      <c r="E93" s="315">
        <v>0</v>
      </c>
      <c r="F93" s="315">
        <v>0</v>
      </c>
    </row>
    <row r="94" spans="1:6" x14ac:dyDescent="0.2">
      <c r="A94" s="2" t="s">
        <v>1836</v>
      </c>
      <c r="B94" s="315">
        <v>0</v>
      </c>
      <c r="C94" s="315">
        <v>0</v>
      </c>
      <c r="D94" s="315">
        <v>0</v>
      </c>
      <c r="E94" s="315">
        <v>0</v>
      </c>
      <c r="F94" s="315">
        <v>0</v>
      </c>
    </row>
    <row r="95" spans="1:6" x14ac:dyDescent="0.2">
      <c r="A95" s="2" t="s">
        <v>1837</v>
      </c>
      <c r="B95" s="315">
        <v>158</v>
      </c>
      <c r="C95" s="315">
        <v>187</v>
      </c>
      <c r="D95" s="315">
        <v>328</v>
      </c>
      <c r="E95" s="315">
        <v>386</v>
      </c>
      <c r="F95" s="315">
        <v>1022</v>
      </c>
    </row>
    <row r="96" spans="1:6" x14ac:dyDescent="0.2">
      <c r="A96" s="2" t="s">
        <v>1838</v>
      </c>
      <c r="B96" s="315">
        <v>10145</v>
      </c>
      <c r="C96" s="315">
        <v>10897</v>
      </c>
      <c r="D96" s="315">
        <v>12595</v>
      </c>
      <c r="E96" s="315">
        <v>11405</v>
      </c>
      <c r="F96" s="315">
        <v>16231</v>
      </c>
    </row>
    <row r="97" spans="1:6" x14ac:dyDescent="0.2">
      <c r="A97" s="2" t="s">
        <v>1839</v>
      </c>
      <c r="B97" s="315">
        <v>1333</v>
      </c>
      <c r="C97" s="315">
        <v>1241</v>
      </c>
      <c r="D97" s="315">
        <v>1923</v>
      </c>
      <c r="E97" s="315">
        <v>1575</v>
      </c>
      <c r="F97" s="315">
        <v>2893</v>
      </c>
    </row>
    <row r="98" spans="1:6" x14ac:dyDescent="0.2">
      <c r="A98" s="2" t="s">
        <v>1840</v>
      </c>
      <c r="B98" s="315">
        <v>6362</v>
      </c>
      <c r="C98" s="315">
        <v>5827</v>
      </c>
      <c r="D98" s="315">
        <v>8382</v>
      </c>
      <c r="E98" s="315">
        <v>8071</v>
      </c>
      <c r="F98" s="315">
        <v>13966</v>
      </c>
    </row>
    <row r="99" spans="1:6" x14ac:dyDescent="0.2">
      <c r="A99" s="2" t="s">
        <v>1841</v>
      </c>
      <c r="B99" s="315">
        <v>0</v>
      </c>
      <c r="C99" s="315">
        <v>0</v>
      </c>
      <c r="D99" s="315">
        <v>0</v>
      </c>
      <c r="E99" s="315">
        <v>0</v>
      </c>
      <c r="F99" s="315">
        <v>0</v>
      </c>
    </row>
    <row r="100" spans="1:6" x14ac:dyDescent="0.2">
      <c r="A100" s="2" t="s">
        <v>1842</v>
      </c>
      <c r="B100" s="315">
        <v>0</v>
      </c>
      <c r="C100" s="315">
        <v>0</v>
      </c>
      <c r="D100" s="315">
        <v>0</v>
      </c>
      <c r="E100" s="315">
        <v>0</v>
      </c>
      <c r="F100" s="315">
        <v>0</v>
      </c>
    </row>
    <row r="101" spans="1:6" x14ac:dyDescent="0.2">
      <c r="A101" s="2" t="s">
        <v>1843</v>
      </c>
      <c r="B101" s="315">
        <v>1237</v>
      </c>
      <c r="C101" s="315">
        <v>1788</v>
      </c>
      <c r="D101" s="315">
        <v>1964</v>
      </c>
      <c r="E101" s="315">
        <v>1788</v>
      </c>
      <c r="F101" s="315">
        <v>1251</v>
      </c>
    </row>
    <row r="102" spans="1:6" x14ac:dyDescent="0.2">
      <c r="A102" s="2" t="s">
        <v>1844</v>
      </c>
      <c r="B102" s="315">
        <v>290</v>
      </c>
      <c r="C102" s="315">
        <v>256</v>
      </c>
      <c r="D102" s="315">
        <v>515</v>
      </c>
      <c r="E102" s="315">
        <v>680</v>
      </c>
      <c r="F102" s="315">
        <v>1500</v>
      </c>
    </row>
    <row r="103" spans="1:6" x14ac:dyDescent="0.2">
      <c r="A103" s="2" t="s">
        <v>1845</v>
      </c>
      <c r="B103" s="315">
        <v>0</v>
      </c>
      <c r="C103" s="315">
        <v>0</v>
      </c>
      <c r="D103" s="315">
        <v>0</v>
      </c>
      <c r="E103" s="315">
        <v>0</v>
      </c>
      <c r="F103" s="315">
        <v>0</v>
      </c>
    </row>
    <row r="104" spans="1:6" x14ac:dyDescent="0.2">
      <c r="A104" s="2" t="s">
        <v>1846</v>
      </c>
      <c r="B104" s="315">
        <v>0</v>
      </c>
      <c r="C104" s="315">
        <v>0</v>
      </c>
      <c r="D104" s="315">
        <v>0</v>
      </c>
      <c r="E104" s="315">
        <v>0</v>
      </c>
      <c r="F104" s="315">
        <v>0</v>
      </c>
    </row>
    <row r="105" spans="1:6" x14ac:dyDescent="0.2">
      <c r="A105" s="2" t="s">
        <v>1847</v>
      </c>
      <c r="B105" s="315">
        <v>0</v>
      </c>
      <c r="C105" s="315">
        <v>0</v>
      </c>
      <c r="D105" s="315">
        <v>0</v>
      </c>
      <c r="E105" s="315">
        <v>0</v>
      </c>
      <c r="F105" s="315">
        <v>0</v>
      </c>
    </row>
    <row r="106" spans="1:6" x14ac:dyDescent="0.2">
      <c r="A106" s="2" t="s">
        <v>1848</v>
      </c>
      <c r="B106" s="315">
        <v>0</v>
      </c>
      <c r="C106" s="315">
        <v>0</v>
      </c>
      <c r="D106" s="315">
        <v>0</v>
      </c>
      <c r="E106" s="315">
        <v>0</v>
      </c>
      <c r="F106" s="315">
        <v>0</v>
      </c>
    </row>
    <row r="107" spans="1:6" x14ac:dyDescent="0.2">
      <c r="A107" s="2" t="s">
        <v>1849</v>
      </c>
      <c r="B107" s="315">
        <v>9124</v>
      </c>
      <c r="C107" s="315">
        <v>9242</v>
      </c>
      <c r="D107" s="315">
        <v>4281</v>
      </c>
      <c r="E107" s="315">
        <v>6706</v>
      </c>
      <c r="F107" s="315">
        <v>11463</v>
      </c>
    </row>
    <row r="108" spans="1:6" ht="12" x14ac:dyDescent="0.2">
      <c r="A108" s="2" t="s">
        <v>1850</v>
      </c>
      <c r="B108" s="315">
        <v>1175</v>
      </c>
      <c r="C108" s="315">
        <v>0</v>
      </c>
      <c r="D108" s="315">
        <v>1043</v>
      </c>
      <c r="E108" s="315">
        <v>711</v>
      </c>
      <c r="F108" s="315">
        <v>0</v>
      </c>
    </row>
    <row r="109" spans="1:6" x14ac:dyDescent="0.2">
      <c r="A109" s="2" t="s">
        <v>1851</v>
      </c>
      <c r="B109" s="315">
        <v>722</v>
      </c>
      <c r="C109" s="315">
        <v>1271</v>
      </c>
      <c r="D109" s="315">
        <v>1147</v>
      </c>
      <c r="E109" s="315">
        <v>1079</v>
      </c>
      <c r="F109" s="315">
        <v>1403</v>
      </c>
    </row>
    <row r="110" spans="1:6" x14ac:dyDescent="0.2">
      <c r="A110" s="2" t="s">
        <v>1852</v>
      </c>
      <c r="B110" s="315">
        <v>0</v>
      </c>
      <c r="C110" s="315">
        <v>1019</v>
      </c>
      <c r="D110" s="315">
        <v>0</v>
      </c>
      <c r="E110" s="315">
        <v>0</v>
      </c>
      <c r="F110" s="315">
        <v>0</v>
      </c>
    </row>
    <row r="111" spans="1:6" ht="12" x14ac:dyDescent="0.2">
      <c r="A111" s="2" t="s">
        <v>1853</v>
      </c>
      <c r="B111" s="315">
        <v>288</v>
      </c>
      <c r="C111" s="315">
        <v>302</v>
      </c>
      <c r="D111" s="315">
        <v>163</v>
      </c>
      <c r="E111" s="315">
        <v>143</v>
      </c>
      <c r="F111" s="315">
        <v>279</v>
      </c>
    </row>
    <row r="112" spans="1:6" s="24" customFormat="1" ht="12.75" customHeight="1" x14ac:dyDescent="0.2">
      <c r="A112" s="24" t="s">
        <v>18</v>
      </c>
      <c r="B112" s="622">
        <f>SUM(B113:B123)</f>
        <v>284476</v>
      </c>
      <c r="C112" s="622">
        <f t="shared" ref="C112:E112" si="15">SUM(C113:C123)</f>
        <v>283629</v>
      </c>
      <c r="D112" s="622">
        <f t="shared" si="15"/>
        <v>289370</v>
      </c>
      <c r="E112" s="622">
        <f t="shared" si="15"/>
        <v>302275</v>
      </c>
      <c r="F112" s="622">
        <f>SUM(F113:F123)</f>
        <v>338558</v>
      </c>
    </row>
    <row r="113" spans="1:6" x14ac:dyDescent="0.2">
      <c r="A113" s="2" t="s">
        <v>1854</v>
      </c>
      <c r="B113" s="315">
        <v>15682</v>
      </c>
      <c r="C113" s="315">
        <v>13315</v>
      </c>
      <c r="D113" s="315">
        <v>15666</v>
      </c>
      <c r="E113" s="315">
        <v>22264</v>
      </c>
      <c r="F113" s="315">
        <v>22732</v>
      </c>
    </row>
    <row r="114" spans="1:6" x14ac:dyDescent="0.2">
      <c r="A114" s="2" t="s">
        <v>1855</v>
      </c>
      <c r="B114" s="315">
        <v>0</v>
      </c>
      <c r="C114" s="315">
        <v>0</v>
      </c>
      <c r="D114" s="315">
        <v>0</v>
      </c>
      <c r="E114" s="315">
        <v>0</v>
      </c>
      <c r="F114" s="315">
        <v>0</v>
      </c>
    </row>
    <row r="115" spans="1:6" x14ac:dyDescent="0.2">
      <c r="A115" s="2" t="s">
        <v>1856</v>
      </c>
      <c r="B115" s="315">
        <v>11375</v>
      </c>
      <c r="C115" s="315">
        <v>10327</v>
      </c>
      <c r="D115" s="315">
        <v>5728</v>
      </c>
      <c r="E115" s="315">
        <v>6605</v>
      </c>
      <c r="F115" s="315">
        <v>10159</v>
      </c>
    </row>
    <row r="116" spans="1:6" x14ac:dyDescent="0.2">
      <c r="A116" s="2" t="s">
        <v>1857</v>
      </c>
      <c r="B116" s="315">
        <v>1499</v>
      </c>
      <c r="C116" s="315">
        <v>2031</v>
      </c>
      <c r="D116" s="315">
        <v>1604</v>
      </c>
      <c r="E116" s="315">
        <v>1495</v>
      </c>
      <c r="F116" s="315">
        <v>1827</v>
      </c>
    </row>
    <row r="117" spans="1:6" x14ac:dyDescent="0.2">
      <c r="A117" s="2" t="s">
        <v>1858</v>
      </c>
      <c r="B117" s="315">
        <v>140714</v>
      </c>
      <c r="C117" s="315">
        <v>144109</v>
      </c>
      <c r="D117" s="315">
        <v>145148</v>
      </c>
      <c r="E117" s="315">
        <v>143253</v>
      </c>
      <c r="F117" s="315">
        <v>170032</v>
      </c>
    </row>
    <row r="118" spans="1:6" x14ac:dyDescent="0.2">
      <c r="A118" s="2" t="s">
        <v>1859</v>
      </c>
      <c r="B118" s="315">
        <v>1105</v>
      </c>
      <c r="C118" s="315">
        <v>682</v>
      </c>
      <c r="D118" s="315">
        <v>636</v>
      </c>
      <c r="E118" s="315">
        <v>780</v>
      </c>
      <c r="F118" s="315">
        <v>959</v>
      </c>
    </row>
    <row r="119" spans="1:6" x14ac:dyDescent="0.2">
      <c r="A119" s="2" t="s">
        <v>1860</v>
      </c>
      <c r="B119" s="315">
        <v>7191</v>
      </c>
      <c r="C119" s="315">
        <v>7401</v>
      </c>
      <c r="D119" s="315">
        <v>7841</v>
      </c>
      <c r="E119" s="315">
        <v>7509</v>
      </c>
      <c r="F119" s="315">
        <v>7484</v>
      </c>
    </row>
    <row r="120" spans="1:6" x14ac:dyDescent="0.2">
      <c r="A120" s="2" t="s">
        <v>1861</v>
      </c>
      <c r="B120" s="315">
        <v>11563</v>
      </c>
      <c r="C120" s="315">
        <v>12402</v>
      </c>
      <c r="D120" s="315">
        <v>14281</v>
      </c>
      <c r="E120" s="315">
        <v>13285</v>
      </c>
      <c r="F120" s="315">
        <v>11065</v>
      </c>
    </row>
    <row r="121" spans="1:6" x14ac:dyDescent="0.2">
      <c r="A121" s="2" t="s">
        <v>1862</v>
      </c>
      <c r="B121" s="315">
        <v>23608</v>
      </c>
      <c r="C121" s="315">
        <v>21128</v>
      </c>
      <c r="D121" s="315">
        <v>20013</v>
      </c>
      <c r="E121" s="315">
        <v>22203</v>
      </c>
      <c r="F121" s="315">
        <v>24225</v>
      </c>
    </row>
    <row r="122" spans="1:6" x14ac:dyDescent="0.2">
      <c r="A122" s="2" t="s">
        <v>1863</v>
      </c>
      <c r="B122" s="315">
        <v>0</v>
      </c>
      <c r="C122" s="315">
        <v>0</v>
      </c>
      <c r="D122" s="315">
        <v>0</v>
      </c>
      <c r="E122" s="315">
        <v>0</v>
      </c>
      <c r="F122" s="315">
        <v>0</v>
      </c>
    </row>
    <row r="123" spans="1:6" x14ac:dyDescent="0.2">
      <c r="A123" s="2" t="s">
        <v>1864</v>
      </c>
      <c r="B123" s="315">
        <v>71739</v>
      </c>
      <c r="C123" s="315">
        <v>72234</v>
      </c>
      <c r="D123" s="315">
        <v>78453</v>
      </c>
      <c r="E123" s="315">
        <v>84881</v>
      </c>
      <c r="F123" s="315">
        <v>90075</v>
      </c>
    </row>
    <row r="125" spans="1:6" x14ac:dyDescent="0.2">
      <c r="A125" s="651" t="s">
        <v>1865</v>
      </c>
    </row>
    <row r="126" spans="1:6" x14ac:dyDescent="0.2">
      <c r="A126" s="651" t="s">
        <v>1866</v>
      </c>
    </row>
    <row r="127" spans="1:6" x14ac:dyDescent="0.2">
      <c r="A127" s="669" t="s">
        <v>19</v>
      </c>
    </row>
    <row r="128" spans="1:6" x14ac:dyDescent="0.2">
      <c r="A128" s="623" t="s">
        <v>1412</v>
      </c>
      <c r="B128" s="623"/>
      <c r="C128" s="623"/>
    </row>
  </sheetData>
  <mergeCells count="2">
    <mergeCell ref="A2:F2"/>
    <mergeCell ref="A128:C128"/>
  </mergeCells>
  <pageMargins left="0.7" right="0.7" top="0.75" bottom="0.75" header="0.3" footer="0.3"/>
  <pageSetup paperSize="14" scale="85" orientation="portrait" r:id="rId1"/>
  <rowBreaks count="1" manualBreakCount="1">
    <brk id="62" max="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A257CA-C8BC-4F54-9E1A-4333443AB530}">
  <sheetPr codeName="Hoja11"/>
  <dimension ref="A1:F59"/>
  <sheetViews>
    <sheetView zoomScaleNormal="100" workbookViewId="0">
      <selection activeCell="C25" sqref="C25"/>
    </sheetView>
  </sheetViews>
  <sheetFormatPr baseColWidth="10" defaultRowHeight="13.2" x14ac:dyDescent="0.25"/>
  <cols>
    <col min="1" max="1" width="55.33203125" style="79" customWidth="1"/>
    <col min="2" max="6" width="17.109375" style="79" bestFit="1" customWidth="1"/>
    <col min="7" max="8" width="11.5546875" style="79"/>
    <col min="9" max="9" width="14.44140625" style="79" customWidth="1"/>
    <col min="10" max="10" width="24.109375" style="79" customWidth="1"/>
    <col min="11" max="11" width="26" style="79" customWidth="1"/>
    <col min="12" max="16384" width="11.5546875" style="79"/>
  </cols>
  <sheetData>
    <row r="1" spans="1:6" s="62" customFormat="1" ht="10.199999999999999" x14ac:dyDescent="0.2">
      <c r="A1" s="112"/>
    </row>
    <row r="2" spans="1:6" x14ac:dyDescent="0.25">
      <c r="A2" s="85" t="s">
        <v>95</v>
      </c>
    </row>
    <row r="3" spans="1:6" x14ac:dyDescent="0.25">
      <c r="A3" s="113"/>
      <c r="B3" s="113"/>
      <c r="C3" s="113"/>
      <c r="D3" s="113"/>
      <c r="E3" s="113"/>
      <c r="F3" s="113"/>
    </row>
    <row r="4" spans="1:6" s="62" customFormat="1" ht="14.25" customHeight="1" x14ac:dyDescent="0.2">
      <c r="A4" s="114" t="s">
        <v>141</v>
      </c>
      <c r="B4" s="67" t="s">
        <v>142</v>
      </c>
      <c r="C4" s="68"/>
      <c r="D4" s="68"/>
      <c r="E4" s="68"/>
      <c r="F4" s="69"/>
    </row>
    <row r="5" spans="1:6" s="62" customFormat="1" ht="14.25" customHeight="1" x14ac:dyDescent="0.2">
      <c r="A5" s="115"/>
      <c r="B5" s="72">
        <v>2009</v>
      </c>
      <c r="C5" s="72">
        <v>2010</v>
      </c>
      <c r="D5" s="72">
        <v>2011</v>
      </c>
      <c r="E5" s="72">
        <v>2012</v>
      </c>
      <c r="F5" s="72">
        <v>2013</v>
      </c>
    </row>
    <row r="6" spans="1:6" s="62" customFormat="1" ht="10.199999999999999" x14ac:dyDescent="0.2">
      <c r="A6" s="116" t="s">
        <v>143</v>
      </c>
      <c r="B6" s="117">
        <f>SUM(B7)</f>
        <v>11681224</v>
      </c>
      <c r="C6" s="117">
        <f>SUM(C7)</f>
        <v>12335358</v>
      </c>
      <c r="D6" s="117">
        <f>SUM(D7)</f>
        <v>16073188</v>
      </c>
      <c r="E6" s="117">
        <f>SUM(E7)</f>
        <v>16993413</v>
      </c>
      <c r="F6" s="117">
        <f>SUM(F7)</f>
        <v>6539517</v>
      </c>
    </row>
    <row r="7" spans="1:6" s="62" customFormat="1" ht="10.199999999999999" x14ac:dyDescent="0.2">
      <c r="A7" s="118" t="s">
        <v>144</v>
      </c>
      <c r="B7" s="117">
        <f>SUM(B8:B9)</f>
        <v>11681224</v>
      </c>
      <c r="C7" s="117">
        <f>SUM(C8:C9)</f>
        <v>12335358</v>
      </c>
      <c r="D7" s="117">
        <f>SUM(D8:D9)</f>
        <v>16073188</v>
      </c>
      <c r="E7" s="117">
        <f>SUM(E8:E9)</f>
        <v>16993413</v>
      </c>
      <c r="F7" s="117">
        <f>SUM(F8:F9)</f>
        <v>6539517</v>
      </c>
    </row>
    <row r="8" spans="1:6" s="62" customFormat="1" ht="10.199999999999999" x14ac:dyDescent="0.2">
      <c r="A8" s="119" t="s">
        <v>145</v>
      </c>
      <c r="B8" s="120">
        <v>11681179</v>
      </c>
      <c r="C8" s="121">
        <v>6395220</v>
      </c>
      <c r="D8" s="121">
        <v>14511852</v>
      </c>
      <c r="E8" s="121">
        <v>15076109</v>
      </c>
      <c r="F8" s="122">
        <v>5907195</v>
      </c>
    </row>
    <row r="9" spans="1:6" s="62" customFormat="1" ht="10.199999999999999" x14ac:dyDescent="0.2">
      <c r="A9" s="119" t="s">
        <v>146</v>
      </c>
      <c r="B9" s="123">
        <v>45</v>
      </c>
      <c r="C9" s="123">
        <v>5940138</v>
      </c>
      <c r="D9" s="123">
        <v>1561336</v>
      </c>
      <c r="E9" s="123">
        <v>1917304</v>
      </c>
      <c r="F9" s="122">
        <v>632322</v>
      </c>
    </row>
    <row r="10" spans="1:6" s="62" customFormat="1" ht="20.399999999999999" x14ac:dyDescent="0.2">
      <c r="A10" s="124" t="s">
        <v>147</v>
      </c>
      <c r="B10" s="117">
        <f>SUM(B11)</f>
        <v>135348756</v>
      </c>
      <c r="C10" s="117">
        <f>SUM(C11)</f>
        <v>156718737</v>
      </c>
      <c r="D10" s="117">
        <f>SUM(D11)</f>
        <v>188902696</v>
      </c>
      <c r="E10" s="117">
        <f>SUM(E11)</f>
        <v>224948420</v>
      </c>
      <c r="F10" s="117">
        <f>SUM(F11)</f>
        <v>242861493</v>
      </c>
    </row>
    <row r="11" spans="1:6" s="62" customFormat="1" ht="10.199999999999999" x14ac:dyDescent="0.2">
      <c r="A11" s="118" t="s">
        <v>144</v>
      </c>
      <c r="B11" s="117">
        <f>SUM(B12:B14)</f>
        <v>135348756</v>
      </c>
      <c r="C11" s="117">
        <f>SUM(C12:C14)</f>
        <v>156718737</v>
      </c>
      <c r="D11" s="117">
        <f>SUM(D12:D14)</f>
        <v>188902696</v>
      </c>
      <c r="E11" s="117">
        <f>SUM(E12:E14)</f>
        <v>224948420</v>
      </c>
      <c r="F11" s="117">
        <f>SUM(F12:F14)</f>
        <v>242861493</v>
      </c>
    </row>
    <row r="12" spans="1:6" s="62" customFormat="1" ht="10.199999999999999" x14ac:dyDescent="0.2">
      <c r="A12" s="125" t="s">
        <v>148</v>
      </c>
      <c r="B12" s="126">
        <v>69419409</v>
      </c>
      <c r="C12" s="126">
        <v>108713674</v>
      </c>
      <c r="D12" s="126">
        <v>100481949</v>
      </c>
      <c r="E12" s="127">
        <v>110489548</v>
      </c>
      <c r="F12" s="128">
        <v>136368938</v>
      </c>
    </row>
    <row r="13" spans="1:6" s="62" customFormat="1" ht="10.199999999999999" x14ac:dyDescent="0.2">
      <c r="A13" s="125" t="s">
        <v>149</v>
      </c>
      <c r="B13" s="126">
        <v>52078011</v>
      </c>
      <c r="C13" s="126">
        <v>38439954</v>
      </c>
      <c r="D13" s="126">
        <v>75043336</v>
      </c>
      <c r="E13" s="127">
        <v>99866998</v>
      </c>
      <c r="F13" s="128">
        <v>90912625</v>
      </c>
    </row>
    <row r="14" spans="1:6" s="62" customFormat="1" ht="10.199999999999999" x14ac:dyDescent="0.2">
      <c r="A14" s="125" t="s">
        <v>150</v>
      </c>
      <c r="B14" s="126">
        <v>13851336</v>
      </c>
      <c r="C14" s="126">
        <v>9565109</v>
      </c>
      <c r="D14" s="126">
        <v>13377411</v>
      </c>
      <c r="E14" s="127">
        <v>14591874</v>
      </c>
      <c r="F14" s="128">
        <v>15579930</v>
      </c>
    </row>
    <row r="15" spans="1:6" s="62" customFormat="1" ht="10.199999999999999" x14ac:dyDescent="0.2">
      <c r="A15" s="129" t="s">
        <v>151</v>
      </c>
      <c r="B15" s="117">
        <f>SUM(B16)</f>
        <v>0</v>
      </c>
      <c r="C15" s="117">
        <f>SUM(C16)</f>
        <v>8860000</v>
      </c>
      <c r="D15" s="117">
        <f>SUM(D16)</f>
        <v>3360000</v>
      </c>
      <c r="E15" s="117">
        <f>SUM(E16)</f>
        <v>5900000</v>
      </c>
      <c r="F15" s="117">
        <f>SUM(F16)</f>
        <v>12000000</v>
      </c>
    </row>
    <row r="16" spans="1:6" s="62" customFormat="1" ht="10.199999999999999" x14ac:dyDescent="0.2">
      <c r="A16" s="125" t="s">
        <v>152</v>
      </c>
      <c r="B16" s="130">
        <v>0</v>
      </c>
      <c r="C16" s="131">
        <v>8860000</v>
      </c>
      <c r="D16" s="131">
        <v>3360000</v>
      </c>
      <c r="E16" s="131">
        <v>5900000</v>
      </c>
      <c r="F16" s="132">
        <v>12000000</v>
      </c>
    </row>
    <row r="17" spans="1:6" s="62" customFormat="1" ht="10.199999999999999" x14ac:dyDescent="0.2">
      <c r="A17" s="116" t="s">
        <v>153</v>
      </c>
      <c r="B17" s="117">
        <f>SUM(B18+B27+B29)</f>
        <v>11321793810</v>
      </c>
      <c r="C17" s="117">
        <f>SUM(C18+C27+C29)</f>
        <v>12626334165</v>
      </c>
      <c r="D17" s="117">
        <f>SUM(D18+D27+D29)</f>
        <v>15216707550</v>
      </c>
      <c r="E17" s="117">
        <f>SUM(E18+E27+E29)</f>
        <v>16573474218</v>
      </c>
      <c r="F17" s="117">
        <f>SUM(F18+F27+F29)</f>
        <v>18095444676</v>
      </c>
    </row>
    <row r="18" spans="1:6" s="62" customFormat="1" ht="10.199999999999999" x14ac:dyDescent="0.2">
      <c r="A18" s="118" t="s">
        <v>154</v>
      </c>
      <c r="B18" s="117">
        <f>SUM(B19:B26)</f>
        <v>8665621512</v>
      </c>
      <c r="C18" s="117">
        <f>SUM(C19:C26)</f>
        <v>9586549376</v>
      </c>
      <c r="D18" s="117">
        <f>SUM(D19:D26)</f>
        <v>11449314288</v>
      </c>
      <c r="E18" s="117">
        <f>SUM(E19:E26)</f>
        <v>12444855932</v>
      </c>
      <c r="F18" s="117">
        <f>SUM(F19:F26)</f>
        <v>13375208881</v>
      </c>
    </row>
    <row r="19" spans="1:6" s="62" customFormat="1" ht="10.199999999999999" x14ac:dyDescent="0.2">
      <c r="A19" s="133" t="s">
        <v>155</v>
      </c>
      <c r="B19" s="131">
        <v>716957346</v>
      </c>
      <c r="C19" s="131">
        <v>750405041</v>
      </c>
      <c r="D19" s="131">
        <v>872027916</v>
      </c>
      <c r="E19" s="131">
        <v>932524932</v>
      </c>
      <c r="F19" s="131">
        <v>1001313327</v>
      </c>
    </row>
    <row r="20" spans="1:6" s="62" customFormat="1" ht="10.199999999999999" x14ac:dyDescent="0.2">
      <c r="A20" s="133" t="s">
        <v>156</v>
      </c>
      <c r="B20" s="131">
        <v>1372414305</v>
      </c>
      <c r="C20" s="131">
        <v>1470387817</v>
      </c>
      <c r="D20" s="131">
        <v>1738710584</v>
      </c>
      <c r="E20" s="131">
        <v>1730573577</v>
      </c>
      <c r="F20" s="131">
        <v>1757087722</v>
      </c>
    </row>
    <row r="21" spans="1:6" s="62" customFormat="1" ht="10.199999999999999" x14ac:dyDescent="0.2">
      <c r="A21" s="133" t="s">
        <v>157</v>
      </c>
      <c r="B21" s="131">
        <v>302792040</v>
      </c>
      <c r="C21" s="131">
        <v>302696799</v>
      </c>
      <c r="D21" s="131">
        <v>410291821</v>
      </c>
      <c r="E21" s="131">
        <v>486691909</v>
      </c>
      <c r="F21" s="131">
        <v>520308891</v>
      </c>
    </row>
    <row r="22" spans="1:6" s="62" customFormat="1" ht="10.199999999999999" x14ac:dyDescent="0.2">
      <c r="A22" s="133" t="s">
        <v>158</v>
      </c>
      <c r="B22" s="131">
        <v>3816742175</v>
      </c>
      <c r="C22" s="131">
        <v>3929640416</v>
      </c>
      <c r="D22" s="131">
        <v>4806349245</v>
      </c>
      <c r="E22" s="131">
        <v>4905605431</v>
      </c>
      <c r="F22" s="131">
        <v>5502885703</v>
      </c>
    </row>
    <row r="23" spans="1:6" s="62" customFormat="1" ht="10.199999999999999" x14ac:dyDescent="0.2">
      <c r="A23" s="133" t="s">
        <v>159</v>
      </c>
      <c r="B23" s="131">
        <v>815716876</v>
      </c>
      <c r="C23" s="131">
        <v>1053380240</v>
      </c>
      <c r="D23" s="131">
        <v>1161427101</v>
      </c>
      <c r="E23" s="131">
        <v>1615509413</v>
      </c>
      <c r="F23" s="131">
        <v>1458214938</v>
      </c>
    </row>
    <row r="24" spans="1:6" s="62" customFormat="1" ht="10.199999999999999" x14ac:dyDescent="0.2">
      <c r="A24" s="133" t="s">
        <v>160</v>
      </c>
      <c r="B24" s="131">
        <v>65318618</v>
      </c>
      <c r="C24" s="131">
        <v>93250045</v>
      </c>
      <c r="D24" s="131">
        <v>118631921</v>
      </c>
      <c r="E24" s="131">
        <v>131250303</v>
      </c>
      <c r="F24" s="131">
        <v>143834040</v>
      </c>
    </row>
    <row r="25" spans="1:6" s="62" customFormat="1" ht="10.199999999999999" x14ac:dyDescent="0.2">
      <c r="A25" s="133" t="s">
        <v>161</v>
      </c>
      <c r="B25" s="131">
        <v>1552616675</v>
      </c>
      <c r="C25" s="131">
        <v>1947936680</v>
      </c>
      <c r="D25" s="131">
        <v>2307718202</v>
      </c>
      <c r="E25" s="131">
        <v>2593398864</v>
      </c>
      <c r="F25" s="131">
        <v>2933683788</v>
      </c>
    </row>
    <row r="26" spans="1:6" s="62" customFormat="1" ht="10.199999999999999" x14ac:dyDescent="0.2">
      <c r="A26" s="133" t="s">
        <v>162</v>
      </c>
      <c r="B26" s="131">
        <v>23063477</v>
      </c>
      <c r="C26" s="131">
        <v>38852338</v>
      </c>
      <c r="D26" s="131">
        <v>34157498</v>
      </c>
      <c r="E26" s="131">
        <v>49301503</v>
      </c>
      <c r="F26" s="131">
        <v>57880472</v>
      </c>
    </row>
    <row r="27" spans="1:6" s="62" customFormat="1" ht="10.199999999999999" x14ac:dyDescent="0.2">
      <c r="A27" s="118" t="s">
        <v>163</v>
      </c>
      <c r="B27" s="117">
        <f>SUM(B28)</f>
        <v>88076369</v>
      </c>
      <c r="C27" s="117">
        <f>SUM(C28)</f>
        <v>132905476</v>
      </c>
      <c r="D27" s="117">
        <f>SUM(D28)</f>
        <v>93685036</v>
      </c>
      <c r="E27" s="117">
        <f>SUM(E28)</f>
        <v>151694202</v>
      </c>
      <c r="F27" s="117">
        <f>SUM(F28)</f>
        <v>119931127</v>
      </c>
    </row>
    <row r="28" spans="1:6" s="62" customFormat="1" ht="10.199999999999999" x14ac:dyDescent="0.2">
      <c r="A28" s="133" t="s">
        <v>42</v>
      </c>
      <c r="B28" s="122">
        <v>88076369</v>
      </c>
      <c r="C28" s="134">
        <v>132905476</v>
      </c>
      <c r="D28" s="134">
        <v>93685036</v>
      </c>
      <c r="E28" s="134">
        <v>151694202</v>
      </c>
      <c r="F28" s="134">
        <v>119931127</v>
      </c>
    </row>
    <row r="29" spans="1:6" s="62" customFormat="1" ht="10.199999999999999" x14ac:dyDescent="0.2">
      <c r="A29" s="118" t="s">
        <v>164</v>
      </c>
      <c r="B29" s="117">
        <f>SUM(B30:B38)</f>
        <v>2568095929</v>
      </c>
      <c r="C29" s="117">
        <f>SUM(C30:C38)</f>
        <v>2906879313</v>
      </c>
      <c r="D29" s="117">
        <f>SUM(D30:D38)</f>
        <v>3673708226</v>
      </c>
      <c r="E29" s="117">
        <f>SUM(E30:E38)</f>
        <v>3976924084</v>
      </c>
      <c r="F29" s="117">
        <f>SUM(F30:F38)</f>
        <v>4600304668</v>
      </c>
    </row>
    <row r="30" spans="1:6" s="62" customFormat="1" ht="10.199999999999999" x14ac:dyDescent="0.2">
      <c r="A30" s="133" t="s">
        <v>155</v>
      </c>
      <c r="B30" s="134">
        <v>358760561</v>
      </c>
      <c r="C30" s="134">
        <v>375707686</v>
      </c>
      <c r="D30" s="135">
        <v>436369592</v>
      </c>
      <c r="E30" s="135">
        <v>466439138</v>
      </c>
      <c r="F30" s="134">
        <v>500987520</v>
      </c>
    </row>
    <row r="31" spans="1:6" s="62" customFormat="1" ht="10.199999999999999" x14ac:dyDescent="0.2">
      <c r="A31" s="133" t="s">
        <v>156</v>
      </c>
      <c r="B31" s="134">
        <v>686208242</v>
      </c>
      <c r="C31" s="134">
        <v>737813150</v>
      </c>
      <c r="D31" s="135">
        <v>869355512</v>
      </c>
      <c r="E31" s="135">
        <v>865286773</v>
      </c>
      <c r="F31" s="134">
        <v>878543864</v>
      </c>
    </row>
    <row r="32" spans="1:6" s="62" customFormat="1" ht="10.199999999999999" x14ac:dyDescent="0.2">
      <c r="A32" s="133" t="s">
        <v>157</v>
      </c>
      <c r="B32" s="134">
        <v>151394304</v>
      </c>
      <c r="C32" s="134">
        <v>151348520</v>
      </c>
      <c r="D32" s="135">
        <v>205143160</v>
      </c>
      <c r="E32" s="135">
        <v>243342442</v>
      </c>
      <c r="F32" s="134">
        <v>260154824</v>
      </c>
    </row>
    <row r="33" spans="1:6" s="62" customFormat="1" ht="10.199999999999999" x14ac:dyDescent="0.2">
      <c r="A33" s="133" t="s">
        <v>165</v>
      </c>
      <c r="B33" s="134">
        <v>527274962</v>
      </c>
      <c r="C33" s="134">
        <v>586058959</v>
      </c>
      <c r="D33" s="135">
        <v>910741316</v>
      </c>
      <c r="E33" s="135">
        <v>993398940</v>
      </c>
      <c r="F33" s="134">
        <v>1338350192</v>
      </c>
    </row>
    <row r="34" spans="1:6" s="62" customFormat="1" ht="10.199999999999999" x14ac:dyDescent="0.2">
      <c r="A34" s="133" t="s">
        <v>159</v>
      </c>
      <c r="B34" s="134">
        <v>14124511</v>
      </c>
      <c r="C34" s="134">
        <v>17052939</v>
      </c>
      <c r="D34" s="135">
        <v>22207314</v>
      </c>
      <c r="E34" s="135">
        <v>28584889</v>
      </c>
      <c r="F34" s="134">
        <v>48801896</v>
      </c>
    </row>
    <row r="35" spans="1:6" s="62" customFormat="1" ht="10.199999999999999" x14ac:dyDescent="0.2">
      <c r="A35" s="133" t="s">
        <v>160</v>
      </c>
      <c r="B35" s="134">
        <v>32555612</v>
      </c>
      <c r="C35" s="134">
        <v>46511840</v>
      </c>
      <c r="D35" s="135">
        <v>57564744</v>
      </c>
      <c r="E35" s="135">
        <v>60562000</v>
      </c>
      <c r="F35" s="134">
        <v>71915335</v>
      </c>
    </row>
    <row r="36" spans="1:6" s="62" customFormat="1" ht="10.199999999999999" x14ac:dyDescent="0.2">
      <c r="A36" s="133" t="s">
        <v>166</v>
      </c>
      <c r="B36" s="134">
        <v>776308315</v>
      </c>
      <c r="C36" s="134">
        <v>973780763</v>
      </c>
      <c r="D36" s="135">
        <v>1153818472</v>
      </c>
      <c r="E36" s="135">
        <v>1296698812</v>
      </c>
      <c r="F36" s="134">
        <v>1466838839</v>
      </c>
    </row>
    <row r="37" spans="1:6" s="62" customFormat="1" ht="10.199999999999999" x14ac:dyDescent="0.2">
      <c r="A37" s="133" t="s">
        <v>162</v>
      </c>
      <c r="B37" s="134">
        <v>11539008</v>
      </c>
      <c r="C37" s="134">
        <v>18605456</v>
      </c>
      <c r="D37" s="135">
        <v>16111550</v>
      </c>
      <c r="E37" s="135">
        <v>22611090</v>
      </c>
      <c r="F37" s="134">
        <v>25483677</v>
      </c>
    </row>
    <row r="38" spans="1:6" s="62" customFormat="1" ht="10.199999999999999" x14ac:dyDescent="0.2">
      <c r="A38" s="133" t="s">
        <v>146</v>
      </c>
      <c r="B38" s="134">
        <v>9930414</v>
      </c>
      <c r="C38" s="134">
        <v>0</v>
      </c>
      <c r="D38" s="134">
        <v>2396566</v>
      </c>
      <c r="E38" s="134">
        <v>0</v>
      </c>
      <c r="F38" s="122">
        <v>9228521</v>
      </c>
    </row>
    <row r="39" spans="1:6" x14ac:dyDescent="0.25">
      <c r="A39" s="116" t="s">
        <v>167</v>
      </c>
      <c r="B39" s="136"/>
      <c r="C39" s="136"/>
      <c r="D39" s="136"/>
      <c r="E39" s="136"/>
      <c r="F39" s="136"/>
    </row>
    <row r="40" spans="1:6" x14ac:dyDescent="0.25">
      <c r="A40" s="118" t="s">
        <v>164</v>
      </c>
      <c r="B40" s="134">
        <v>0</v>
      </c>
      <c r="C40" s="134">
        <v>0</v>
      </c>
      <c r="D40" s="134">
        <v>0</v>
      </c>
      <c r="E40" s="117">
        <f>SUM(E41:E48)</f>
        <v>2004490482</v>
      </c>
      <c r="F40" s="117">
        <f>SUM(F41:F48)</f>
        <v>2305760209</v>
      </c>
    </row>
    <row r="41" spans="1:6" x14ac:dyDescent="0.25">
      <c r="A41" s="78" t="s">
        <v>155</v>
      </c>
      <c r="B41" s="134">
        <v>0</v>
      </c>
      <c r="C41" s="134">
        <v>0</v>
      </c>
      <c r="D41" s="134">
        <v>0</v>
      </c>
      <c r="E41" s="121">
        <v>233219569</v>
      </c>
      <c r="F41" s="121">
        <v>250493760</v>
      </c>
    </row>
    <row r="42" spans="1:6" x14ac:dyDescent="0.25">
      <c r="A42" s="78" t="s">
        <v>156</v>
      </c>
      <c r="B42" s="134">
        <v>0</v>
      </c>
      <c r="C42" s="134">
        <v>0</v>
      </c>
      <c r="D42" s="134">
        <v>0</v>
      </c>
      <c r="E42" s="121">
        <v>443191051</v>
      </c>
      <c r="F42" s="121">
        <v>439271932</v>
      </c>
    </row>
    <row r="43" spans="1:6" x14ac:dyDescent="0.25">
      <c r="A43" s="78" t="s">
        <v>168</v>
      </c>
      <c r="B43" s="134">
        <v>0</v>
      </c>
      <c r="C43" s="134">
        <v>0</v>
      </c>
      <c r="D43" s="134">
        <v>0</v>
      </c>
      <c r="E43" s="121">
        <v>121671221</v>
      </c>
      <c r="F43" s="121">
        <v>130077412</v>
      </c>
    </row>
    <row r="44" spans="1:6" x14ac:dyDescent="0.25">
      <c r="A44" s="78" t="s">
        <v>169</v>
      </c>
      <c r="B44" s="134">
        <v>0</v>
      </c>
      <c r="C44" s="134">
        <v>0</v>
      </c>
      <c r="D44" s="134">
        <v>0</v>
      </c>
      <c r="E44" s="121">
        <v>496680245</v>
      </c>
      <c r="F44" s="121">
        <v>669182949</v>
      </c>
    </row>
    <row r="45" spans="1:6" x14ac:dyDescent="0.25">
      <c r="A45" s="78" t="s">
        <v>159</v>
      </c>
      <c r="B45" s="134">
        <v>0</v>
      </c>
      <c r="C45" s="134">
        <v>0</v>
      </c>
      <c r="D45" s="134">
        <v>0</v>
      </c>
      <c r="E45" s="121">
        <v>14292445</v>
      </c>
      <c r="F45" s="121">
        <v>24400948</v>
      </c>
    </row>
    <row r="46" spans="1:6" x14ac:dyDescent="0.25">
      <c r="A46" s="78" t="s">
        <v>166</v>
      </c>
      <c r="B46" s="134">
        <v>0</v>
      </c>
      <c r="C46" s="134">
        <v>0</v>
      </c>
      <c r="D46" s="134">
        <v>0</v>
      </c>
      <c r="E46" s="121">
        <v>648349406</v>
      </c>
      <c r="F46" s="121">
        <v>733419420</v>
      </c>
    </row>
    <row r="47" spans="1:6" x14ac:dyDescent="0.25">
      <c r="A47" s="78" t="s">
        <v>170</v>
      </c>
      <c r="B47" s="134">
        <v>0</v>
      </c>
      <c r="C47" s="134">
        <v>0</v>
      </c>
      <c r="D47" s="134">
        <v>0</v>
      </c>
      <c r="E47" s="121">
        <v>30281000</v>
      </c>
      <c r="F47" s="121">
        <v>35957668</v>
      </c>
    </row>
    <row r="48" spans="1:6" x14ac:dyDescent="0.25">
      <c r="A48" s="78" t="s">
        <v>162</v>
      </c>
      <c r="B48" s="134">
        <v>0</v>
      </c>
      <c r="C48" s="134">
        <v>0</v>
      </c>
      <c r="D48" s="134">
        <v>0</v>
      </c>
      <c r="E48" s="121">
        <v>16805545</v>
      </c>
      <c r="F48" s="121">
        <v>22956120</v>
      </c>
    </row>
    <row r="49" spans="1:6" x14ac:dyDescent="0.25">
      <c r="A49" s="118" t="s">
        <v>171</v>
      </c>
      <c r="B49" s="134">
        <v>0</v>
      </c>
      <c r="C49" s="134">
        <v>0</v>
      </c>
      <c r="D49" s="134">
        <v>0</v>
      </c>
      <c r="E49" s="137">
        <f>SUM(E50:E56)</f>
        <v>220301686</v>
      </c>
      <c r="F49" s="137">
        <f>SUM(F50:F56)</f>
        <v>303988581</v>
      </c>
    </row>
    <row r="50" spans="1:6" x14ac:dyDescent="0.25">
      <c r="A50" s="138" t="s">
        <v>172</v>
      </c>
      <c r="B50" s="134">
        <v>0</v>
      </c>
      <c r="C50" s="134">
        <v>0</v>
      </c>
      <c r="D50" s="134">
        <v>0</v>
      </c>
      <c r="E50" s="139">
        <v>36566269</v>
      </c>
      <c r="F50" s="139">
        <v>29803504</v>
      </c>
    </row>
    <row r="51" spans="1:6" x14ac:dyDescent="0.25">
      <c r="A51" s="138" t="s">
        <v>173</v>
      </c>
      <c r="B51" s="134">
        <v>0</v>
      </c>
      <c r="C51" s="134">
        <v>0</v>
      </c>
      <c r="D51" s="134">
        <v>0</v>
      </c>
      <c r="E51" s="139">
        <v>26794074</v>
      </c>
      <c r="F51" s="139">
        <v>92697728</v>
      </c>
    </row>
    <row r="52" spans="1:6" x14ac:dyDescent="0.25">
      <c r="A52" s="138" t="s">
        <v>174</v>
      </c>
      <c r="B52" s="134">
        <v>0</v>
      </c>
      <c r="C52" s="134">
        <v>0</v>
      </c>
      <c r="D52" s="134">
        <v>0</v>
      </c>
      <c r="E52" s="139">
        <v>22754123</v>
      </c>
      <c r="F52" s="139">
        <v>67068422</v>
      </c>
    </row>
    <row r="53" spans="1:6" x14ac:dyDescent="0.25">
      <c r="A53" s="138" t="s">
        <v>175</v>
      </c>
      <c r="B53" s="134">
        <v>0</v>
      </c>
      <c r="C53" s="134">
        <v>0</v>
      </c>
      <c r="D53" s="134">
        <v>0</v>
      </c>
      <c r="E53" s="139">
        <v>34767906</v>
      </c>
      <c r="F53" s="139">
        <v>51306755</v>
      </c>
    </row>
    <row r="54" spans="1:6" x14ac:dyDescent="0.25">
      <c r="A54" s="138" t="s">
        <v>176</v>
      </c>
      <c r="B54" s="134">
        <v>0</v>
      </c>
      <c r="C54" s="134">
        <v>0</v>
      </c>
      <c r="D54" s="134">
        <v>0</v>
      </c>
      <c r="E54" s="139">
        <v>54580467</v>
      </c>
      <c r="F54" s="139">
        <v>23035226</v>
      </c>
    </row>
    <row r="55" spans="1:6" x14ac:dyDescent="0.25">
      <c r="A55" s="138" t="s">
        <v>177</v>
      </c>
      <c r="B55" s="134">
        <v>0</v>
      </c>
      <c r="C55" s="134">
        <v>0</v>
      </c>
      <c r="D55" s="134">
        <v>0</v>
      </c>
      <c r="E55" s="139">
        <v>37857543</v>
      </c>
      <c r="F55" s="139">
        <v>27848179</v>
      </c>
    </row>
    <row r="56" spans="1:6" x14ac:dyDescent="0.25">
      <c r="A56" s="138" t="s">
        <v>178</v>
      </c>
      <c r="B56" s="134">
        <v>0</v>
      </c>
      <c r="C56" s="134">
        <v>0</v>
      </c>
      <c r="D56" s="134">
        <v>0</v>
      </c>
      <c r="E56" s="139">
        <v>6981304</v>
      </c>
      <c r="F56" s="139">
        <v>12228767</v>
      </c>
    </row>
    <row r="58" spans="1:6" x14ac:dyDescent="0.25">
      <c r="A58" s="140" t="s">
        <v>19</v>
      </c>
    </row>
    <row r="59" spans="1:6" x14ac:dyDescent="0.25">
      <c r="A59" s="141" t="s">
        <v>179</v>
      </c>
    </row>
  </sheetData>
  <mergeCells count="2">
    <mergeCell ref="A4:A5"/>
    <mergeCell ref="B4:F4"/>
  </mergeCells>
  <pageMargins left="0.70866141732283472" right="0.70866141732283472" top="0.49" bottom="0.35" header="0.31496062992125984" footer="0.31496062992125984"/>
  <pageSetup paperSize="14" scale="80" orientation="landscape" verticalDpi="599"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D1F164-6B82-4AFE-AF79-48CDB28850C0}">
  <sheetPr codeName="Hoja110"/>
  <dimension ref="A2:P129"/>
  <sheetViews>
    <sheetView zoomScale="110" zoomScaleNormal="110" workbookViewId="0">
      <selection activeCell="D4" sqref="D4"/>
    </sheetView>
  </sheetViews>
  <sheetFormatPr baseColWidth="10" defaultColWidth="11.44140625" defaultRowHeight="10.199999999999999" x14ac:dyDescent="0.2"/>
  <cols>
    <col min="1" max="1" width="30.33203125" style="2" customWidth="1"/>
    <col min="2" max="16" width="12" style="2" bestFit="1" customWidth="1"/>
    <col min="17" max="16384" width="11.44140625" style="2"/>
  </cols>
  <sheetData>
    <row r="2" spans="1:16" s="24" customFormat="1" x14ac:dyDescent="0.2">
      <c r="A2" s="24" t="s">
        <v>1111</v>
      </c>
    </row>
    <row r="4" spans="1:16" ht="16.5" customHeight="1" x14ac:dyDescent="0.2">
      <c r="A4" s="323" t="s">
        <v>1867</v>
      </c>
      <c r="B4" s="323">
        <v>2009</v>
      </c>
      <c r="C4" s="323"/>
      <c r="D4" s="323"/>
      <c r="E4" s="323">
        <v>2010</v>
      </c>
      <c r="F4" s="323"/>
      <c r="G4" s="323"/>
      <c r="H4" s="323">
        <v>2011</v>
      </c>
      <c r="I4" s="323"/>
      <c r="J4" s="323"/>
      <c r="K4" s="323">
        <v>2012</v>
      </c>
      <c r="L4" s="323"/>
      <c r="M4" s="323"/>
      <c r="N4" s="323">
        <v>2013</v>
      </c>
      <c r="O4" s="323"/>
      <c r="P4" s="323"/>
    </row>
    <row r="5" spans="1:16" ht="19.5" customHeight="1" x14ac:dyDescent="0.2">
      <c r="A5" s="323"/>
      <c r="B5" s="621" t="s">
        <v>42</v>
      </c>
      <c r="C5" s="621" t="s">
        <v>975</v>
      </c>
      <c r="D5" s="621" t="s">
        <v>976</v>
      </c>
      <c r="E5" s="621" t="s">
        <v>42</v>
      </c>
      <c r="F5" s="621" t="s">
        <v>975</v>
      </c>
      <c r="G5" s="621" t="s">
        <v>976</v>
      </c>
      <c r="H5" s="621" t="s">
        <v>42</v>
      </c>
      <c r="I5" s="621" t="s">
        <v>975</v>
      </c>
      <c r="J5" s="621" t="s">
        <v>976</v>
      </c>
      <c r="K5" s="621" t="s">
        <v>42</v>
      </c>
      <c r="L5" s="621" t="s">
        <v>975</v>
      </c>
      <c r="M5" s="621" t="s">
        <v>976</v>
      </c>
      <c r="N5" s="621" t="s">
        <v>42</v>
      </c>
      <c r="O5" s="621" t="s">
        <v>975</v>
      </c>
      <c r="P5" s="621" t="s">
        <v>976</v>
      </c>
    </row>
    <row r="6" spans="1:16" s="24" customFormat="1" ht="14.25" customHeight="1" x14ac:dyDescent="0.2">
      <c r="A6" s="24" t="s">
        <v>3</v>
      </c>
      <c r="B6" s="622">
        <f>SUM(C6:D6)</f>
        <v>2056218</v>
      </c>
      <c r="C6" s="622">
        <f>SUM(C7+C12+C16+C22+C26+C31+C40+C43+C47+C56+C64+C78+C81+C93+C113)</f>
        <v>1424914</v>
      </c>
      <c r="D6" s="622">
        <f>SUM(D7+D12+D16+D22+D26+D31+D40+D43+D47+D56+D64+D78+D81+D93+D113)</f>
        <v>631304</v>
      </c>
      <c r="E6" s="622">
        <f>SUM(F6:G6)</f>
        <v>1816916</v>
      </c>
      <c r="F6" s="622">
        <f>SUM(F7+F12+F16+F22+F26+F31+F40+F43+F47+F56+F64+F78+F81+F93+F113)</f>
        <v>1265303</v>
      </c>
      <c r="G6" s="622">
        <f>SUM(G7+G12+G16+G22+G26+G31+G40+G43+G47+G56+G64+G78+G81+G93+G113)</f>
        <v>551613</v>
      </c>
      <c r="H6" s="622">
        <f>SUM(I6:J6)</f>
        <v>1791930</v>
      </c>
      <c r="I6" s="622">
        <f>SUM(I7+I12+I16+I22+I26+I31+I40+I43+I47+I56+I64+I78+I81+I93+I113)</f>
        <v>1315924</v>
      </c>
      <c r="J6" s="622">
        <f>SUM(J7+J12+J16+J22+J26+J31+J40+J43+J47+J56+J64+J78+J81+J93+J113)</f>
        <v>476006</v>
      </c>
      <c r="K6" s="622">
        <f>SUM(L6:M6)</f>
        <v>2061670</v>
      </c>
      <c r="L6" s="622">
        <f>SUM(L7+L12+L16+L22+L26+L31+L40+L43+L47+L56+L64+L78+L81+L93+L113)</f>
        <v>1547482</v>
      </c>
      <c r="M6" s="622">
        <f>SUM(M7+M12+M16+M22+M26+M31+M40+M43+M47+M56+M64+M78+M81+M93+M113)</f>
        <v>514188</v>
      </c>
      <c r="N6" s="622">
        <f>SUM(O6:P6)</f>
        <v>2408269</v>
      </c>
      <c r="O6" s="622">
        <f>SUM(O7+O12+O16+O22+O26+O31+O40+O43+O47+O56+O64+O78+O81+O93+O113)</f>
        <v>1868972</v>
      </c>
      <c r="P6" s="622">
        <f>SUM(P7+P12+P16+P22+P26+P31+P40+P43+P47+P56+P64+P78+P81+P93+P113)</f>
        <v>539297</v>
      </c>
    </row>
    <row r="7" spans="1:16" s="24" customFormat="1" ht="14.25" customHeight="1" x14ac:dyDescent="0.2">
      <c r="A7" s="24" t="s">
        <v>4</v>
      </c>
      <c r="B7" s="622">
        <f>SUM(C7:D7)</f>
        <v>17526</v>
      </c>
      <c r="C7" s="622">
        <f>SUM(C8:C11)</f>
        <v>10094</v>
      </c>
      <c r="D7" s="622">
        <f>SUM(D8:D11)</f>
        <v>7432</v>
      </c>
      <c r="E7" s="622">
        <f>SUM(F7:G7)</f>
        <v>15045</v>
      </c>
      <c r="F7" s="622">
        <f>SUM(F8:F11)</f>
        <v>9023</v>
      </c>
      <c r="G7" s="622">
        <f>SUM(G8:G11)</f>
        <v>6022</v>
      </c>
      <c r="H7" s="622">
        <f t="shared" ref="H7:H70" si="0">SUM(I7:J7)</f>
        <v>13991</v>
      </c>
      <c r="I7" s="622">
        <f>SUM(I8:I11)</f>
        <v>9524</v>
      </c>
      <c r="J7" s="622">
        <f>SUM(J8:J11)</f>
        <v>4467</v>
      </c>
      <c r="K7" s="622">
        <f t="shared" ref="K7:K70" si="1">SUM(L7:M7)</f>
        <v>13002</v>
      </c>
      <c r="L7" s="622">
        <f>SUM(L8:L11)</f>
        <v>9685</v>
      </c>
      <c r="M7" s="622">
        <f>SUM(M8:M11)</f>
        <v>3317</v>
      </c>
      <c r="N7" s="622">
        <f t="shared" ref="N7:N70" si="2">SUM(O7:P7)</f>
        <v>18425</v>
      </c>
      <c r="O7" s="622">
        <f>SUM(O8:O11)</f>
        <v>13452</v>
      </c>
      <c r="P7" s="622">
        <f>SUM(P8:P11)</f>
        <v>4973</v>
      </c>
    </row>
    <row r="8" spans="1:16" ht="10.5" customHeight="1" x14ac:dyDescent="0.2">
      <c r="A8" s="2" t="s">
        <v>1761</v>
      </c>
      <c r="B8" s="315">
        <f t="shared" ref="B8:B71" si="3">SUM(C8:D8)</f>
        <v>15479</v>
      </c>
      <c r="C8" s="315">
        <v>9753</v>
      </c>
      <c r="D8" s="315">
        <v>5726</v>
      </c>
      <c r="E8" s="315">
        <f>SUM(F8:G8)</f>
        <v>13340</v>
      </c>
      <c r="F8" s="315">
        <v>8769</v>
      </c>
      <c r="G8" s="315">
        <v>4571</v>
      </c>
      <c r="H8" s="315">
        <f t="shared" si="0"/>
        <v>12081</v>
      </c>
      <c r="I8" s="315">
        <v>9001</v>
      </c>
      <c r="J8" s="315">
        <v>3080</v>
      </c>
      <c r="K8" s="315">
        <f t="shared" si="1"/>
        <v>12087</v>
      </c>
      <c r="L8" s="315">
        <v>9449</v>
      </c>
      <c r="M8" s="315">
        <v>2638</v>
      </c>
      <c r="N8" s="315">
        <f t="shared" si="2"/>
        <v>17211</v>
      </c>
      <c r="O8" s="315">
        <v>13110</v>
      </c>
      <c r="P8" s="315">
        <v>4101</v>
      </c>
    </row>
    <row r="9" spans="1:16" x14ac:dyDescent="0.2">
      <c r="A9" s="2" t="s">
        <v>1762</v>
      </c>
      <c r="B9" s="315">
        <f t="shared" si="3"/>
        <v>987</v>
      </c>
      <c r="C9" s="315">
        <v>124</v>
      </c>
      <c r="D9" s="315">
        <v>863</v>
      </c>
      <c r="E9" s="315">
        <f t="shared" ref="E9:E72" si="4">SUM(F9:G9)</f>
        <v>448</v>
      </c>
      <c r="F9" s="315">
        <v>64</v>
      </c>
      <c r="G9" s="315">
        <v>384</v>
      </c>
      <c r="H9" s="315">
        <f t="shared" si="0"/>
        <v>777</v>
      </c>
      <c r="I9" s="315">
        <v>291</v>
      </c>
      <c r="J9" s="315">
        <v>486</v>
      </c>
      <c r="K9" s="315">
        <f t="shared" si="1"/>
        <v>208</v>
      </c>
      <c r="L9" s="315">
        <v>50</v>
      </c>
      <c r="M9" s="315">
        <v>158</v>
      </c>
      <c r="N9" s="315">
        <f t="shared" si="2"/>
        <v>450</v>
      </c>
      <c r="O9" s="315">
        <v>93</v>
      </c>
      <c r="P9" s="315">
        <v>357</v>
      </c>
    </row>
    <row r="10" spans="1:16" x14ac:dyDescent="0.2">
      <c r="A10" s="2" t="s">
        <v>1763</v>
      </c>
      <c r="B10" s="315">
        <f t="shared" si="3"/>
        <v>0</v>
      </c>
      <c r="C10" s="315">
        <v>0</v>
      </c>
      <c r="D10" s="315">
        <v>0</v>
      </c>
      <c r="E10" s="315">
        <f t="shared" si="4"/>
        <v>0</v>
      </c>
      <c r="F10" s="315">
        <v>0</v>
      </c>
      <c r="G10" s="315">
        <v>0</v>
      </c>
      <c r="H10" s="315">
        <f t="shared" si="0"/>
        <v>0</v>
      </c>
      <c r="I10" s="315">
        <v>0</v>
      </c>
      <c r="J10" s="315">
        <v>0</v>
      </c>
      <c r="K10" s="315">
        <f t="shared" si="1"/>
        <v>0</v>
      </c>
      <c r="L10" s="315">
        <v>0</v>
      </c>
      <c r="M10" s="315">
        <v>0</v>
      </c>
      <c r="N10" s="315">
        <f t="shared" si="2"/>
        <v>0</v>
      </c>
      <c r="O10" s="315">
        <v>0</v>
      </c>
      <c r="P10" s="315">
        <v>0</v>
      </c>
    </row>
    <row r="11" spans="1:16" x14ac:dyDescent="0.2">
      <c r="A11" s="2" t="s">
        <v>1764</v>
      </c>
      <c r="B11" s="315">
        <f t="shared" si="3"/>
        <v>1060</v>
      </c>
      <c r="C11" s="315">
        <v>217</v>
      </c>
      <c r="D11" s="315">
        <v>843</v>
      </c>
      <c r="E11" s="315">
        <f t="shared" si="4"/>
        <v>1257</v>
      </c>
      <c r="F11" s="315">
        <v>190</v>
      </c>
      <c r="G11" s="315">
        <v>1067</v>
      </c>
      <c r="H11" s="315">
        <f t="shared" si="0"/>
        <v>1133</v>
      </c>
      <c r="I11" s="315">
        <v>232</v>
      </c>
      <c r="J11" s="315">
        <v>901</v>
      </c>
      <c r="K11" s="315">
        <f t="shared" si="1"/>
        <v>707</v>
      </c>
      <c r="L11" s="315">
        <v>186</v>
      </c>
      <c r="M11" s="315">
        <v>521</v>
      </c>
      <c r="N11" s="315">
        <f t="shared" si="2"/>
        <v>764</v>
      </c>
      <c r="O11" s="315">
        <v>249</v>
      </c>
      <c r="P11" s="315">
        <v>515</v>
      </c>
    </row>
    <row r="12" spans="1:16" s="24" customFormat="1" ht="12.75" customHeight="1" x14ac:dyDescent="0.2">
      <c r="A12" s="24" t="s">
        <v>5</v>
      </c>
      <c r="B12" s="622">
        <f t="shared" si="3"/>
        <v>12213</v>
      </c>
      <c r="C12" s="622">
        <f>SUM(C13:C15)</f>
        <v>9625</v>
      </c>
      <c r="D12" s="622">
        <f>SUM(D13:D15)</f>
        <v>2588</v>
      </c>
      <c r="E12" s="622">
        <f t="shared" si="4"/>
        <v>17161</v>
      </c>
      <c r="F12" s="622">
        <f>SUM(F13:F15)</f>
        <v>14086</v>
      </c>
      <c r="G12" s="622">
        <f>SUM(G13:G15)</f>
        <v>3075</v>
      </c>
      <c r="H12" s="622">
        <f t="shared" si="0"/>
        <v>9875</v>
      </c>
      <c r="I12" s="622">
        <f>SUM(I13:I15)</f>
        <v>8281</v>
      </c>
      <c r="J12" s="622">
        <f>SUM(J13:J15)</f>
        <v>1594</v>
      </c>
      <c r="K12" s="622">
        <f t="shared" si="1"/>
        <v>2271</v>
      </c>
      <c r="L12" s="622">
        <f>SUM(L13:L15)</f>
        <v>1648</v>
      </c>
      <c r="M12" s="622">
        <f>SUM(M13:M15)</f>
        <v>623</v>
      </c>
      <c r="N12" s="622">
        <f t="shared" si="2"/>
        <v>3228</v>
      </c>
      <c r="O12" s="622">
        <f>SUM(O13:O15)</f>
        <v>2679</v>
      </c>
      <c r="P12" s="622">
        <f>SUM(P13:P15)</f>
        <v>549</v>
      </c>
    </row>
    <row r="13" spans="1:16" x14ac:dyDescent="0.2">
      <c r="A13" s="2" t="s">
        <v>1868</v>
      </c>
      <c r="B13" s="315">
        <f t="shared" si="3"/>
        <v>223</v>
      </c>
      <c r="C13" s="315">
        <v>124</v>
      </c>
      <c r="D13" s="315">
        <v>99</v>
      </c>
      <c r="E13" s="315">
        <f t="shared" si="4"/>
        <v>361</v>
      </c>
      <c r="F13" s="315">
        <v>183</v>
      </c>
      <c r="G13" s="315">
        <v>178</v>
      </c>
      <c r="H13" s="315">
        <f t="shared" si="0"/>
        <v>185</v>
      </c>
      <c r="I13" s="315">
        <v>89</v>
      </c>
      <c r="J13" s="315">
        <v>96</v>
      </c>
      <c r="K13" s="315">
        <f t="shared" si="1"/>
        <v>187</v>
      </c>
      <c r="L13" s="315">
        <v>113</v>
      </c>
      <c r="M13" s="315">
        <v>74</v>
      </c>
      <c r="N13" s="315">
        <f t="shared" si="2"/>
        <v>258</v>
      </c>
      <c r="O13" s="315">
        <v>137</v>
      </c>
      <c r="P13" s="315">
        <v>121</v>
      </c>
    </row>
    <row r="14" spans="1:16" x14ac:dyDescent="0.2">
      <c r="A14" s="2" t="s">
        <v>1766</v>
      </c>
      <c r="B14" s="315">
        <f t="shared" si="3"/>
        <v>0</v>
      </c>
      <c r="C14" s="315">
        <v>0</v>
      </c>
      <c r="D14" s="315">
        <v>0</v>
      </c>
      <c r="E14" s="315">
        <f t="shared" si="4"/>
        <v>0</v>
      </c>
      <c r="F14" s="315">
        <v>0</v>
      </c>
      <c r="G14" s="315">
        <v>0</v>
      </c>
      <c r="H14" s="315">
        <f t="shared" si="0"/>
        <v>0</v>
      </c>
      <c r="I14" s="315">
        <v>0</v>
      </c>
      <c r="J14" s="315">
        <v>0</v>
      </c>
      <c r="K14" s="315">
        <f t="shared" si="1"/>
        <v>0</v>
      </c>
      <c r="L14" s="315">
        <v>0</v>
      </c>
      <c r="M14" s="315">
        <v>0</v>
      </c>
      <c r="N14" s="315">
        <f t="shared" si="2"/>
        <v>0</v>
      </c>
      <c r="O14" s="315">
        <v>0</v>
      </c>
      <c r="P14" s="315">
        <v>0</v>
      </c>
    </row>
    <row r="15" spans="1:16" x14ac:dyDescent="0.2">
      <c r="A15" s="2" t="s">
        <v>1767</v>
      </c>
      <c r="B15" s="315">
        <f t="shared" si="3"/>
        <v>11990</v>
      </c>
      <c r="C15" s="315">
        <v>9501</v>
      </c>
      <c r="D15" s="315">
        <v>2489</v>
      </c>
      <c r="E15" s="315">
        <f t="shared" si="4"/>
        <v>16800</v>
      </c>
      <c r="F15" s="315">
        <v>13903</v>
      </c>
      <c r="G15" s="315">
        <v>2897</v>
      </c>
      <c r="H15" s="315">
        <f t="shared" si="0"/>
        <v>9690</v>
      </c>
      <c r="I15" s="315">
        <v>8192</v>
      </c>
      <c r="J15" s="315">
        <v>1498</v>
      </c>
      <c r="K15" s="315">
        <f t="shared" si="1"/>
        <v>2084</v>
      </c>
      <c r="L15" s="315">
        <v>1535</v>
      </c>
      <c r="M15" s="315">
        <v>549</v>
      </c>
      <c r="N15" s="315">
        <f t="shared" si="2"/>
        <v>2970</v>
      </c>
      <c r="O15" s="315">
        <v>2542</v>
      </c>
      <c r="P15" s="315">
        <v>428</v>
      </c>
    </row>
    <row r="16" spans="1:16" s="24" customFormat="1" ht="12.75" customHeight="1" x14ac:dyDescent="0.2">
      <c r="A16" s="24" t="s">
        <v>6</v>
      </c>
      <c r="B16" s="622">
        <f t="shared" si="3"/>
        <v>279738</v>
      </c>
      <c r="C16" s="622">
        <f>SUM(C17:C21)</f>
        <v>162211</v>
      </c>
      <c r="D16" s="622">
        <f>SUM(D17:D21)</f>
        <v>117527</v>
      </c>
      <c r="E16" s="622">
        <f t="shared" si="4"/>
        <v>315888</v>
      </c>
      <c r="F16" s="622">
        <f>SUM(F17:F21)</f>
        <v>168873</v>
      </c>
      <c r="G16" s="622">
        <f>SUM(G17:G21)</f>
        <v>147015</v>
      </c>
      <c r="H16" s="622">
        <f t="shared" si="0"/>
        <v>330317</v>
      </c>
      <c r="I16" s="622">
        <f>SUM(I17:I21)</f>
        <v>192958</v>
      </c>
      <c r="J16" s="622">
        <f>SUM(J17:J21)</f>
        <v>137359</v>
      </c>
      <c r="K16" s="622">
        <f t="shared" si="1"/>
        <v>338326</v>
      </c>
      <c r="L16" s="622">
        <f>SUM(L17:L21)</f>
        <v>194106</v>
      </c>
      <c r="M16" s="622">
        <f>SUM(M17:M21)</f>
        <v>144220</v>
      </c>
      <c r="N16" s="622">
        <f t="shared" si="2"/>
        <v>400503</v>
      </c>
      <c r="O16" s="622">
        <f>SUM(O17:O21)</f>
        <v>255128</v>
      </c>
      <c r="P16" s="622">
        <f>SUM(P17:P21)</f>
        <v>145375</v>
      </c>
    </row>
    <row r="17" spans="1:16" x14ac:dyDescent="0.2">
      <c r="A17" s="2" t="s">
        <v>1768</v>
      </c>
      <c r="B17" s="315">
        <f t="shared" si="3"/>
        <v>0</v>
      </c>
      <c r="C17" s="315">
        <v>0</v>
      </c>
      <c r="D17" s="315">
        <v>0</v>
      </c>
      <c r="E17" s="315">
        <f t="shared" si="4"/>
        <v>0</v>
      </c>
      <c r="F17" s="315">
        <v>0</v>
      </c>
      <c r="G17" s="315">
        <v>0</v>
      </c>
      <c r="H17" s="315">
        <f t="shared" si="0"/>
        <v>0</v>
      </c>
      <c r="I17" s="315">
        <v>0</v>
      </c>
      <c r="J17" s="315">
        <v>0</v>
      </c>
      <c r="K17" s="315">
        <f t="shared" si="1"/>
        <v>0</v>
      </c>
      <c r="L17" s="315">
        <v>0</v>
      </c>
      <c r="M17" s="315">
        <v>0</v>
      </c>
      <c r="N17" s="315">
        <f t="shared" si="2"/>
        <v>0</v>
      </c>
      <c r="O17" s="315">
        <v>0</v>
      </c>
      <c r="P17" s="315">
        <v>0</v>
      </c>
    </row>
    <row r="18" spans="1:16" x14ac:dyDescent="0.2">
      <c r="A18" s="2" t="s">
        <v>1769</v>
      </c>
      <c r="B18" s="315">
        <f t="shared" si="3"/>
        <v>0</v>
      </c>
      <c r="C18" s="315">
        <v>0</v>
      </c>
      <c r="D18" s="315">
        <v>0</v>
      </c>
      <c r="E18" s="315">
        <f t="shared" si="4"/>
        <v>0</v>
      </c>
      <c r="F18" s="315">
        <v>0</v>
      </c>
      <c r="G18" s="315">
        <v>0</v>
      </c>
      <c r="H18" s="315">
        <f t="shared" si="0"/>
        <v>0</v>
      </c>
      <c r="I18" s="315">
        <v>0</v>
      </c>
      <c r="J18" s="315">
        <v>0</v>
      </c>
      <c r="K18" s="315">
        <f t="shared" si="1"/>
        <v>0</v>
      </c>
      <c r="L18" s="315">
        <v>0</v>
      </c>
      <c r="M18" s="315">
        <v>0</v>
      </c>
      <c r="N18" s="315">
        <f t="shared" si="2"/>
        <v>0</v>
      </c>
      <c r="O18" s="315">
        <v>0</v>
      </c>
      <c r="P18" s="315">
        <v>0</v>
      </c>
    </row>
    <row r="19" spans="1:16" x14ac:dyDescent="0.2">
      <c r="A19" s="2" t="s">
        <v>1770</v>
      </c>
      <c r="B19" s="315">
        <f t="shared" si="3"/>
        <v>168332</v>
      </c>
      <c r="C19" s="315">
        <v>54727</v>
      </c>
      <c r="D19" s="315">
        <v>113605</v>
      </c>
      <c r="E19" s="315">
        <f t="shared" si="4"/>
        <v>208569</v>
      </c>
      <c r="F19" s="315">
        <v>67520</v>
      </c>
      <c r="G19" s="315">
        <v>141049</v>
      </c>
      <c r="H19" s="315">
        <f t="shared" si="0"/>
        <v>213230</v>
      </c>
      <c r="I19" s="315">
        <v>78270</v>
      </c>
      <c r="J19" s="315">
        <v>134960</v>
      </c>
      <c r="K19" s="315">
        <f t="shared" si="1"/>
        <v>218741</v>
      </c>
      <c r="L19" s="315">
        <v>78340</v>
      </c>
      <c r="M19" s="315">
        <v>140401</v>
      </c>
      <c r="N19" s="315">
        <f t="shared" si="2"/>
        <v>240118</v>
      </c>
      <c r="O19" s="315">
        <v>98145</v>
      </c>
      <c r="P19" s="315">
        <v>141973</v>
      </c>
    </row>
    <row r="20" spans="1:16" x14ac:dyDescent="0.2">
      <c r="A20" s="2" t="s">
        <v>1869</v>
      </c>
      <c r="B20" s="315">
        <f t="shared" si="3"/>
        <v>0</v>
      </c>
      <c r="C20" s="315">
        <v>0</v>
      </c>
      <c r="D20" s="315">
        <v>0</v>
      </c>
      <c r="E20" s="315">
        <f t="shared" si="4"/>
        <v>0</v>
      </c>
      <c r="F20" s="315">
        <v>0</v>
      </c>
      <c r="G20" s="315">
        <v>0</v>
      </c>
      <c r="H20" s="315">
        <f t="shared" si="0"/>
        <v>0</v>
      </c>
      <c r="I20" s="315">
        <v>0</v>
      </c>
      <c r="J20" s="315">
        <v>0</v>
      </c>
      <c r="K20" s="315">
        <f t="shared" si="1"/>
        <v>0</v>
      </c>
      <c r="L20" s="315">
        <v>0</v>
      </c>
      <c r="M20" s="315">
        <v>0</v>
      </c>
      <c r="N20" s="315">
        <f t="shared" si="2"/>
        <v>0</v>
      </c>
      <c r="O20" s="315">
        <v>0</v>
      </c>
      <c r="P20" s="315">
        <v>0</v>
      </c>
    </row>
    <row r="21" spans="1:16" x14ac:dyDescent="0.2">
      <c r="A21" s="2" t="s">
        <v>1772</v>
      </c>
      <c r="B21" s="315">
        <f t="shared" si="3"/>
        <v>111406</v>
      </c>
      <c r="C21" s="315">
        <v>107484</v>
      </c>
      <c r="D21" s="315">
        <v>3922</v>
      </c>
      <c r="E21" s="315">
        <f t="shared" si="4"/>
        <v>107319</v>
      </c>
      <c r="F21" s="315">
        <v>101353</v>
      </c>
      <c r="G21" s="315">
        <v>5966</v>
      </c>
      <c r="H21" s="315">
        <f t="shared" si="0"/>
        <v>117087</v>
      </c>
      <c r="I21" s="315">
        <v>114688</v>
      </c>
      <c r="J21" s="315">
        <v>2399</v>
      </c>
      <c r="K21" s="315">
        <f t="shared" si="1"/>
        <v>119585</v>
      </c>
      <c r="L21" s="315">
        <v>115766</v>
      </c>
      <c r="M21" s="315">
        <v>3819</v>
      </c>
      <c r="N21" s="315">
        <f t="shared" si="2"/>
        <v>160385</v>
      </c>
      <c r="O21" s="315">
        <v>156983</v>
      </c>
      <c r="P21" s="315">
        <v>3402</v>
      </c>
    </row>
    <row r="22" spans="1:16" s="24" customFormat="1" ht="12.75" customHeight="1" x14ac:dyDescent="0.2">
      <c r="A22" s="24" t="s">
        <v>7</v>
      </c>
      <c r="B22" s="622">
        <f t="shared" si="3"/>
        <v>17647</v>
      </c>
      <c r="C22" s="622">
        <f>SUM(C23:C25)</f>
        <v>16584</v>
      </c>
      <c r="D22" s="622">
        <f>SUM(D23:D25)</f>
        <v>1063</v>
      </c>
      <c r="E22" s="622">
        <f t="shared" si="4"/>
        <v>24873</v>
      </c>
      <c r="F22" s="622">
        <f>SUM(F23:F25)</f>
        <v>23841</v>
      </c>
      <c r="G22" s="622">
        <f>SUM(G23:G25)</f>
        <v>1032</v>
      </c>
      <c r="H22" s="622">
        <f t="shared" si="0"/>
        <v>16474</v>
      </c>
      <c r="I22" s="622">
        <f>SUM(I23:I25)</f>
        <v>15429</v>
      </c>
      <c r="J22" s="622">
        <f>SUM(J23:J25)</f>
        <v>1045</v>
      </c>
      <c r="K22" s="622">
        <f t="shared" si="1"/>
        <v>17725</v>
      </c>
      <c r="L22" s="622">
        <f>SUM(L23:L25)</f>
        <v>16307</v>
      </c>
      <c r="M22" s="622">
        <f>SUM(M23:M25)</f>
        <v>1418</v>
      </c>
      <c r="N22" s="622">
        <f t="shared" si="2"/>
        <v>19045</v>
      </c>
      <c r="O22" s="622">
        <f>SUM(O23:O25)</f>
        <v>17883</v>
      </c>
      <c r="P22" s="622">
        <f>SUM(P23:P25)</f>
        <v>1162</v>
      </c>
    </row>
    <row r="23" spans="1:16" x14ac:dyDescent="0.2">
      <c r="A23" s="2" t="s">
        <v>1773</v>
      </c>
      <c r="B23" s="315">
        <f t="shared" si="3"/>
        <v>14964</v>
      </c>
      <c r="C23" s="315">
        <v>14105</v>
      </c>
      <c r="D23" s="315">
        <v>859</v>
      </c>
      <c r="E23" s="315">
        <f t="shared" si="4"/>
        <v>22539</v>
      </c>
      <c r="F23" s="315">
        <v>21666</v>
      </c>
      <c r="G23" s="315">
        <v>873</v>
      </c>
      <c r="H23" s="315">
        <f t="shared" si="0"/>
        <v>12788</v>
      </c>
      <c r="I23" s="315">
        <v>11971</v>
      </c>
      <c r="J23" s="315">
        <v>817</v>
      </c>
      <c r="K23" s="315">
        <f t="shared" si="1"/>
        <v>13458</v>
      </c>
      <c r="L23" s="315">
        <v>12361</v>
      </c>
      <c r="M23" s="315">
        <v>1097</v>
      </c>
      <c r="N23" s="315">
        <f t="shared" si="2"/>
        <v>13987</v>
      </c>
      <c r="O23" s="315">
        <v>13162</v>
      </c>
      <c r="P23" s="315">
        <v>825</v>
      </c>
    </row>
    <row r="24" spans="1:16" x14ac:dyDescent="0.2">
      <c r="A24" s="2" t="s">
        <v>1774</v>
      </c>
      <c r="B24" s="315">
        <f t="shared" si="3"/>
        <v>2386</v>
      </c>
      <c r="C24" s="315">
        <v>2313</v>
      </c>
      <c r="D24" s="315">
        <v>73</v>
      </c>
      <c r="E24" s="315">
        <f t="shared" si="4"/>
        <v>2010</v>
      </c>
      <c r="F24" s="315">
        <v>1971</v>
      </c>
      <c r="G24" s="315">
        <v>39</v>
      </c>
      <c r="H24" s="315">
        <f t="shared" si="0"/>
        <v>3283</v>
      </c>
      <c r="I24" s="315">
        <v>3201</v>
      </c>
      <c r="J24" s="315">
        <v>82</v>
      </c>
      <c r="K24" s="315">
        <f t="shared" si="1"/>
        <v>3761</v>
      </c>
      <c r="L24" s="315">
        <v>3666</v>
      </c>
      <c r="M24" s="315">
        <v>95</v>
      </c>
      <c r="N24" s="315">
        <f t="shared" si="2"/>
        <v>4471</v>
      </c>
      <c r="O24" s="315">
        <v>4389</v>
      </c>
      <c r="P24" s="315">
        <v>82</v>
      </c>
    </row>
    <row r="25" spans="1:16" x14ac:dyDescent="0.2">
      <c r="A25" s="2" t="s">
        <v>1775</v>
      </c>
      <c r="B25" s="315">
        <f t="shared" si="3"/>
        <v>297</v>
      </c>
      <c r="C25" s="315">
        <v>166</v>
      </c>
      <c r="D25" s="315">
        <v>131</v>
      </c>
      <c r="E25" s="315">
        <f t="shared" si="4"/>
        <v>324</v>
      </c>
      <c r="F25" s="315">
        <v>204</v>
      </c>
      <c r="G25" s="315">
        <v>120</v>
      </c>
      <c r="H25" s="315">
        <f t="shared" si="0"/>
        <v>403</v>
      </c>
      <c r="I25" s="315">
        <v>257</v>
      </c>
      <c r="J25" s="315">
        <v>146</v>
      </c>
      <c r="K25" s="315">
        <f t="shared" si="1"/>
        <v>506</v>
      </c>
      <c r="L25" s="315">
        <v>280</v>
      </c>
      <c r="M25" s="315">
        <v>226</v>
      </c>
      <c r="N25" s="315">
        <f t="shared" si="2"/>
        <v>587</v>
      </c>
      <c r="O25" s="315">
        <v>332</v>
      </c>
      <c r="P25" s="315">
        <v>255</v>
      </c>
    </row>
    <row r="26" spans="1:16" s="24" customFormat="1" ht="12.75" customHeight="1" x14ac:dyDescent="0.2">
      <c r="A26" s="24" t="s">
        <v>8</v>
      </c>
      <c r="B26" s="622">
        <f t="shared" si="3"/>
        <v>51524</v>
      </c>
      <c r="C26" s="622">
        <f>SUM(C27:C30)</f>
        <v>43595</v>
      </c>
      <c r="D26" s="622">
        <f t="shared" ref="D26:P26" si="5">SUM(D27:D30)</f>
        <v>7929</v>
      </c>
      <c r="E26" s="622">
        <f t="shared" si="5"/>
        <v>57234</v>
      </c>
      <c r="F26" s="622">
        <f t="shared" si="5"/>
        <v>50083</v>
      </c>
      <c r="G26" s="622">
        <f t="shared" si="5"/>
        <v>7151</v>
      </c>
      <c r="H26" s="622">
        <f t="shared" si="5"/>
        <v>47833</v>
      </c>
      <c r="I26" s="622">
        <f t="shared" si="5"/>
        <v>41874</v>
      </c>
      <c r="J26" s="622">
        <f t="shared" si="5"/>
        <v>5959</v>
      </c>
      <c r="K26" s="622">
        <f t="shared" si="5"/>
        <v>70493</v>
      </c>
      <c r="L26" s="622">
        <f t="shared" si="5"/>
        <v>63900</v>
      </c>
      <c r="M26" s="622">
        <f t="shared" si="5"/>
        <v>6593</v>
      </c>
      <c r="N26" s="622">
        <f t="shared" si="5"/>
        <v>68487</v>
      </c>
      <c r="O26" s="622">
        <f>SUM(O27:O30)</f>
        <v>61591</v>
      </c>
      <c r="P26" s="622">
        <f t="shared" si="5"/>
        <v>6896</v>
      </c>
    </row>
    <row r="27" spans="1:16" x14ac:dyDescent="0.2">
      <c r="A27" s="2" t="s">
        <v>1776</v>
      </c>
      <c r="B27" s="315">
        <f t="shared" si="3"/>
        <v>15361</v>
      </c>
      <c r="C27" s="315">
        <v>13362</v>
      </c>
      <c r="D27" s="315">
        <v>1999</v>
      </c>
      <c r="E27" s="315">
        <f t="shared" si="4"/>
        <v>15767</v>
      </c>
      <c r="F27" s="315">
        <v>14052</v>
      </c>
      <c r="G27" s="315">
        <v>1715</v>
      </c>
      <c r="H27" s="315">
        <f t="shared" si="0"/>
        <v>16776</v>
      </c>
      <c r="I27" s="315">
        <v>15293</v>
      </c>
      <c r="J27" s="315">
        <v>1483</v>
      </c>
      <c r="K27" s="315">
        <f t="shared" si="1"/>
        <v>17372</v>
      </c>
      <c r="L27" s="315">
        <v>16145</v>
      </c>
      <c r="M27" s="315">
        <v>1227</v>
      </c>
      <c r="N27" s="315">
        <f t="shared" si="2"/>
        <v>15676</v>
      </c>
      <c r="O27" s="315">
        <v>14756</v>
      </c>
      <c r="P27" s="315">
        <v>920</v>
      </c>
    </row>
    <row r="28" spans="1:16" x14ac:dyDescent="0.2">
      <c r="A28" s="2" t="s">
        <v>1777</v>
      </c>
      <c r="B28" s="315">
        <f t="shared" si="3"/>
        <v>29310</v>
      </c>
      <c r="C28" s="315">
        <v>23889</v>
      </c>
      <c r="D28" s="315">
        <v>5421</v>
      </c>
      <c r="E28" s="315">
        <f t="shared" si="4"/>
        <v>33481</v>
      </c>
      <c r="F28" s="315">
        <v>28533</v>
      </c>
      <c r="G28" s="315">
        <v>4948</v>
      </c>
      <c r="H28" s="315">
        <f t="shared" si="0"/>
        <v>22993</v>
      </c>
      <c r="I28" s="315">
        <v>19023</v>
      </c>
      <c r="J28" s="315">
        <v>3970</v>
      </c>
      <c r="K28" s="315">
        <f t="shared" si="1"/>
        <v>44557</v>
      </c>
      <c r="L28" s="315">
        <v>39781</v>
      </c>
      <c r="M28" s="315">
        <v>4776</v>
      </c>
      <c r="N28" s="315">
        <f t="shared" si="2"/>
        <v>45124</v>
      </c>
      <c r="O28" s="315">
        <v>39683</v>
      </c>
      <c r="P28" s="315">
        <v>5441</v>
      </c>
    </row>
    <row r="29" spans="1:16" x14ac:dyDescent="0.2">
      <c r="A29" s="2" t="s">
        <v>1778</v>
      </c>
      <c r="B29" s="315">
        <f t="shared" si="3"/>
        <v>3068</v>
      </c>
      <c r="C29" s="315">
        <v>2819</v>
      </c>
      <c r="D29" s="315">
        <v>249</v>
      </c>
      <c r="E29" s="315">
        <f t="shared" si="4"/>
        <v>3540</v>
      </c>
      <c r="F29" s="315">
        <v>3346</v>
      </c>
      <c r="G29" s="315">
        <v>194</v>
      </c>
      <c r="H29" s="315">
        <f t="shared" si="0"/>
        <v>3048</v>
      </c>
      <c r="I29" s="315">
        <v>2831</v>
      </c>
      <c r="J29" s="315">
        <v>217</v>
      </c>
      <c r="K29" s="315">
        <f t="shared" si="1"/>
        <v>3621</v>
      </c>
      <c r="L29" s="315">
        <v>3310</v>
      </c>
      <c r="M29" s="315">
        <v>311</v>
      </c>
      <c r="N29" s="315">
        <f t="shared" si="2"/>
        <v>2850</v>
      </c>
      <c r="O29" s="315">
        <v>2632</v>
      </c>
      <c r="P29" s="315">
        <v>218</v>
      </c>
    </row>
    <row r="30" spans="1:16" x14ac:dyDescent="0.2">
      <c r="A30" s="2" t="s">
        <v>1779</v>
      </c>
      <c r="B30" s="315">
        <f t="shared" si="3"/>
        <v>3785</v>
      </c>
      <c r="C30" s="315">
        <v>3525</v>
      </c>
      <c r="D30" s="315">
        <v>260</v>
      </c>
      <c r="E30" s="315">
        <f t="shared" si="4"/>
        <v>4446</v>
      </c>
      <c r="F30" s="315">
        <v>4152</v>
      </c>
      <c r="G30" s="315">
        <v>294</v>
      </c>
      <c r="H30" s="315">
        <f t="shared" si="0"/>
        <v>5016</v>
      </c>
      <c r="I30" s="315">
        <v>4727</v>
      </c>
      <c r="J30" s="315">
        <v>289</v>
      </c>
      <c r="K30" s="315">
        <f t="shared" si="1"/>
        <v>4943</v>
      </c>
      <c r="L30" s="315">
        <v>4664</v>
      </c>
      <c r="M30" s="315">
        <v>279</v>
      </c>
      <c r="N30" s="315">
        <f t="shared" si="2"/>
        <v>4837</v>
      </c>
      <c r="O30" s="315">
        <v>4520</v>
      </c>
      <c r="P30" s="315">
        <v>317</v>
      </c>
    </row>
    <row r="31" spans="1:16" s="24" customFormat="1" ht="12.75" customHeight="1" x14ac:dyDescent="0.2">
      <c r="A31" s="24" t="s">
        <v>9</v>
      </c>
      <c r="B31" s="622">
        <f t="shared" si="3"/>
        <v>141978</v>
      </c>
      <c r="C31" s="622">
        <f>SUM(C32:C39)</f>
        <v>113617</v>
      </c>
      <c r="D31" s="622">
        <f>SUM(D32:D39)</f>
        <v>28361</v>
      </c>
      <c r="E31" s="622">
        <f t="shared" si="4"/>
        <v>146161</v>
      </c>
      <c r="F31" s="622">
        <f>SUM(F32:F39)</f>
        <v>120378</v>
      </c>
      <c r="G31" s="622">
        <f>SUM(G32:G39)</f>
        <v>25783</v>
      </c>
      <c r="H31" s="622">
        <f t="shared" si="0"/>
        <v>132090</v>
      </c>
      <c r="I31" s="622">
        <f>SUM(I32:I39)</f>
        <v>105970</v>
      </c>
      <c r="J31" s="622">
        <f>SUM(J32:J39)</f>
        <v>26120</v>
      </c>
      <c r="K31" s="622">
        <f t="shared" si="1"/>
        <v>158605</v>
      </c>
      <c r="L31" s="622">
        <f>SUM(L32:L39)</f>
        <v>128596</v>
      </c>
      <c r="M31" s="622">
        <f>SUM(M32:M39)</f>
        <v>30009</v>
      </c>
      <c r="N31" s="622">
        <f t="shared" si="2"/>
        <v>193118</v>
      </c>
      <c r="O31" s="622">
        <f>SUM(O32:O39)</f>
        <v>160695</v>
      </c>
      <c r="P31" s="622">
        <f>SUM(P32:P39)</f>
        <v>32423</v>
      </c>
    </row>
    <row r="32" spans="1:16" x14ac:dyDescent="0.2">
      <c r="A32" s="2" t="s">
        <v>1780</v>
      </c>
      <c r="B32" s="315">
        <f t="shared" si="3"/>
        <v>39764</v>
      </c>
      <c r="C32" s="315">
        <v>36926</v>
      </c>
      <c r="D32" s="315">
        <v>2838</v>
      </c>
      <c r="E32" s="315">
        <f t="shared" si="4"/>
        <v>41204</v>
      </c>
      <c r="F32" s="315">
        <v>38780</v>
      </c>
      <c r="G32" s="315">
        <v>2424</v>
      </c>
      <c r="H32" s="315">
        <f t="shared" si="0"/>
        <v>41712</v>
      </c>
      <c r="I32" s="315">
        <v>41712</v>
      </c>
      <c r="J32" s="315"/>
      <c r="K32" s="315">
        <f t="shared" si="1"/>
        <v>52389</v>
      </c>
      <c r="L32" s="315">
        <v>49703</v>
      </c>
      <c r="M32" s="315">
        <v>2686</v>
      </c>
      <c r="N32" s="315">
        <f t="shared" si="2"/>
        <v>58112</v>
      </c>
      <c r="O32" s="315">
        <v>55559</v>
      </c>
      <c r="P32" s="315">
        <v>2553</v>
      </c>
    </row>
    <row r="33" spans="1:16" x14ac:dyDescent="0.2">
      <c r="A33" s="2" t="s">
        <v>1870</v>
      </c>
      <c r="B33" s="315">
        <f t="shared" si="3"/>
        <v>1222</v>
      </c>
      <c r="C33" s="315">
        <v>805</v>
      </c>
      <c r="D33" s="315">
        <v>417</v>
      </c>
      <c r="E33" s="315">
        <f t="shared" si="4"/>
        <v>1708</v>
      </c>
      <c r="F33" s="315">
        <v>1549</v>
      </c>
      <c r="G33" s="315">
        <v>159</v>
      </c>
      <c r="H33" s="315">
        <f t="shared" si="0"/>
        <v>1048</v>
      </c>
      <c r="I33" s="315">
        <v>990</v>
      </c>
      <c r="J33" s="315">
        <v>58</v>
      </c>
      <c r="K33" s="315">
        <f t="shared" si="1"/>
        <v>1416</v>
      </c>
      <c r="L33" s="315">
        <v>1259</v>
      </c>
      <c r="M33" s="315">
        <v>157</v>
      </c>
      <c r="N33" s="315">
        <f t="shared" si="2"/>
        <v>1142</v>
      </c>
      <c r="O33" s="315">
        <v>980</v>
      </c>
      <c r="P33" s="315">
        <v>162</v>
      </c>
    </row>
    <row r="34" spans="1:16" x14ac:dyDescent="0.2">
      <c r="A34" s="2" t="s">
        <v>1782</v>
      </c>
      <c r="B34" s="315">
        <f t="shared" si="3"/>
        <v>0</v>
      </c>
      <c r="C34" s="315">
        <v>0</v>
      </c>
      <c r="D34" s="315">
        <v>0</v>
      </c>
      <c r="E34" s="315">
        <f t="shared" si="4"/>
        <v>0</v>
      </c>
      <c r="F34" s="315">
        <v>0</v>
      </c>
      <c r="G34" s="315">
        <v>0</v>
      </c>
      <c r="H34" s="315">
        <f t="shared" si="0"/>
        <v>0</v>
      </c>
      <c r="I34" s="315">
        <v>0</v>
      </c>
      <c r="J34" s="315">
        <v>0</v>
      </c>
      <c r="K34" s="315">
        <f t="shared" si="1"/>
        <v>0</v>
      </c>
      <c r="L34" s="315">
        <v>0</v>
      </c>
      <c r="M34" s="315">
        <v>0</v>
      </c>
      <c r="N34" s="315">
        <f t="shared" si="2"/>
        <v>0</v>
      </c>
      <c r="O34" s="315">
        <v>0</v>
      </c>
      <c r="P34" s="315">
        <v>0</v>
      </c>
    </row>
    <row r="35" spans="1:16" x14ac:dyDescent="0.2">
      <c r="A35" s="2" t="s">
        <v>1783</v>
      </c>
      <c r="B35" s="315">
        <f t="shared" si="3"/>
        <v>43315</v>
      </c>
      <c r="C35" s="315">
        <v>42790</v>
      </c>
      <c r="D35" s="315">
        <v>525</v>
      </c>
      <c r="E35" s="315">
        <f t="shared" si="4"/>
        <v>41989</v>
      </c>
      <c r="F35" s="315">
        <v>41279</v>
      </c>
      <c r="G35" s="315">
        <v>710</v>
      </c>
      <c r="H35" s="315">
        <f t="shared" si="0"/>
        <v>20638</v>
      </c>
      <c r="I35" s="315">
        <v>19870</v>
      </c>
      <c r="J35" s="315">
        <v>768</v>
      </c>
      <c r="K35" s="315">
        <f t="shared" si="1"/>
        <v>33212</v>
      </c>
      <c r="L35" s="315">
        <v>31828</v>
      </c>
      <c r="M35" s="315">
        <v>1384</v>
      </c>
      <c r="N35" s="315">
        <f t="shared" si="2"/>
        <v>51208</v>
      </c>
      <c r="O35" s="315">
        <v>49861</v>
      </c>
      <c r="P35" s="315">
        <v>1347</v>
      </c>
    </row>
    <row r="36" spans="1:16" x14ac:dyDescent="0.2">
      <c r="A36" s="2" t="s">
        <v>1784</v>
      </c>
      <c r="B36" s="315">
        <f t="shared" si="3"/>
        <v>1904</v>
      </c>
      <c r="C36" s="315">
        <v>1856</v>
      </c>
      <c r="D36" s="315">
        <v>48</v>
      </c>
      <c r="E36" s="315">
        <f t="shared" si="4"/>
        <v>1747</v>
      </c>
      <c r="F36" s="315">
        <v>1703</v>
      </c>
      <c r="G36" s="315">
        <v>44</v>
      </c>
      <c r="H36" s="315">
        <f t="shared" si="0"/>
        <v>1569</v>
      </c>
      <c r="I36" s="315">
        <v>1550</v>
      </c>
      <c r="J36" s="315">
        <v>19</v>
      </c>
      <c r="K36" s="315">
        <f t="shared" si="1"/>
        <v>1845</v>
      </c>
      <c r="L36" s="315">
        <v>1805</v>
      </c>
      <c r="M36" s="315">
        <v>40</v>
      </c>
      <c r="N36" s="315">
        <f t="shared" si="2"/>
        <v>1964</v>
      </c>
      <c r="O36" s="315">
        <v>1933</v>
      </c>
      <c r="P36" s="315">
        <v>31</v>
      </c>
    </row>
    <row r="37" spans="1:16" x14ac:dyDescent="0.2">
      <c r="A37" s="2" t="s">
        <v>1785</v>
      </c>
      <c r="B37" s="315">
        <f t="shared" si="3"/>
        <v>0</v>
      </c>
      <c r="C37" s="315">
        <v>0</v>
      </c>
      <c r="D37" s="315">
        <v>0</v>
      </c>
      <c r="E37" s="315">
        <f t="shared" si="4"/>
        <v>0</v>
      </c>
      <c r="F37" s="315">
        <v>0</v>
      </c>
      <c r="G37" s="315">
        <v>0</v>
      </c>
      <c r="H37" s="315">
        <f t="shared" si="0"/>
        <v>0</v>
      </c>
      <c r="I37" s="315">
        <v>0</v>
      </c>
      <c r="J37" s="315">
        <v>0</v>
      </c>
      <c r="K37" s="315">
        <f t="shared" si="1"/>
        <v>0</v>
      </c>
      <c r="L37" s="315">
        <v>0</v>
      </c>
      <c r="M37" s="315">
        <v>0</v>
      </c>
      <c r="N37" s="315">
        <f t="shared" si="2"/>
        <v>0</v>
      </c>
      <c r="O37" s="315">
        <v>0</v>
      </c>
      <c r="P37" s="315">
        <v>0</v>
      </c>
    </row>
    <row r="38" spans="1:16" ht="12" x14ac:dyDescent="0.2">
      <c r="A38" s="2" t="s">
        <v>1871</v>
      </c>
      <c r="B38" s="315">
        <f t="shared" si="3"/>
        <v>11904</v>
      </c>
      <c r="C38" s="315">
        <v>11621</v>
      </c>
      <c r="D38" s="315">
        <v>283</v>
      </c>
      <c r="E38" s="315">
        <f t="shared" si="4"/>
        <v>12627</v>
      </c>
      <c r="F38" s="315">
        <v>12375</v>
      </c>
      <c r="G38" s="315">
        <v>252</v>
      </c>
      <c r="H38" s="315">
        <f t="shared" si="0"/>
        <v>17811</v>
      </c>
      <c r="I38" s="315">
        <v>17538</v>
      </c>
      <c r="J38" s="315">
        <v>273</v>
      </c>
      <c r="K38" s="315">
        <f t="shared" si="1"/>
        <v>17541</v>
      </c>
      <c r="L38" s="315">
        <v>17157</v>
      </c>
      <c r="M38" s="315">
        <v>384</v>
      </c>
      <c r="N38" s="315">
        <f t="shared" si="2"/>
        <v>22233</v>
      </c>
      <c r="O38" s="315">
        <v>21997</v>
      </c>
      <c r="P38" s="315">
        <v>236</v>
      </c>
    </row>
    <row r="39" spans="1:16" x14ac:dyDescent="0.2">
      <c r="A39" s="2" t="s">
        <v>1787</v>
      </c>
      <c r="B39" s="315">
        <f t="shared" si="3"/>
        <v>43869</v>
      </c>
      <c r="C39" s="315">
        <v>19619</v>
      </c>
      <c r="D39" s="315">
        <v>24250</v>
      </c>
      <c r="E39" s="315">
        <f t="shared" si="4"/>
        <v>46886</v>
      </c>
      <c r="F39" s="315">
        <v>24692</v>
      </c>
      <c r="G39" s="315">
        <v>22194</v>
      </c>
      <c r="H39" s="315">
        <f t="shared" si="0"/>
        <v>49312</v>
      </c>
      <c r="I39" s="315">
        <v>24310</v>
      </c>
      <c r="J39" s="315">
        <v>25002</v>
      </c>
      <c r="K39" s="315">
        <f t="shared" si="1"/>
        <v>52202</v>
      </c>
      <c r="L39" s="315">
        <v>26844</v>
      </c>
      <c r="M39" s="315">
        <v>25358</v>
      </c>
      <c r="N39" s="315">
        <f t="shared" si="2"/>
        <v>58459</v>
      </c>
      <c r="O39" s="315">
        <v>30365</v>
      </c>
      <c r="P39" s="315">
        <v>28094</v>
      </c>
    </row>
    <row r="40" spans="1:16" s="24" customFormat="1" ht="12.75" customHeight="1" x14ac:dyDescent="0.2">
      <c r="A40" s="24" t="s">
        <v>10</v>
      </c>
      <c r="B40" s="622">
        <f t="shared" si="3"/>
        <v>82293</v>
      </c>
      <c r="C40" s="622">
        <f>SUM(C41:C42)</f>
        <v>78733</v>
      </c>
      <c r="D40" s="622">
        <f>SUM(D41:D42)</f>
        <v>3560</v>
      </c>
      <c r="E40" s="622">
        <f t="shared" si="4"/>
        <v>83459</v>
      </c>
      <c r="F40" s="622">
        <f>SUM(F41:F42)</f>
        <v>80993</v>
      </c>
      <c r="G40" s="622">
        <f>SUM(G41:G42)</f>
        <v>2466</v>
      </c>
      <c r="H40" s="622">
        <f t="shared" si="0"/>
        <v>93129</v>
      </c>
      <c r="I40" s="622">
        <f>SUM(I41:I42)</f>
        <v>89897</v>
      </c>
      <c r="J40" s="622">
        <f>SUM(J41:J42)</f>
        <v>3232</v>
      </c>
      <c r="K40" s="622">
        <f t="shared" si="1"/>
        <v>96485</v>
      </c>
      <c r="L40" s="622">
        <f>SUM(L41:L42)</f>
        <v>93300</v>
      </c>
      <c r="M40" s="622">
        <f>SUM(M41:M42)</f>
        <v>3185</v>
      </c>
      <c r="N40" s="622">
        <f t="shared" si="2"/>
        <v>98529</v>
      </c>
      <c r="O40" s="622">
        <f>SUM(O41:O42)</f>
        <v>94985</v>
      </c>
      <c r="P40" s="622">
        <f>SUM(P41:P42)</f>
        <v>3544</v>
      </c>
    </row>
    <row r="41" spans="1:16" ht="10.5" customHeight="1" x14ac:dyDescent="0.2">
      <c r="A41" s="2" t="s">
        <v>1788</v>
      </c>
      <c r="B41" s="315">
        <f t="shared" si="3"/>
        <v>69135</v>
      </c>
      <c r="C41" s="315">
        <v>68973</v>
      </c>
      <c r="D41" s="315">
        <v>162</v>
      </c>
      <c r="E41" s="315">
        <f t="shared" si="4"/>
        <v>73909</v>
      </c>
      <c r="F41" s="315">
        <v>73511</v>
      </c>
      <c r="G41" s="315">
        <v>398</v>
      </c>
      <c r="H41" s="315">
        <f t="shared" si="0"/>
        <v>80382</v>
      </c>
      <c r="I41" s="315">
        <v>79665</v>
      </c>
      <c r="J41" s="315">
        <v>717</v>
      </c>
      <c r="K41" s="315">
        <f t="shared" si="1"/>
        <v>84460</v>
      </c>
      <c r="L41" s="315">
        <v>83947</v>
      </c>
      <c r="M41" s="315">
        <v>513</v>
      </c>
      <c r="N41" s="315">
        <f t="shared" si="2"/>
        <v>85169</v>
      </c>
      <c r="O41" s="315">
        <v>84767</v>
      </c>
      <c r="P41" s="315">
        <v>402</v>
      </c>
    </row>
    <row r="42" spans="1:16" x14ac:dyDescent="0.2">
      <c r="A42" s="2" t="s">
        <v>1789</v>
      </c>
      <c r="B42" s="315">
        <f t="shared" si="3"/>
        <v>13158</v>
      </c>
      <c r="C42" s="315">
        <v>9760</v>
      </c>
      <c r="D42" s="315">
        <v>3398</v>
      </c>
      <c r="E42" s="315">
        <f t="shared" si="4"/>
        <v>9550</v>
      </c>
      <c r="F42" s="315">
        <v>7482</v>
      </c>
      <c r="G42" s="315">
        <v>2068</v>
      </c>
      <c r="H42" s="315">
        <f t="shared" si="0"/>
        <v>12747</v>
      </c>
      <c r="I42" s="315">
        <v>10232</v>
      </c>
      <c r="J42" s="315">
        <v>2515</v>
      </c>
      <c r="K42" s="315">
        <f t="shared" si="1"/>
        <v>12025</v>
      </c>
      <c r="L42" s="315">
        <v>9353</v>
      </c>
      <c r="M42" s="315">
        <v>2672</v>
      </c>
      <c r="N42" s="315">
        <f t="shared" si="2"/>
        <v>13360</v>
      </c>
      <c r="O42" s="315">
        <v>10218</v>
      </c>
      <c r="P42" s="315">
        <v>3142</v>
      </c>
    </row>
    <row r="43" spans="1:16" s="24" customFormat="1" ht="12.75" customHeight="1" x14ac:dyDescent="0.2">
      <c r="A43" s="24" t="s">
        <v>134</v>
      </c>
      <c r="B43" s="622">
        <f t="shared" si="3"/>
        <v>11856</v>
      </c>
      <c r="C43" s="622">
        <f>SUM(C44:C46)</f>
        <v>11441</v>
      </c>
      <c r="D43" s="622">
        <f>SUM(D44:D46)</f>
        <v>415</v>
      </c>
      <c r="E43" s="622">
        <f t="shared" si="4"/>
        <v>11073</v>
      </c>
      <c r="F43" s="622">
        <f>SUM(F44:F46)</f>
        <v>10703</v>
      </c>
      <c r="G43" s="622">
        <f>SUM(G44:G46)</f>
        <v>370</v>
      </c>
      <c r="H43" s="622">
        <f t="shared" si="0"/>
        <v>12824</v>
      </c>
      <c r="I43" s="622">
        <f>SUM(I44:I46)</f>
        <v>12463</v>
      </c>
      <c r="J43" s="622">
        <f>SUM(J44:J46)</f>
        <v>361</v>
      </c>
      <c r="K43" s="622">
        <f t="shared" si="1"/>
        <v>13403</v>
      </c>
      <c r="L43" s="622">
        <f>SUM(L44:L46)</f>
        <v>13054</v>
      </c>
      <c r="M43" s="622">
        <f>SUM(M44:M46)</f>
        <v>349</v>
      </c>
      <c r="N43" s="622">
        <f t="shared" si="2"/>
        <v>20656</v>
      </c>
      <c r="O43" s="622">
        <f>SUM(O44:O46)</f>
        <v>20186</v>
      </c>
      <c r="P43" s="622">
        <f>SUM(P44:P46)</f>
        <v>470</v>
      </c>
    </row>
    <row r="44" spans="1:16" x14ac:dyDescent="0.2">
      <c r="A44" s="2" t="s">
        <v>1791</v>
      </c>
      <c r="B44" s="315">
        <f t="shared" si="3"/>
        <v>0</v>
      </c>
      <c r="C44" s="315">
        <v>0</v>
      </c>
      <c r="D44" s="315">
        <v>0</v>
      </c>
      <c r="E44" s="315">
        <f t="shared" si="4"/>
        <v>0</v>
      </c>
      <c r="F44" s="315">
        <v>0</v>
      </c>
      <c r="G44" s="315">
        <v>0</v>
      </c>
      <c r="H44" s="315">
        <f t="shared" si="0"/>
        <v>0</v>
      </c>
      <c r="I44" s="315">
        <v>0</v>
      </c>
      <c r="J44" s="315">
        <v>0</v>
      </c>
      <c r="K44" s="315">
        <f t="shared" si="1"/>
        <v>0</v>
      </c>
      <c r="L44" s="315">
        <v>0</v>
      </c>
      <c r="M44" s="315">
        <v>0</v>
      </c>
      <c r="N44" s="315">
        <f t="shared" si="2"/>
        <v>0</v>
      </c>
      <c r="O44" s="315">
        <v>0</v>
      </c>
      <c r="P44" s="315">
        <v>0</v>
      </c>
    </row>
    <row r="45" spans="1:16" x14ac:dyDescent="0.2">
      <c r="A45" s="2" t="s">
        <v>1872</v>
      </c>
      <c r="B45" s="315">
        <f t="shared" si="3"/>
        <v>11223</v>
      </c>
      <c r="C45" s="315">
        <v>10808</v>
      </c>
      <c r="D45" s="315">
        <v>415</v>
      </c>
      <c r="E45" s="315">
        <f t="shared" si="4"/>
        <v>10647</v>
      </c>
      <c r="F45" s="315">
        <v>10283</v>
      </c>
      <c r="G45" s="315">
        <v>364</v>
      </c>
      <c r="H45" s="315">
        <f t="shared" si="0"/>
        <v>12378</v>
      </c>
      <c r="I45" s="315">
        <v>12017</v>
      </c>
      <c r="J45" s="315">
        <v>361</v>
      </c>
      <c r="K45" s="315">
        <f t="shared" si="1"/>
        <v>12889</v>
      </c>
      <c r="L45" s="315">
        <v>12540</v>
      </c>
      <c r="M45" s="315">
        <v>349</v>
      </c>
      <c r="N45" s="315">
        <f t="shared" si="2"/>
        <v>20088</v>
      </c>
      <c r="O45" s="315">
        <v>19618</v>
      </c>
      <c r="P45" s="315">
        <v>470</v>
      </c>
    </row>
    <row r="46" spans="1:16" x14ac:dyDescent="0.2">
      <c r="A46" s="2" t="s">
        <v>1793</v>
      </c>
      <c r="B46" s="315">
        <f t="shared" si="3"/>
        <v>633</v>
      </c>
      <c r="C46" s="315">
        <v>633</v>
      </c>
      <c r="D46" s="315">
        <v>0</v>
      </c>
      <c r="E46" s="315">
        <f t="shared" si="4"/>
        <v>426</v>
      </c>
      <c r="F46" s="315">
        <v>420</v>
      </c>
      <c r="G46" s="315">
        <v>6</v>
      </c>
      <c r="H46" s="315">
        <f t="shared" si="0"/>
        <v>446</v>
      </c>
      <c r="I46" s="315">
        <v>446</v>
      </c>
      <c r="J46" s="315">
        <v>0</v>
      </c>
      <c r="K46" s="315">
        <f t="shared" si="1"/>
        <v>514</v>
      </c>
      <c r="L46" s="315">
        <v>514</v>
      </c>
      <c r="M46" s="315">
        <v>0</v>
      </c>
      <c r="N46" s="315">
        <f t="shared" si="2"/>
        <v>568</v>
      </c>
      <c r="O46" s="315">
        <v>568</v>
      </c>
      <c r="P46" s="315">
        <v>0</v>
      </c>
    </row>
    <row r="47" spans="1:16" s="24" customFormat="1" ht="12.75" customHeight="1" x14ac:dyDescent="0.2">
      <c r="A47" s="24" t="s">
        <v>12</v>
      </c>
      <c r="B47" s="622">
        <f t="shared" si="3"/>
        <v>87509</v>
      </c>
      <c r="C47" s="622">
        <f>SUM(C48:C55)</f>
        <v>84913</v>
      </c>
      <c r="D47" s="622">
        <f>SUM(D48:D55)</f>
        <v>2596</v>
      </c>
      <c r="E47" s="622">
        <f t="shared" si="4"/>
        <v>64500</v>
      </c>
      <c r="F47" s="622">
        <f>SUM(F48:F55)</f>
        <v>62569</v>
      </c>
      <c r="G47" s="622">
        <f>SUM(G48:G55)</f>
        <v>1931</v>
      </c>
      <c r="H47" s="622">
        <f t="shared" si="0"/>
        <v>61074</v>
      </c>
      <c r="I47" s="622">
        <f>SUM(I48:I55)</f>
        <v>58900</v>
      </c>
      <c r="J47" s="622">
        <f>SUM(J48:J55)</f>
        <v>2174</v>
      </c>
      <c r="K47" s="622">
        <f t="shared" si="1"/>
        <v>67325</v>
      </c>
      <c r="L47" s="622">
        <f>SUM(L48:L55)</f>
        <v>64930</v>
      </c>
      <c r="M47" s="622">
        <f>SUM(M48:M55)</f>
        <v>2395</v>
      </c>
      <c r="N47" s="622">
        <f t="shared" si="2"/>
        <v>78376</v>
      </c>
      <c r="O47" s="622">
        <f>SUM(O48:O55)</f>
        <v>76454</v>
      </c>
      <c r="P47" s="622">
        <f>SUM(P48:P55)</f>
        <v>1922</v>
      </c>
    </row>
    <row r="48" spans="1:16" x14ac:dyDescent="0.2">
      <c r="A48" s="2" t="s">
        <v>1794</v>
      </c>
      <c r="B48" s="315">
        <f t="shared" si="3"/>
        <v>24200</v>
      </c>
      <c r="C48" s="315">
        <v>24166</v>
      </c>
      <c r="D48" s="315">
        <v>34</v>
      </c>
      <c r="E48" s="315">
        <f t="shared" si="4"/>
        <v>9076</v>
      </c>
      <c r="F48" s="315">
        <v>9057</v>
      </c>
      <c r="G48" s="315">
        <v>19</v>
      </c>
      <c r="H48" s="315">
        <f t="shared" si="0"/>
        <v>5873</v>
      </c>
      <c r="I48" s="315">
        <v>5851</v>
      </c>
      <c r="J48" s="315">
        <v>22</v>
      </c>
      <c r="K48" s="315">
        <f t="shared" si="1"/>
        <v>5779</v>
      </c>
      <c r="L48" s="315">
        <v>5762</v>
      </c>
      <c r="M48" s="315">
        <v>17</v>
      </c>
      <c r="N48" s="315">
        <f t="shared" si="2"/>
        <v>7354</v>
      </c>
      <c r="O48" s="315">
        <v>7296</v>
      </c>
      <c r="P48" s="315">
        <v>58</v>
      </c>
    </row>
    <row r="49" spans="1:16" x14ac:dyDescent="0.2">
      <c r="A49" s="2" t="s">
        <v>1795</v>
      </c>
      <c r="B49" s="315">
        <f t="shared" si="3"/>
        <v>11806</v>
      </c>
      <c r="C49" s="315">
        <v>11723</v>
      </c>
      <c r="D49" s="315">
        <v>83</v>
      </c>
      <c r="E49" s="315">
        <f t="shared" si="4"/>
        <v>7723</v>
      </c>
      <c r="F49" s="315">
        <v>7630</v>
      </c>
      <c r="G49" s="315">
        <v>93</v>
      </c>
      <c r="H49" s="315">
        <f t="shared" si="0"/>
        <v>7190</v>
      </c>
      <c r="I49" s="315">
        <v>7088</v>
      </c>
      <c r="J49" s="315">
        <v>102</v>
      </c>
      <c r="K49" s="315">
        <f t="shared" si="1"/>
        <v>10947</v>
      </c>
      <c r="L49" s="315">
        <v>10847</v>
      </c>
      <c r="M49" s="315">
        <v>100</v>
      </c>
      <c r="N49" s="315">
        <f t="shared" si="2"/>
        <v>13291</v>
      </c>
      <c r="O49" s="315">
        <v>13213</v>
      </c>
      <c r="P49" s="315">
        <v>78</v>
      </c>
    </row>
    <row r="50" spans="1:16" x14ac:dyDescent="0.2">
      <c r="A50" s="2" t="s">
        <v>1796</v>
      </c>
      <c r="B50" s="315">
        <f t="shared" si="3"/>
        <v>2821</v>
      </c>
      <c r="C50" s="315">
        <v>2787</v>
      </c>
      <c r="D50" s="315">
        <v>34</v>
      </c>
      <c r="E50" s="315">
        <f t="shared" si="4"/>
        <v>3027</v>
      </c>
      <c r="F50" s="315">
        <v>2975</v>
      </c>
      <c r="G50" s="315">
        <v>52</v>
      </c>
      <c r="H50" s="315">
        <f t="shared" si="0"/>
        <v>2985</v>
      </c>
      <c r="I50" s="315">
        <v>2915</v>
      </c>
      <c r="J50" s="315">
        <v>70</v>
      </c>
      <c r="K50" s="315">
        <f t="shared" si="1"/>
        <v>2945</v>
      </c>
      <c r="L50" s="315">
        <v>2923</v>
      </c>
      <c r="M50" s="315">
        <v>22</v>
      </c>
      <c r="N50" s="315">
        <f t="shared" si="2"/>
        <v>3413</v>
      </c>
      <c r="O50" s="315">
        <v>3408</v>
      </c>
      <c r="P50" s="315">
        <v>5</v>
      </c>
    </row>
    <row r="51" spans="1:16" x14ac:dyDescent="0.2">
      <c r="A51" s="2" t="s">
        <v>1797</v>
      </c>
      <c r="B51" s="315">
        <f t="shared" si="3"/>
        <v>308</v>
      </c>
      <c r="C51" s="315">
        <v>308</v>
      </c>
      <c r="D51" s="315">
        <v>0</v>
      </c>
      <c r="E51" s="315">
        <f t="shared" si="4"/>
        <v>283</v>
      </c>
      <c r="F51" s="315">
        <v>283</v>
      </c>
      <c r="G51" s="315">
        <v>0</v>
      </c>
      <c r="H51" s="315">
        <f t="shared" si="0"/>
        <v>285</v>
      </c>
      <c r="I51" s="315">
        <v>285</v>
      </c>
      <c r="J51" s="315">
        <v>0</v>
      </c>
      <c r="K51" s="315">
        <f t="shared" si="1"/>
        <v>336</v>
      </c>
      <c r="L51" s="315">
        <v>336</v>
      </c>
      <c r="M51" s="315">
        <v>0</v>
      </c>
      <c r="N51" s="315">
        <f t="shared" si="2"/>
        <v>360</v>
      </c>
      <c r="O51" s="315">
        <v>360</v>
      </c>
      <c r="P51" s="315">
        <v>0</v>
      </c>
    </row>
    <row r="52" spans="1:16" x14ac:dyDescent="0.2">
      <c r="A52" s="2" t="s">
        <v>1798</v>
      </c>
      <c r="B52" s="315">
        <f t="shared" si="3"/>
        <v>126</v>
      </c>
      <c r="C52" s="315">
        <v>115</v>
      </c>
      <c r="D52" s="315">
        <v>11</v>
      </c>
      <c r="E52" s="315">
        <f t="shared" si="4"/>
        <v>327</v>
      </c>
      <c r="F52" s="315">
        <v>315</v>
      </c>
      <c r="G52" s="315">
        <v>12</v>
      </c>
      <c r="H52" s="315">
        <f t="shared" si="0"/>
        <v>442</v>
      </c>
      <c r="I52" s="315">
        <v>430</v>
      </c>
      <c r="J52" s="315">
        <v>12</v>
      </c>
      <c r="K52" s="315">
        <f t="shared" si="1"/>
        <v>310</v>
      </c>
      <c r="L52" s="315">
        <v>304</v>
      </c>
      <c r="M52" s="315">
        <v>6</v>
      </c>
      <c r="N52" s="315">
        <f t="shared" si="2"/>
        <v>228</v>
      </c>
      <c r="O52" s="315">
        <v>213</v>
      </c>
      <c r="P52" s="315">
        <v>15</v>
      </c>
    </row>
    <row r="53" spans="1:16" x14ac:dyDescent="0.2">
      <c r="A53" s="2" t="s">
        <v>1799</v>
      </c>
      <c r="B53" s="315">
        <f t="shared" si="3"/>
        <v>12616</v>
      </c>
      <c r="C53" s="315">
        <v>11408</v>
      </c>
      <c r="D53" s="315">
        <v>1208</v>
      </c>
      <c r="E53" s="315">
        <f t="shared" si="4"/>
        <v>11576</v>
      </c>
      <c r="F53" s="315">
        <v>10693</v>
      </c>
      <c r="G53" s="315">
        <v>883</v>
      </c>
      <c r="H53" s="315">
        <f t="shared" si="0"/>
        <v>9017</v>
      </c>
      <c r="I53" s="315">
        <v>7940</v>
      </c>
      <c r="J53" s="315">
        <v>1077</v>
      </c>
      <c r="K53" s="315">
        <f t="shared" si="1"/>
        <v>10354</v>
      </c>
      <c r="L53" s="315">
        <v>9008</v>
      </c>
      <c r="M53" s="315">
        <v>1346</v>
      </c>
      <c r="N53" s="315">
        <f t="shared" si="2"/>
        <v>10954</v>
      </c>
      <c r="O53" s="315">
        <v>10005</v>
      </c>
      <c r="P53" s="315">
        <v>949</v>
      </c>
    </row>
    <row r="54" spans="1:16" x14ac:dyDescent="0.2">
      <c r="A54" s="2" t="s">
        <v>1800</v>
      </c>
      <c r="B54" s="315">
        <f t="shared" si="3"/>
        <v>0</v>
      </c>
      <c r="C54" s="315">
        <v>0</v>
      </c>
      <c r="D54" s="315">
        <v>0</v>
      </c>
      <c r="E54" s="315">
        <f t="shared" si="4"/>
        <v>0</v>
      </c>
      <c r="F54" s="315">
        <v>0</v>
      </c>
      <c r="G54" s="315">
        <v>0</v>
      </c>
      <c r="H54" s="315">
        <f t="shared" si="0"/>
        <v>0</v>
      </c>
      <c r="I54" s="315">
        <v>0</v>
      </c>
      <c r="J54" s="315">
        <v>0</v>
      </c>
      <c r="K54" s="315">
        <f t="shared" si="1"/>
        <v>0</v>
      </c>
      <c r="L54" s="315">
        <v>0</v>
      </c>
      <c r="M54" s="315">
        <v>0</v>
      </c>
      <c r="N54" s="315">
        <f t="shared" si="2"/>
        <v>0</v>
      </c>
      <c r="O54" s="315">
        <v>0</v>
      </c>
      <c r="P54" s="315">
        <v>0</v>
      </c>
    </row>
    <row r="55" spans="1:16" x14ac:dyDescent="0.2">
      <c r="A55" s="2" t="s">
        <v>1873</v>
      </c>
      <c r="B55" s="315">
        <f t="shared" si="3"/>
        <v>35632</v>
      </c>
      <c r="C55" s="315">
        <v>34406</v>
      </c>
      <c r="D55" s="315">
        <v>1226</v>
      </c>
      <c r="E55" s="315">
        <f t="shared" si="4"/>
        <v>32488</v>
      </c>
      <c r="F55" s="315">
        <v>31616</v>
      </c>
      <c r="G55" s="315">
        <v>872</v>
      </c>
      <c r="H55" s="315">
        <f t="shared" si="0"/>
        <v>35282</v>
      </c>
      <c r="I55" s="315">
        <v>34391</v>
      </c>
      <c r="J55" s="315">
        <v>891</v>
      </c>
      <c r="K55" s="315">
        <f t="shared" si="1"/>
        <v>36654</v>
      </c>
      <c r="L55" s="315">
        <v>35750</v>
      </c>
      <c r="M55" s="315">
        <v>904</v>
      </c>
      <c r="N55" s="315">
        <f t="shared" si="2"/>
        <v>42776</v>
      </c>
      <c r="O55" s="315">
        <v>41959</v>
      </c>
      <c r="P55" s="315">
        <v>817</v>
      </c>
    </row>
    <row r="56" spans="1:16" s="24" customFormat="1" ht="12.75" customHeight="1" x14ac:dyDescent="0.2">
      <c r="A56" s="24" t="s">
        <v>13</v>
      </c>
      <c r="B56" s="622">
        <f t="shared" si="3"/>
        <v>46221</v>
      </c>
      <c r="C56" s="622">
        <f>SUM(C57:C63)</f>
        <v>45507</v>
      </c>
      <c r="D56" s="622">
        <f>SUM(D57:D63)</f>
        <v>714</v>
      </c>
      <c r="E56" s="622">
        <f t="shared" si="4"/>
        <v>49841</v>
      </c>
      <c r="F56" s="622">
        <f>SUM(F57:F63)</f>
        <v>49058</v>
      </c>
      <c r="G56" s="622">
        <f>SUM(G57:G63)</f>
        <v>783</v>
      </c>
      <c r="H56" s="622">
        <f t="shared" si="0"/>
        <v>58769</v>
      </c>
      <c r="I56" s="622">
        <f>SUM(I57:I63)</f>
        <v>57859</v>
      </c>
      <c r="J56" s="622">
        <f>SUM(J57:J63)</f>
        <v>910</v>
      </c>
      <c r="K56" s="622">
        <f t="shared" si="1"/>
        <v>61864</v>
      </c>
      <c r="L56" s="622">
        <f>SUM(L57:L63)</f>
        <v>61076</v>
      </c>
      <c r="M56" s="622">
        <f>SUM(M57:M63)</f>
        <v>788</v>
      </c>
      <c r="N56" s="622">
        <f t="shared" si="2"/>
        <v>86274</v>
      </c>
      <c r="O56" s="622">
        <f>SUM(O57:O63)</f>
        <v>85404</v>
      </c>
      <c r="P56" s="622">
        <f>SUM(P57:P63)</f>
        <v>870</v>
      </c>
    </row>
    <row r="57" spans="1:16" x14ac:dyDescent="0.2">
      <c r="A57" s="2" t="s">
        <v>1802</v>
      </c>
      <c r="B57" s="315">
        <f t="shared" si="3"/>
        <v>42349</v>
      </c>
      <c r="C57" s="315">
        <v>41706</v>
      </c>
      <c r="D57" s="315">
        <v>643</v>
      </c>
      <c r="E57" s="315">
        <f t="shared" si="4"/>
        <v>43713</v>
      </c>
      <c r="F57" s="315">
        <v>43001</v>
      </c>
      <c r="G57" s="315">
        <v>712</v>
      </c>
      <c r="H57" s="315">
        <f t="shared" si="0"/>
        <v>48271</v>
      </c>
      <c r="I57" s="315">
        <v>47497</v>
      </c>
      <c r="J57" s="315">
        <v>774</v>
      </c>
      <c r="K57" s="315">
        <f t="shared" si="1"/>
        <v>48837</v>
      </c>
      <c r="L57" s="315">
        <v>48229</v>
      </c>
      <c r="M57" s="315">
        <v>608</v>
      </c>
      <c r="N57" s="315">
        <f t="shared" si="2"/>
        <v>68480</v>
      </c>
      <c r="O57" s="315">
        <v>67776</v>
      </c>
      <c r="P57" s="315">
        <v>704</v>
      </c>
    </row>
    <row r="58" spans="1:16" x14ac:dyDescent="0.2">
      <c r="A58" s="2" t="s">
        <v>1803</v>
      </c>
      <c r="B58" s="315">
        <f t="shared" si="3"/>
        <v>1245</v>
      </c>
      <c r="C58" s="315">
        <v>1223</v>
      </c>
      <c r="D58" s="315">
        <v>22</v>
      </c>
      <c r="E58" s="315">
        <f t="shared" si="4"/>
        <v>1076</v>
      </c>
      <c r="F58" s="315">
        <v>1061</v>
      </c>
      <c r="G58" s="315">
        <v>15</v>
      </c>
      <c r="H58" s="315">
        <f t="shared" si="0"/>
        <v>1377</v>
      </c>
      <c r="I58" s="315">
        <v>1339</v>
      </c>
      <c r="J58" s="315">
        <v>38</v>
      </c>
      <c r="K58" s="315">
        <f t="shared" si="1"/>
        <v>1722</v>
      </c>
      <c r="L58" s="315">
        <v>1686</v>
      </c>
      <c r="M58" s="315">
        <v>36</v>
      </c>
      <c r="N58" s="315">
        <f t="shared" si="2"/>
        <v>2074</v>
      </c>
      <c r="O58" s="315">
        <v>2052</v>
      </c>
      <c r="P58" s="315">
        <v>22</v>
      </c>
    </row>
    <row r="59" spans="1:16" x14ac:dyDescent="0.2">
      <c r="A59" s="2" t="s">
        <v>1874</v>
      </c>
      <c r="B59" s="315">
        <f t="shared" si="3"/>
        <v>386</v>
      </c>
      <c r="C59" s="315">
        <v>365</v>
      </c>
      <c r="D59" s="315">
        <v>21</v>
      </c>
      <c r="E59" s="315">
        <f t="shared" si="4"/>
        <v>183</v>
      </c>
      <c r="F59" s="315">
        <v>162</v>
      </c>
      <c r="G59" s="315">
        <v>21</v>
      </c>
      <c r="H59" s="315">
        <f t="shared" si="0"/>
        <v>558</v>
      </c>
      <c r="I59" s="315">
        <v>534</v>
      </c>
      <c r="J59" s="315">
        <v>24</v>
      </c>
      <c r="K59" s="315">
        <f t="shared" si="1"/>
        <v>716</v>
      </c>
      <c r="L59" s="315">
        <v>622</v>
      </c>
      <c r="M59" s="315">
        <v>94</v>
      </c>
      <c r="N59" s="315">
        <f t="shared" si="2"/>
        <v>1364</v>
      </c>
      <c r="O59" s="315">
        <v>1288</v>
      </c>
      <c r="P59" s="315">
        <v>76</v>
      </c>
    </row>
    <row r="60" spans="1:16" x14ac:dyDescent="0.2">
      <c r="A60" s="2" t="s">
        <v>1805</v>
      </c>
      <c r="B60" s="315">
        <f t="shared" si="3"/>
        <v>330</v>
      </c>
      <c r="C60" s="315">
        <v>326</v>
      </c>
      <c r="D60" s="315">
        <v>4</v>
      </c>
      <c r="E60" s="315">
        <f t="shared" si="4"/>
        <v>290</v>
      </c>
      <c r="F60" s="315">
        <v>290</v>
      </c>
      <c r="G60" s="315">
        <v>0</v>
      </c>
      <c r="H60" s="315">
        <f t="shared" si="0"/>
        <v>468</v>
      </c>
      <c r="I60" s="315">
        <v>465</v>
      </c>
      <c r="J60" s="315">
        <v>3</v>
      </c>
      <c r="K60" s="315">
        <f t="shared" si="1"/>
        <v>427</v>
      </c>
      <c r="L60" s="315">
        <v>425</v>
      </c>
      <c r="M60" s="315">
        <v>2</v>
      </c>
      <c r="N60" s="315">
        <f t="shared" si="2"/>
        <v>472</v>
      </c>
      <c r="O60" s="315">
        <v>470</v>
      </c>
      <c r="P60" s="315">
        <v>2</v>
      </c>
    </row>
    <row r="61" spans="1:16" x14ac:dyDescent="0.2">
      <c r="A61" s="2" t="s">
        <v>1806</v>
      </c>
      <c r="B61" s="315">
        <f t="shared" si="3"/>
        <v>605</v>
      </c>
      <c r="C61" s="315">
        <v>585</v>
      </c>
      <c r="D61" s="315">
        <v>20</v>
      </c>
      <c r="E61" s="315">
        <f t="shared" si="4"/>
        <v>534</v>
      </c>
      <c r="F61" s="315">
        <v>516</v>
      </c>
      <c r="G61" s="315">
        <v>18</v>
      </c>
      <c r="H61" s="315">
        <f t="shared" si="0"/>
        <v>643</v>
      </c>
      <c r="I61" s="315">
        <v>630</v>
      </c>
      <c r="J61" s="315">
        <v>13</v>
      </c>
      <c r="K61" s="315">
        <f t="shared" si="1"/>
        <v>672</v>
      </c>
      <c r="L61" s="315">
        <v>658</v>
      </c>
      <c r="M61" s="315">
        <v>14</v>
      </c>
      <c r="N61" s="315">
        <f t="shared" si="2"/>
        <v>871</v>
      </c>
      <c r="O61" s="315">
        <v>870</v>
      </c>
      <c r="P61" s="315">
        <v>1</v>
      </c>
    </row>
    <row r="62" spans="1:16" x14ac:dyDescent="0.2">
      <c r="A62" s="2" t="s">
        <v>1807</v>
      </c>
      <c r="B62" s="315">
        <f t="shared" si="3"/>
        <v>1306</v>
      </c>
      <c r="C62" s="315">
        <v>1302</v>
      </c>
      <c r="D62" s="315">
        <v>4</v>
      </c>
      <c r="E62" s="315">
        <f t="shared" si="4"/>
        <v>4045</v>
      </c>
      <c r="F62" s="315">
        <v>4028</v>
      </c>
      <c r="G62" s="315">
        <v>17</v>
      </c>
      <c r="H62" s="315">
        <f t="shared" si="0"/>
        <v>7452</v>
      </c>
      <c r="I62" s="315">
        <v>7394</v>
      </c>
      <c r="J62" s="315">
        <v>58</v>
      </c>
      <c r="K62" s="315">
        <f t="shared" si="1"/>
        <v>9490</v>
      </c>
      <c r="L62" s="315">
        <v>9456</v>
      </c>
      <c r="M62" s="315">
        <v>34</v>
      </c>
      <c r="N62" s="315">
        <f t="shared" si="2"/>
        <v>12839</v>
      </c>
      <c r="O62" s="315">
        <v>12774</v>
      </c>
      <c r="P62" s="315">
        <v>65</v>
      </c>
    </row>
    <row r="63" spans="1:16" x14ac:dyDescent="0.2">
      <c r="A63" s="2" t="s">
        <v>1808</v>
      </c>
      <c r="B63" s="315">
        <f t="shared" si="3"/>
        <v>0</v>
      </c>
      <c r="C63" s="315">
        <v>0</v>
      </c>
      <c r="D63" s="315">
        <v>0</v>
      </c>
      <c r="E63" s="315">
        <f t="shared" si="4"/>
        <v>0</v>
      </c>
      <c r="F63" s="315">
        <v>0</v>
      </c>
      <c r="G63" s="315">
        <v>0</v>
      </c>
      <c r="H63" s="315">
        <f t="shared" si="0"/>
        <v>0</v>
      </c>
      <c r="I63" s="315">
        <v>0</v>
      </c>
      <c r="J63" s="315">
        <v>0</v>
      </c>
      <c r="K63" s="315">
        <f t="shared" si="1"/>
        <v>0</v>
      </c>
      <c r="L63" s="315">
        <v>0</v>
      </c>
      <c r="M63" s="315">
        <v>0</v>
      </c>
      <c r="N63" s="315">
        <f t="shared" si="2"/>
        <v>174</v>
      </c>
      <c r="O63" s="315">
        <v>174</v>
      </c>
      <c r="P63" s="315">
        <v>0</v>
      </c>
    </row>
    <row r="64" spans="1:16" s="24" customFormat="1" ht="12.75" customHeight="1" x14ac:dyDescent="0.2">
      <c r="A64" s="24" t="s">
        <v>14</v>
      </c>
      <c r="B64" s="622">
        <f t="shared" si="3"/>
        <v>197695</v>
      </c>
      <c r="C64" s="622">
        <f>SUM(C65:C77)</f>
        <v>164308</v>
      </c>
      <c r="D64" s="622">
        <f>SUM(D65:D77)</f>
        <v>33387</v>
      </c>
      <c r="E64" s="622">
        <f t="shared" si="4"/>
        <v>228921</v>
      </c>
      <c r="F64" s="622">
        <f>SUM(F65:F77)</f>
        <v>194891</v>
      </c>
      <c r="G64" s="622">
        <f>SUM(G65:G77)</f>
        <v>34030</v>
      </c>
      <c r="H64" s="622">
        <f t="shared" si="0"/>
        <v>262021</v>
      </c>
      <c r="I64" s="622">
        <f>SUM(I65:I77)</f>
        <v>222795</v>
      </c>
      <c r="J64" s="622">
        <f>SUM(J65:J77)</f>
        <v>39226</v>
      </c>
      <c r="K64" s="622">
        <f t="shared" si="1"/>
        <v>371883</v>
      </c>
      <c r="L64" s="622">
        <f>SUM(L65:L77)</f>
        <v>322661</v>
      </c>
      <c r="M64" s="622">
        <f>SUM(M65:M77)</f>
        <v>49222</v>
      </c>
      <c r="N64" s="622">
        <f t="shared" si="2"/>
        <v>462349</v>
      </c>
      <c r="O64" s="622">
        <f>SUM(O65:O77)</f>
        <v>414277</v>
      </c>
      <c r="P64" s="622">
        <f>SUM(P65:P77)</f>
        <v>48072</v>
      </c>
    </row>
    <row r="65" spans="1:16" x14ac:dyDescent="0.2">
      <c r="A65" s="2" t="s">
        <v>1809</v>
      </c>
      <c r="B65" s="315">
        <f t="shared" si="3"/>
        <v>36194</v>
      </c>
      <c r="C65" s="315">
        <v>33412</v>
      </c>
      <c r="D65" s="315">
        <v>2782</v>
      </c>
      <c r="E65" s="315">
        <f t="shared" si="4"/>
        <v>31129</v>
      </c>
      <c r="F65" s="315">
        <v>28612</v>
      </c>
      <c r="G65" s="315">
        <v>2517</v>
      </c>
      <c r="H65" s="315">
        <f t="shared" si="0"/>
        <v>37593</v>
      </c>
      <c r="I65" s="315">
        <v>34742</v>
      </c>
      <c r="J65" s="315">
        <v>2851</v>
      </c>
      <c r="K65" s="315">
        <f t="shared" si="1"/>
        <v>59823</v>
      </c>
      <c r="L65" s="315">
        <v>55318</v>
      </c>
      <c r="M65" s="315">
        <v>4505</v>
      </c>
      <c r="N65" s="315">
        <f t="shared" si="2"/>
        <v>81739</v>
      </c>
      <c r="O65" s="315">
        <v>78150</v>
      </c>
      <c r="P65" s="315">
        <v>3589</v>
      </c>
    </row>
    <row r="66" spans="1:16" x14ac:dyDescent="0.2">
      <c r="A66" s="2" t="s">
        <v>1810</v>
      </c>
      <c r="B66" s="315">
        <f t="shared" si="3"/>
        <v>23790</v>
      </c>
      <c r="C66" s="315">
        <v>14715</v>
      </c>
      <c r="D66" s="315">
        <v>9075</v>
      </c>
      <c r="E66" s="315">
        <f t="shared" si="4"/>
        <v>22533</v>
      </c>
      <c r="F66" s="315">
        <v>14060</v>
      </c>
      <c r="G66" s="315">
        <v>8473</v>
      </c>
      <c r="H66" s="315">
        <f t="shared" si="0"/>
        <v>23614</v>
      </c>
      <c r="I66" s="315">
        <v>15360</v>
      </c>
      <c r="J66" s="315">
        <v>8254</v>
      </c>
      <c r="K66" s="315">
        <f t="shared" si="1"/>
        <v>32103</v>
      </c>
      <c r="L66" s="315">
        <v>21606</v>
      </c>
      <c r="M66" s="315">
        <v>10497</v>
      </c>
      <c r="N66" s="315">
        <f t="shared" si="2"/>
        <v>35026</v>
      </c>
      <c r="O66" s="315">
        <v>25156</v>
      </c>
      <c r="P66" s="315">
        <v>9870</v>
      </c>
    </row>
    <row r="67" spans="1:16" x14ac:dyDescent="0.2">
      <c r="A67" s="2" t="s">
        <v>1811</v>
      </c>
      <c r="B67" s="315">
        <f t="shared" si="3"/>
        <v>7500</v>
      </c>
      <c r="C67" s="315">
        <v>7245</v>
      </c>
      <c r="D67" s="315">
        <v>255</v>
      </c>
      <c r="E67" s="315">
        <f t="shared" si="4"/>
        <v>7626</v>
      </c>
      <c r="F67" s="315">
        <v>7288</v>
      </c>
      <c r="G67" s="315">
        <v>338</v>
      </c>
      <c r="H67" s="315">
        <f t="shared" si="0"/>
        <v>9061</v>
      </c>
      <c r="I67" s="315">
        <v>8887</v>
      </c>
      <c r="J67" s="315">
        <v>174</v>
      </c>
      <c r="K67" s="315">
        <f t="shared" si="1"/>
        <v>11832</v>
      </c>
      <c r="L67" s="315">
        <v>11613</v>
      </c>
      <c r="M67" s="315">
        <v>219</v>
      </c>
      <c r="N67" s="315">
        <f t="shared" si="2"/>
        <v>14669</v>
      </c>
      <c r="O67" s="315">
        <v>14336</v>
      </c>
      <c r="P67" s="315">
        <v>333</v>
      </c>
    </row>
    <row r="68" spans="1:16" x14ac:dyDescent="0.2">
      <c r="A68" s="2" t="s">
        <v>1812</v>
      </c>
      <c r="B68" s="315">
        <f t="shared" si="3"/>
        <v>2021</v>
      </c>
      <c r="C68" s="315">
        <v>1940</v>
      </c>
      <c r="D68" s="315">
        <v>81</v>
      </c>
      <c r="E68" s="315">
        <f t="shared" si="4"/>
        <v>1674</v>
      </c>
      <c r="F68" s="315">
        <v>1621</v>
      </c>
      <c r="G68" s="315">
        <v>53</v>
      </c>
      <c r="H68" s="315">
        <f t="shared" si="0"/>
        <v>4799</v>
      </c>
      <c r="I68" s="315">
        <v>4672</v>
      </c>
      <c r="J68" s="315">
        <v>127</v>
      </c>
      <c r="K68" s="315">
        <f t="shared" si="1"/>
        <v>4594</v>
      </c>
      <c r="L68" s="315">
        <v>4349</v>
      </c>
      <c r="M68" s="315">
        <v>245</v>
      </c>
      <c r="N68" s="315">
        <f t="shared" si="2"/>
        <v>6956</v>
      </c>
      <c r="O68" s="315">
        <v>6583</v>
      </c>
      <c r="P68" s="315">
        <v>373</v>
      </c>
    </row>
    <row r="69" spans="1:16" x14ac:dyDescent="0.2">
      <c r="A69" s="2" t="s">
        <v>1813</v>
      </c>
      <c r="B69" s="315">
        <f t="shared" si="3"/>
        <v>49109</v>
      </c>
      <c r="C69" s="315">
        <v>30018</v>
      </c>
      <c r="D69" s="315">
        <v>19091</v>
      </c>
      <c r="E69" s="315">
        <f t="shared" si="4"/>
        <v>80669</v>
      </c>
      <c r="F69" s="315">
        <v>60349</v>
      </c>
      <c r="G69" s="315">
        <v>20320</v>
      </c>
      <c r="H69" s="315">
        <f t="shared" si="0"/>
        <v>85602</v>
      </c>
      <c r="I69" s="315">
        <v>61965</v>
      </c>
      <c r="J69" s="315">
        <v>23637</v>
      </c>
      <c r="K69" s="315">
        <f t="shared" si="1"/>
        <v>115761</v>
      </c>
      <c r="L69" s="315">
        <v>86183</v>
      </c>
      <c r="M69" s="315">
        <v>29578</v>
      </c>
      <c r="N69" s="315">
        <f t="shared" si="2"/>
        <v>136014</v>
      </c>
      <c r="O69" s="315">
        <v>108888</v>
      </c>
      <c r="P69" s="315">
        <v>27126</v>
      </c>
    </row>
    <row r="70" spans="1:16" x14ac:dyDescent="0.2">
      <c r="A70" s="2" t="s">
        <v>1814</v>
      </c>
      <c r="B70" s="315">
        <f t="shared" si="3"/>
        <v>6</v>
      </c>
      <c r="C70" s="315">
        <v>6</v>
      </c>
      <c r="D70" s="315">
        <v>0</v>
      </c>
      <c r="E70" s="315">
        <f t="shared" si="4"/>
        <v>20</v>
      </c>
      <c r="F70" s="315">
        <v>20</v>
      </c>
      <c r="G70" s="315">
        <v>0</v>
      </c>
      <c r="H70" s="315">
        <f t="shared" si="0"/>
        <v>16</v>
      </c>
      <c r="I70" s="315">
        <v>16</v>
      </c>
      <c r="J70" s="315">
        <v>0</v>
      </c>
      <c r="K70" s="315">
        <f t="shared" si="1"/>
        <v>50</v>
      </c>
      <c r="L70" s="315">
        <v>50</v>
      </c>
      <c r="M70" s="315">
        <v>0</v>
      </c>
      <c r="N70" s="315">
        <f t="shared" si="2"/>
        <v>64</v>
      </c>
      <c r="O70" s="315">
        <v>64</v>
      </c>
      <c r="P70" s="315">
        <v>0</v>
      </c>
    </row>
    <row r="71" spans="1:16" x14ac:dyDescent="0.2">
      <c r="A71" s="2" t="s">
        <v>1815</v>
      </c>
      <c r="B71" s="315">
        <f t="shared" si="3"/>
        <v>0</v>
      </c>
      <c r="C71" s="315">
        <v>0</v>
      </c>
      <c r="D71" s="315">
        <v>0</v>
      </c>
      <c r="E71" s="315">
        <f t="shared" si="4"/>
        <v>0</v>
      </c>
      <c r="F71" s="315">
        <v>0</v>
      </c>
      <c r="G71" s="315">
        <v>0</v>
      </c>
      <c r="H71" s="315">
        <f t="shared" ref="H71:H124" si="6">SUM(I71:J71)</f>
        <v>0</v>
      </c>
      <c r="I71" s="315">
        <v>0</v>
      </c>
      <c r="J71" s="315">
        <v>0</v>
      </c>
      <c r="K71" s="315">
        <f t="shared" ref="K71:K124" si="7">SUM(L71:M71)</f>
        <v>0</v>
      </c>
      <c r="L71" s="315">
        <v>0</v>
      </c>
      <c r="M71" s="315">
        <v>0</v>
      </c>
      <c r="N71" s="315">
        <f t="shared" ref="N71:N123" si="8">SUM(O71:P71)</f>
        <v>0</v>
      </c>
      <c r="O71" s="315">
        <v>0</v>
      </c>
      <c r="P71" s="315">
        <v>0</v>
      </c>
    </row>
    <row r="72" spans="1:16" x14ac:dyDescent="0.2">
      <c r="A72" s="2" t="s">
        <v>1816</v>
      </c>
      <c r="B72" s="315">
        <f t="shared" ref="B72:B124" si="9">SUM(C72:D72)</f>
        <v>22651</v>
      </c>
      <c r="C72" s="315">
        <v>22028</v>
      </c>
      <c r="D72" s="315">
        <v>623</v>
      </c>
      <c r="E72" s="315">
        <f t="shared" si="4"/>
        <v>24796</v>
      </c>
      <c r="F72" s="315">
        <v>23836</v>
      </c>
      <c r="G72" s="315">
        <v>960</v>
      </c>
      <c r="H72" s="315">
        <f t="shared" si="6"/>
        <v>29447</v>
      </c>
      <c r="I72" s="315">
        <v>28111</v>
      </c>
      <c r="J72" s="315">
        <v>1336</v>
      </c>
      <c r="K72" s="315">
        <f t="shared" si="7"/>
        <v>55641</v>
      </c>
      <c r="L72" s="315">
        <v>54124</v>
      </c>
      <c r="M72" s="315">
        <v>1517</v>
      </c>
      <c r="N72" s="315">
        <f t="shared" si="8"/>
        <v>84539</v>
      </c>
      <c r="O72" s="315">
        <v>82576</v>
      </c>
      <c r="P72" s="315">
        <v>1963</v>
      </c>
    </row>
    <row r="73" spans="1:16" x14ac:dyDescent="0.2">
      <c r="A73" s="2" t="s">
        <v>1817</v>
      </c>
      <c r="B73" s="315">
        <f t="shared" si="9"/>
        <v>23</v>
      </c>
      <c r="C73" s="315">
        <v>23</v>
      </c>
      <c r="D73" s="315">
        <v>0</v>
      </c>
      <c r="E73" s="315">
        <f t="shared" ref="E73:E125" si="10">SUM(F73:G73)</f>
        <v>0</v>
      </c>
      <c r="F73" s="315">
        <v>0</v>
      </c>
      <c r="G73" s="315">
        <v>0</v>
      </c>
      <c r="H73" s="315">
        <f t="shared" si="6"/>
        <v>0</v>
      </c>
      <c r="I73" s="315">
        <v>0</v>
      </c>
      <c r="J73" s="315">
        <v>0</v>
      </c>
      <c r="K73" s="315">
        <f t="shared" si="7"/>
        <v>341</v>
      </c>
      <c r="L73" s="315">
        <v>340</v>
      </c>
      <c r="M73" s="315">
        <v>1</v>
      </c>
      <c r="N73" s="315">
        <f t="shared" si="8"/>
        <v>624</v>
      </c>
      <c r="O73" s="315">
        <v>624</v>
      </c>
      <c r="P73" s="315">
        <v>0</v>
      </c>
    </row>
    <row r="74" spans="1:16" x14ac:dyDescent="0.2">
      <c r="A74" s="2" t="s">
        <v>1818</v>
      </c>
      <c r="B74" s="315">
        <f t="shared" si="9"/>
        <v>0</v>
      </c>
      <c r="C74" s="315">
        <v>0</v>
      </c>
      <c r="D74" s="315">
        <v>0</v>
      </c>
      <c r="E74" s="315">
        <f t="shared" si="10"/>
        <v>0</v>
      </c>
      <c r="F74" s="315">
        <v>0</v>
      </c>
      <c r="G74" s="315">
        <v>0</v>
      </c>
      <c r="H74" s="315">
        <f t="shared" si="6"/>
        <v>60</v>
      </c>
      <c r="I74" s="315">
        <v>56</v>
      </c>
      <c r="J74" s="315">
        <v>4</v>
      </c>
      <c r="K74" s="315">
        <f t="shared" si="7"/>
        <v>0</v>
      </c>
      <c r="L74" s="315">
        <v>0</v>
      </c>
      <c r="M74" s="315">
        <v>0</v>
      </c>
      <c r="N74" s="315">
        <f t="shared" si="8"/>
        <v>0</v>
      </c>
      <c r="O74" s="315">
        <v>0</v>
      </c>
      <c r="P74" s="315">
        <v>0</v>
      </c>
    </row>
    <row r="75" spans="1:16" x14ac:dyDescent="0.2">
      <c r="A75" s="2" t="s">
        <v>1819</v>
      </c>
      <c r="B75" s="315">
        <f t="shared" si="9"/>
        <v>158</v>
      </c>
      <c r="C75" s="315">
        <v>158</v>
      </c>
      <c r="D75" s="315">
        <v>0</v>
      </c>
      <c r="E75" s="315">
        <f t="shared" si="10"/>
        <v>531</v>
      </c>
      <c r="F75" s="315">
        <v>510</v>
      </c>
      <c r="G75" s="315">
        <v>21</v>
      </c>
      <c r="H75" s="315">
        <f t="shared" si="6"/>
        <v>31</v>
      </c>
      <c r="I75" s="315">
        <v>31</v>
      </c>
      <c r="J75" s="315">
        <v>0</v>
      </c>
      <c r="K75" s="315">
        <f t="shared" si="7"/>
        <v>3954</v>
      </c>
      <c r="L75" s="315">
        <v>3145</v>
      </c>
      <c r="M75" s="315">
        <v>809</v>
      </c>
      <c r="N75" s="315">
        <f t="shared" si="8"/>
        <v>11207</v>
      </c>
      <c r="O75" s="315">
        <v>8315</v>
      </c>
      <c r="P75" s="315">
        <v>2892</v>
      </c>
    </row>
    <row r="76" spans="1:16" x14ac:dyDescent="0.2">
      <c r="A76" s="2" t="s">
        <v>1820</v>
      </c>
      <c r="B76" s="315">
        <f t="shared" si="9"/>
        <v>1273</v>
      </c>
      <c r="C76" s="315">
        <v>1255</v>
      </c>
      <c r="D76" s="315">
        <v>18</v>
      </c>
      <c r="E76" s="315">
        <f t="shared" si="10"/>
        <v>1339</v>
      </c>
      <c r="F76" s="315">
        <v>1285</v>
      </c>
      <c r="G76" s="315">
        <v>54</v>
      </c>
      <c r="H76" s="315">
        <f t="shared" si="6"/>
        <v>2335</v>
      </c>
      <c r="I76" s="315">
        <v>2297</v>
      </c>
      <c r="J76" s="315">
        <v>38</v>
      </c>
      <c r="K76" s="315">
        <f t="shared" si="7"/>
        <v>2731</v>
      </c>
      <c r="L76" s="315">
        <v>2656</v>
      </c>
      <c r="M76" s="315">
        <v>75</v>
      </c>
      <c r="N76" s="315">
        <f t="shared" si="8"/>
        <v>5656</v>
      </c>
      <c r="O76" s="315">
        <v>5505</v>
      </c>
      <c r="P76" s="315">
        <v>151</v>
      </c>
    </row>
    <row r="77" spans="1:16" x14ac:dyDescent="0.2">
      <c r="A77" s="2" t="s">
        <v>1821</v>
      </c>
      <c r="B77" s="315">
        <f t="shared" si="9"/>
        <v>54970</v>
      </c>
      <c r="C77" s="315">
        <v>53508</v>
      </c>
      <c r="D77" s="315">
        <v>1462</v>
      </c>
      <c r="E77" s="315">
        <f t="shared" si="10"/>
        <v>58604</v>
      </c>
      <c r="F77" s="315">
        <v>57310</v>
      </c>
      <c r="G77" s="315">
        <v>1294</v>
      </c>
      <c r="H77" s="315">
        <f t="shared" si="6"/>
        <v>69463</v>
      </c>
      <c r="I77" s="315">
        <v>66658</v>
      </c>
      <c r="J77" s="315">
        <v>2805</v>
      </c>
      <c r="K77" s="315">
        <f t="shared" si="7"/>
        <v>85053</v>
      </c>
      <c r="L77" s="315">
        <v>83277</v>
      </c>
      <c r="M77" s="315">
        <v>1776</v>
      </c>
      <c r="N77" s="315">
        <f t="shared" si="8"/>
        <v>85855</v>
      </c>
      <c r="O77" s="315">
        <v>84080</v>
      </c>
      <c r="P77" s="315">
        <v>1775</v>
      </c>
    </row>
    <row r="78" spans="1:16" s="24" customFormat="1" ht="12.75" customHeight="1" x14ac:dyDescent="0.2">
      <c r="A78" s="24" t="s">
        <v>135</v>
      </c>
      <c r="B78" s="622">
        <f t="shared" si="9"/>
        <v>345</v>
      </c>
      <c r="C78" s="622">
        <f>SUM(C79:C80)</f>
        <v>331</v>
      </c>
      <c r="D78" s="622">
        <f>SUM(D79:D80)</f>
        <v>14</v>
      </c>
      <c r="E78" s="622">
        <f t="shared" si="10"/>
        <v>376</v>
      </c>
      <c r="F78" s="622">
        <f>SUM(F79:F80)</f>
        <v>361</v>
      </c>
      <c r="G78" s="622">
        <f>SUM(G79:G80)</f>
        <v>15</v>
      </c>
      <c r="H78" s="622">
        <f t="shared" si="6"/>
        <v>1159</v>
      </c>
      <c r="I78" s="622">
        <f>SUM(I79:I80)</f>
        <v>1095</v>
      </c>
      <c r="J78" s="622">
        <f>SUM(J79:J80)</f>
        <v>64</v>
      </c>
      <c r="K78" s="622">
        <f t="shared" si="7"/>
        <v>1221</v>
      </c>
      <c r="L78" s="622">
        <f>SUM(L79:L80)</f>
        <v>1183</v>
      </c>
      <c r="M78" s="622">
        <f>SUM(M79:M80)</f>
        <v>38</v>
      </c>
      <c r="N78" s="622">
        <f t="shared" si="8"/>
        <v>2322</v>
      </c>
      <c r="O78" s="622">
        <f>SUM(O79:O80)</f>
        <v>2198</v>
      </c>
      <c r="P78" s="622">
        <f>SUM(P79:P80)</f>
        <v>124</v>
      </c>
    </row>
    <row r="79" spans="1:16" x14ac:dyDescent="0.2">
      <c r="A79" s="2" t="s">
        <v>1822</v>
      </c>
      <c r="B79" s="315">
        <f t="shared" si="9"/>
        <v>0</v>
      </c>
      <c r="C79" s="315">
        <v>0</v>
      </c>
      <c r="D79" s="315">
        <v>0</v>
      </c>
      <c r="E79" s="315">
        <f t="shared" si="10"/>
        <v>0</v>
      </c>
      <c r="F79" s="315">
        <v>0</v>
      </c>
      <c r="G79" s="315">
        <v>0</v>
      </c>
      <c r="H79" s="315">
        <f t="shared" si="6"/>
        <v>869</v>
      </c>
      <c r="I79" s="315">
        <v>813</v>
      </c>
      <c r="J79" s="315">
        <v>56</v>
      </c>
      <c r="K79" s="315">
        <f t="shared" si="7"/>
        <v>528</v>
      </c>
      <c r="L79" s="315">
        <v>509</v>
      </c>
      <c r="M79" s="315">
        <v>19</v>
      </c>
      <c r="N79" s="315">
        <f t="shared" si="8"/>
        <v>1198</v>
      </c>
      <c r="O79" s="315">
        <v>1125</v>
      </c>
      <c r="P79" s="315">
        <v>73</v>
      </c>
    </row>
    <row r="80" spans="1:16" x14ac:dyDescent="0.2">
      <c r="A80" s="2" t="s">
        <v>1823</v>
      </c>
      <c r="B80" s="315">
        <f t="shared" si="9"/>
        <v>345</v>
      </c>
      <c r="C80" s="315">
        <v>331</v>
      </c>
      <c r="D80" s="315">
        <v>14</v>
      </c>
      <c r="E80" s="315">
        <f t="shared" si="10"/>
        <v>376</v>
      </c>
      <c r="F80" s="315">
        <v>361</v>
      </c>
      <c r="G80" s="315">
        <v>15</v>
      </c>
      <c r="H80" s="315">
        <f t="shared" si="6"/>
        <v>290</v>
      </c>
      <c r="I80" s="315">
        <v>282</v>
      </c>
      <c r="J80" s="315">
        <v>8</v>
      </c>
      <c r="K80" s="315">
        <f t="shared" si="7"/>
        <v>693</v>
      </c>
      <c r="L80" s="315">
        <v>674</v>
      </c>
      <c r="M80" s="315">
        <v>19</v>
      </c>
      <c r="N80" s="315">
        <f t="shared" si="8"/>
        <v>1124</v>
      </c>
      <c r="O80" s="315">
        <v>1073</v>
      </c>
      <c r="P80" s="315">
        <v>51</v>
      </c>
    </row>
    <row r="81" spans="1:16" s="24" customFormat="1" ht="12.75" customHeight="1" x14ac:dyDescent="0.2">
      <c r="A81" s="24" t="s">
        <v>136</v>
      </c>
      <c r="B81" s="622">
        <f t="shared" si="9"/>
        <v>794363</v>
      </c>
      <c r="C81" s="622">
        <f>SUM(C82:C92)</f>
        <v>544260</v>
      </c>
      <c r="D81" s="622">
        <f>SUM(D82:D92)</f>
        <v>250103</v>
      </c>
      <c r="E81" s="622">
        <f t="shared" si="10"/>
        <v>486725</v>
      </c>
      <c r="F81" s="622">
        <f>SUM(F82:F92)</f>
        <v>336215</v>
      </c>
      <c r="G81" s="622">
        <f>SUM(G82:G92)</f>
        <v>150510</v>
      </c>
      <c r="H81" s="622">
        <f t="shared" si="6"/>
        <v>430663</v>
      </c>
      <c r="I81" s="622">
        <f>SUM(I82:I92)</f>
        <v>337700</v>
      </c>
      <c r="J81" s="622">
        <f>SUM(J82:J92)</f>
        <v>92963</v>
      </c>
      <c r="K81" s="622">
        <f t="shared" si="7"/>
        <v>514248</v>
      </c>
      <c r="L81" s="622">
        <f>SUM(L82:L92)</f>
        <v>408930</v>
      </c>
      <c r="M81" s="622">
        <f>SUM(M82:M92)</f>
        <v>105318</v>
      </c>
      <c r="N81" s="622">
        <f t="shared" si="8"/>
        <v>568391</v>
      </c>
      <c r="O81" s="622">
        <f>SUM(O82:O92)</f>
        <v>454425</v>
      </c>
      <c r="P81" s="622">
        <f>SUM(P82:P92)</f>
        <v>113966</v>
      </c>
    </row>
    <row r="82" spans="1:16" x14ac:dyDescent="0.2">
      <c r="A82" s="2" t="s">
        <v>1824</v>
      </c>
      <c r="B82" s="315">
        <f t="shared" si="9"/>
        <v>17107</v>
      </c>
      <c r="C82" s="315">
        <v>12112</v>
      </c>
      <c r="D82" s="315">
        <v>4995</v>
      </c>
      <c r="E82" s="315">
        <f t="shared" si="10"/>
        <v>14761</v>
      </c>
      <c r="F82" s="315">
        <v>10814</v>
      </c>
      <c r="G82" s="315">
        <v>3947</v>
      </c>
      <c r="H82" s="315">
        <f t="shared" si="6"/>
        <v>20950</v>
      </c>
      <c r="I82" s="315">
        <v>15876</v>
      </c>
      <c r="J82" s="315">
        <v>5074</v>
      </c>
      <c r="K82" s="315">
        <f t="shared" si="7"/>
        <v>27049</v>
      </c>
      <c r="L82" s="315">
        <v>21580</v>
      </c>
      <c r="M82" s="315">
        <v>5469</v>
      </c>
      <c r="N82" s="315">
        <f t="shared" si="8"/>
        <v>31142</v>
      </c>
      <c r="O82" s="315">
        <v>25057</v>
      </c>
      <c r="P82" s="315">
        <v>6085</v>
      </c>
    </row>
    <row r="83" spans="1:16" x14ac:dyDescent="0.2">
      <c r="A83" s="2" t="s">
        <v>1825</v>
      </c>
      <c r="B83" s="315">
        <f t="shared" si="9"/>
        <v>499129</v>
      </c>
      <c r="C83" s="315">
        <v>325991</v>
      </c>
      <c r="D83" s="315">
        <v>173138</v>
      </c>
      <c r="E83" s="315">
        <f t="shared" si="10"/>
        <v>250415</v>
      </c>
      <c r="F83" s="315">
        <v>185130</v>
      </c>
      <c r="G83" s="315">
        <v>65285</v>
      </c>
      <c r="H83" s="315">
        <f t="shared" si="6"/>
        <v>95062</v>
      </c>
      <c r="I83" s="315">
        <v>82870</v>
      </c>
      <c r="J83" s="315">
        <v>12192</v>
      </c>
      <c r="K83" s="315">
        <f t="shared" si="7"/>
        <v>133037</v>
      </c>
      <c r="L83" s="315">
        <v>116590</v>
      </c>
      <c r="M83" s="315">
        <v>16447</v>
      </c>
      <c r="N83" s="315">
        <f t="shared" si="8"/>
        <v>124272</v>
      </c>
      <c r="O83" s="315">
        <v>108885</v>
      </c>
      <c r="P83" s="315">
        <v>15387</v>
      </c>
    </row>
    <row r="84" spans="1:16" x14ac:dyDescent="0.2">
      <c r="A84" s="2" t="s">
        <v>1826</v>
      </c>
      <c r="B84" s="315">
        <f t="shared" si="9"/>
        <v>264496</v>
      </c>
      <c r="C84" s="315">
        <v>194804</v>
      </c>
      <c r="D84" s="315">
        <v>69692</v>
      </c>
      <c r="E84" s="315">
        <f t="shared" si="10"/>
        <v>203027</v>
      </c>
      <c r="F84" s="315">
        <v>124868</v>
      </c>
      <c r="G84" s="315">
        <v>78159</v>
      </c>
      <c r="H84" s="315">
        <f t="shared" si="6"/>
        <v>293266</v>
      </c>
      <c r="I84" s="315">
        <v>220767</v>
      </c>
      <c r="J84" s="315">
        <v>72499</v>
      </c>
      <c r="K84" s="315">
        <f t="shared" si="7"/>
        <v>332334</v>
      </c>
      <c r="L84" s="315">
        <v>252983</v>
      </c>
      <c r="M84" s="315">
        <v>79351</v>
      </c>
      <c r="N84" s="315">
        <f t="shared" si="8"/>
        <v>386287</v>
      </c>
      <c r="O84" s="315">
        <v>298254</v>
      </c>
      <c r="P84" s="315">
        <v>88033</v>
      </c>
    </row>
    <row r="85" spans="1:16" x14ac:dyDescent="0.2">
      <c r="A85" s="2" t="s">
        <v>1827</v>
      </c>
      <c r="B85" s="315">
        <f t="shared" si="9"/>
        <v>10813</v>
      </c>
      <c r="C85" s="315">
        <v>9311</v>
      </c>
      <c r="D85" s="315">
        <v>1502</v>
      </c>
      <c r="E85" s="315">
        <f t="shared" si="10"/>
        <v>9250</v>
      </c>
      <c r="F85" s="315">
        <v>7861</v>
      </c>
      <c r="G85" s="315">
        <v>1389</v>
      </c>
      <c r="H85" s="315">
        <f t="shared" si="6"/>
        <v>11721</v>
      </c>
      <c r="I85" s="315">
        <v>10179</v>
      </c>
      <c r="J85" s="315">
        <v>1542</v>
      </c>
      <c r="K85" s="315">
        <f t="shared" si="7"/>
        <v>12189</v>
      </c>
      <c r="L85" s="315">
        <v>10369</v>
      </c>
      <c r="M85" s="315">
        <v>1820</v>
      </c>
      <c r="N85" s="315">
        <f t="shared" si="8"/>
        <v>15728</v>
      </c>
      <c r="O85" s="315">
        <v>13436</v>
      </c>
      <c r="P85" s="315">
        <v>2292</v>
      </c>
    </row>
    <row r="86" spans="1:16" x14ac:dyDescent="0.2">
      <c r="A86" s="2" t="s">
        <v>1828</v>
      </c>
      <c r="B86" s="315">
        <f t="shared" si="9"/>
        <v>311</v>
      </c>
      <c r="C86" s="315">
        <v>287</v>
      </c>
      <c r="D86" s="315">
        <v>24</v>
      </c>
      <c r="E86" s="315">
        <f t="shared" si="10"/>
        <v>479</v>
      </c>
      <c r="F86" s="315">
        <v>428</v>
      </c>
      <c r="G86" s="315">
        <v>51</v>
      </c>
      <c r="H86" s="315">
        <f t="shared" si="6"/>
        <v>351</v>
      </c>
      <c r="I86" s="315">
        <v>316</v>
      </c>
      <c r="J86" s="315">
        <v>35</v>
      </c>
      <c r="K86" s="315">
        <f t="shared" si="7"/>
        <v>0</v>
      </c>
      <c r="L86" s="315">
        <v>0</v>
      </c>
      <c r="M86" s="315">
        <v>0</v>
      </c>
      <c r="N86" s="315">
        <f t="shared" si="8"/>
        <v>621</v>
      </c>
      <c r="O86" s="315">
        <v>589</v>
      </c>
      <c r="P86" s="315">
        <v>32</v>
      </c>
    </row>
    <row r="87" spans="1:16" x14ac:dyDescent="0.2">
      <c r="A87" s="2" t="s">
        <v>1829</v>
      </c>
      <c r="B87" s="315">
        <f t="shared" si="9"/>
        <v>0</v>
      </c>
      <c r="C87" s="315">
        <v>0</v>
      </c>
      <c r="D87" s="315">
        <v>0</v>
      </c>
      <c r="E87" s="315">
        <f t="shared" si="10"/>
        <v>0</v>
      </c>
      <c r="F87" s="315">
        <v>0</v>
      </c>
      <c r="G87" s="315">
        <v>0</v>
      </c>
      <c r="H87" s="315">
        <f t="shared" si="6"/>
        <v>0</v>
      </c>
      <c r="I87" s="315">
        <v>0</v>
      </c>
      <c r="J87" s="315">
        <v>0</v>
      </c>
      <c r="K87" s="315">
        <f t="shared" si="7"/>
        <v>0</v>
      </c>
      <c r="L87" s="315">
        <v>0</v>
      </c>
      <c r="M87" s="315">
        <v>0</v>
      </c>
      <c r="N87" s="315">
        <f t="shared" si="8"/>
        <v>0</v>
      </c>
      <c r="O87" s="315">
        <v>0</v>
      </c>
      <c r="P87" s="315">
        <v>0</v>
      </c>
    </row>
    <row r="88" spans="1:16" x14ac:dyDescent="0.2">
      <c r="A88" s="2" t="s">
        <v>1830</v>
      </c>
      <c r="B88" s="315">
        <f t="shared" si="9"/>
        <v>0</v>
      </c>
      <c r="C88" s="315">
        <v>0</v>
      </c>
      <c r="D88" s="315">
        <v>0</v>
      </c>
      <c r="E88" s="315">
        <f t="shared" si="10"/>
        <v>0</v>
      </c>
      <c r="F88" s="315">
        <v>0</v>
      </c>
      <c r="G88" s="315">
        <v>0</v>
      </c>
      <c r="H88" s="315">
        <f t="shared" si="6"/>
        <v>0</v>
      </c>
      <c r="I88" s="315">
        <v>0</v>
      </c>
      <c r="J88" s="315">
        <v>0</v>
      </c>
      <c r="K88" s="315">
        <f t="shared" si="7"/>
        <v>0</v>
      </c>
      <c r="L88" s="315">
        <v>0</v>
      </c>
      <c r="M88" s="315">
        <v>0</v>
      </c>
      <c r="N88" s="315">
        <f t="shared" si="8"/>
        <v>0</v>
      </c>
      <c r="O88" s="315">
        <v>0</v>
      </c>
      <c r="P88" s="315">
        <v>0</v>
      </c>
    </row>
    <row r="89" spans="1:16" x14ac:dyDescent="0.2">
      <c r="A89" s="2" t="s">
        <v>1831</v>
      </c>
      <c r="B89" s="315">
        <f t="shared" si="9"/>
        <v>2507</v>
      </c>
      <c r="C89" s="315">
        <v>1755</v>
      </c>
      <c r="D89" s="315">
        <v>752</v>
      </c>
      <c r="E89" s="315">
        <f t="shared" si="10"/>
        <v>2521</v>
      </c>
      <c r="F89" s="315">
        <v>2020</v>
      </c>
      <c r="G89" s="315">
        <v>501</v>
      </c>
      <c r="H89" s="315">
        <f t="shared" si="6"/>
        <v>2185</v>
      </c>
      <c r="I89" s="315">
        <v>1705</v>
      </c>
      <c r="J89" s="315">
        <v>480</v>
      </c>
      <c r="K89" s="315">
        <f t="shared" si="7"/>
        <v>2988</v>
      </c>
      <c r="L89" s="315">
        <v>2504</v>
      </c>
      <c r="M89" s="315">
        <v>484</v>
      </c>
      <c r="N89" s="315">
        <f t="shared" si="8"/>
        <v>3241</v>
      </c>
      <c r="O89" s="315">
        <v>2647</v>
      </c>
      <c r="P89" s="315">
        <v>594</v>
      </c>
    </row>
    <row r="90" spans="1:16" x14ac:dyDescent="0.2">
      <c r="A90" s="2" t="s">
        <v>1832</v>
      </c>
      <c r="B90" s="315">
        <f t="shared" si="9"/>
        <v>0</v>
      </c>
      <c r="C90" s="315">
        <v>0</v>
      </c>
      <c r="D90" s="315">
        <v>0</v>
      </c>
      <c r="E90" s="315">
        <f t="shared" si="10"/>
        <v>0</v>
      </c>
      <c r="F90" s="315">
        <v>0</v>
      </c>
      <c r="G90" s="315">
        <v>0</v>
      </c>
      <c r="H90" s="315">
        <f t="shared" si="6"/>
        <v>305</v>
      </c>
      <c r="I90" s="315">
        <v>270</v>
      </c>
      <c r="J90" s="315">
        <v>35</v>
      </c>
      <c r="K90" s="315">
        <f t="shared" si="7"/>
        <v>471</v>
      </c>
      <c r="L90" s="315">
        <v>394</v>
      </c>
      <c r="M90" s="315">
        <v>77</v>
      </c>
      <c r="N90" s="315">
        <f t="shared" si="8"/>
        <v>560</v>
      </c>
      <c r="O90" s="315">
        <v>461</v>
      </c>
      <c r="P90" s="315">
        <v>99</v>
      </c>
    </row>
    <row r="91" spans="1:16" x14ac:dyDescent="0.2">
      <c r="A91" s="2" t="s">
        <v>1833</v>
      </c>
      <c r="B91" s="315">
        <f t="shared" si="9"/>
        <v>0</v>
      </c>
      <c r="C91" s="315">
        <v>0</v>
      </c>
      <c r="D91" s="315">
        <v>0</v>
      </c>
      <c r="E91" s="315">
        <f t="shared" si="10"/>
        <v>0</v>
      </c>
      <c r="F91" s="315">
        <v>0</v>
      </c>
      <c r="G91" s="315">
        <v>0</v>
      </c>
      <c r="H91" s="315">
        <f t="shared" si="6"/>
        <v>2829</v>
      </c>
      <c r="I91" s="315">
        <v>2172</v>
      </c>
      <c r="J91" s="315">
        <v>657</v>
      </c>
      <c r="K91" s="315">
        <f t="shared" si="7"/>
        <v>1907</v>
      </c>
      <c r="L91" s="315">
        <v>1456</v>
      </c>
      <c r="M91" s="315">
        <v>451</v>
      </c>
      <c r="N91" s="315">
        <f t="shared" si="8"/>
        <v>1855</v>
      </c>
      <c r="O91" s="315">
        <v>1416</v>
      </c>
      <c r="P91" s="315">
        <v>439</v>
      </c>
    </row>
    <row r="92" spans="1:16" x14ac:dyDescent="0.2">
      <c r="A92" s="2" t="s">
        <v>1834</v>
      </c>
      <c r="B92" s="315">
        <f t="shared" si="9"/>
        <v>0</v>
      </c>
      <c r="C92" s="315">
        <v>0</v>
      </c>
      <c r="D92" s="315">
        <v>0</v>
      </c>
      <c r="E92" s="315">
        <f t="shared" si="10"/>
        <v>6272</v>
      </c>
      <c r="F92" s="315">
        <v>5094</v>
      </c>
      <c r="G92" s="315">
        <v>1178</v>
      </c>
      <c r="H92" s="315">
        <f t="shared" si="6"/>
        <v>3994</v>
      </c>
      <c r="I92" s="315">
        <v>3545</v>
      </c>
      <c r="J92" s="315">
        <v>449</v>
      </c>
      <c r="K92" s="315">
        <f t="shared" si="7"/>
        <v>4273</v>
      </c>
      <c r="L92" s="315">
        <v>3054</v>
      </c>
      <c r="M92" s="315">
        <v>1219</v>
      </c>
      <c r="N92" s="315">
        <f t="shared" si="8"/>
        <v>4685</v>
      </c>
      <c r="O92" s="315">
        <v>3680</v>
      </c>
      <c r="P92" s="315">
        <v>1005</v>
      </c>
    </row>
    <row r="93" spans="1:16" s="24" customFormat="1" ht="12.75" customHeight="1" x14ac:dyDescent="0.2">
      <c r="A93" s="24" t="s">
        <v>17</v>
      </c>
      <c r="B93" s="622">
        <f t="shared" si="9"/>
        <v>30834</v>
      </c>
      <c r="C93" s="622">
        <f>SUM(C94:C112)</f>
        <v>16658</v>
      </c>
      <c r="D93" s="622">
        <f>SUM(D94:D112)</f>
        <v>14176</v>
      </c>
      <c r="E93" s="622">
        <f t="shared" si="10"/>
        <v>32030</v>
      </c>
      <c r="F93" s="622">
        <f>SUM(F94:F112)</f>
        <v>17169</v>
      </c>
      <c r="G93" s="622">
        <f>SUM(G94:G112)</f>
        <v>14861</v>
      </c>
      <c r="H93" s="622">
        <f t="shared" si="6"/>
        <v>32341</v>
      </c>
      <c r="I93" s="622">
        <f>SUM(I94:I112)</f>
        <v>22091</v>
      </c>
      <c r="J93" s="622">
        <f>SUM(J94:J112)</f>
        <v>10250</v>
      </c>
      <c r="K93" s="622">
        <f t="shared" si="7"/>
        <v>32544</v>
      </c>
      <c r="L93" s="622">
        <f>SUM(L94:L112)</f>
        <v>21762</v>
      </c>
      <c r="M93" s="622">
        <f>SUM(M94:M112)</f>
        <v>10782</v>
      </c>
      <c r="N93" s="622">
        <f t="shared" si="8"/>
        <v>50008</v>
      </c>
      <c r="O93" s="622">
        <f>SUM(O94:O112)</f>
        <v>35508</v>
      </c>
      <c r="P93" s="622">
        <f>SUM(P94:P112)</f>
        <v>14500</v>
      </c>
    </row>
    <row r="94" spans="1:16" x14ac:dyDescent="0.2">
      <c r="A94" s="2" t="s">
        <v>1875</v>
      </c>
      <c r="B94" s="315">
        <f t="shared" si="9"/>
        <v>0</v>
      </c>
      <c r="C94" s="315">
        <v>0</v>
      </c>
      <c r="D94" s="315">
        <v>0</v>
      </c>
      <c r="E94" s="315">
        <f t="shared" si="10"/>
        <v>0</v>
      </c>
      <c r="F94" s="315">
        <v>0</v>
      </c>
      <c r="G94" s="315">
        <v>0</v>
      </c>
      <c r="H94" s="315">
        <f t="shared" si="6"/>
        <v>0</v>
      </c>
      <c r="I94" s="315">
        <v>0</v>
      </c>
      <c r="J94" s="315">
        <v>0</v>
      </c>
      <c r="K94" s="315">
        <f t="shared" si="7"/>
        <v>0</v>
      </c>
      <c r="L94" s="315">
        <v>0</v>
      </c>
      <c r="M94" s="315">
        <v>0</v>
      </c>
      <c r="N94" s="315">
        <f t="shared" si="8"/>
        <v>0</v>
      </c>
      <c r="O94" s="315">
        <v>0</v>
      </c>
      <c r="P94" s="315">
        <v>0</v>
      </c>
    </row>
    <row r="95" spans="1:16" x14ac:dyDescent="0.2">
      <c r="A95" s="2" t="s">
        <v>1876</v>
      </c>
      <c r="B95" s="315">
        <f t="shared" si="9"/>
        <v>0</v>
      </c>
      <c r="C95" s="315">
        <v>0</v>
      </c>
      <c r="D95" s="315">
        <v>0</v>
      </c>
      <c r="E95" s="315">
        <f t="shared" si="10"/>
        <v>0</v>
      </c>
      <c r="F95" s="315">
        <v>0</v>
      </c>
      <c r="G95" s="315">
        <v>0</v>
      </c>
      <c r="H95" s="315">
        <f t="shared" si="6"/>
        <v>0</v>
      </c>
      <c r="I95" s="315">
        <v>0</v>
      </c>
      <c r="J95" s="315">
        <v>0</v>
      </c>
      <c r="K95" s="315">
        <f t="shared" si="7"/>
        <v>0</v>
      </c>
      <c r="L95" s="315">
        <v>0</v>
      </c>
      <c r="M95" s="315">
        <v>0</v>
      </c>
      <c r="N95" s="315">
        <f t="shared" si="8"/>
        <v>0</v>
      </c>
      <c r="O95" s="315">
        <v>0</v>
      </c>
      <c r="P95" s="315">
        <v>0</v>
      </c>
    </row>
    <row r="96" spans="1:16" x14ac:dyDescent="0.2">
      <c r="A96" s="2" t="s">
        <v>1837</v>
      </c>
      <c r="B96" s="315">
        <f t="shared" si="9"/>
        <v>158</v>
      </c>
      <c r="C96" s="315">
        <v>82</v>
      </c>
      <c r="D96" s="315">
        <v>76</v>
      </c>
      <c r="E96" s="315">
        <f t="shared" si="10"/>
        <v>187</v>
      </c>
      <c r="F96" s="315">
        <v>77</v>
      </c>
      <c r="G96" s="315">
        <v>110</v>
      </c>
      <c r="H96" s="315">
        <f t="shared" si="6"/>
        <v>328</v>
      </c>
      <c r="I96" s="315">
        <v>182</v>
      </c>
      <c r="J96" s="315">
        <v>146</v>
      </c>
      <c r="K96" s="315">
        <f t="shared" si="7"/>
        <v>386</v>
      </c>
      <c r="L96" s="315">
        <v>252</v>
      </c>
      <c r="M96" s="315">
        <v>134</v>
      </c>
      <c r="N96" s="315">
        <f t="shared" si="8"/>
        <v>1022</v>
      </c>
      <c r="O96" s="315">
        <v>686</v>
      </c>
      <c r="P96" s="315">
        <v>336</v>
      </c>
    </row>
    <row r="97" spans="1:16" x14ac:dyDescent="0.2">
      <c r="A97" s="2" t="s">
        <v>1838</v>
      </c>
      <c r="B97" s="315">
        <f t="shared" si="9"/>
        <v>10145</v>
      </c>
      <c r="C97" s="315">
        <v>5109</v>
      </c>
      <c r="D97" s="315">
        <v>5036</v>
      </c>
      <c r="E97" s="315">
        <f t="shared" si="10"/>
        <v>10897</v>
      </c>
      <c r="F97" s="315">
        <v>5393</v>
      </c>
      <c r="G97" s="315">
        <v>5504</v>
      </c>
      <c r="H97" s="315">
        <f t="shared" si="6"/>
        <v>12595</v>
      </c>
      <c r="I97" s="315">
        <v>7576</v>
      </c>
      <c r="J97" s="315">
        <v>5019</v>
      </c>
      <c r="K97" s="315">
        <f t="shared" si="7"/>
        <v>11405</v>
      </c>
      <c r="L97" s="315">
        <v>7565</v>
      </c>
      <c r="M97" s="315">
        <v>3840</v>
      </c>
      <c r="N97" s="315">
        <f t="shared" si="8"/>
        <v>16231</v>
      </c>
      <c r="O97" s="315">
        <v>11393</v>
      </c>
      <c r="P97" s="315">
        <v>4838</v>
      </c>
    </row>
    <row r="98" spans="1:16" x14ac:dyDescent="0.2">
      <c r="A98" s="2" t="s">
        <v>1839</v>
      </c>
      <c r="B98" s="315">
        <f t="shared" si="9"/>
        <v>1333</v>
      </c>
      <c r="C98" s="315">
        <v>781</v>
      </c>
      <c r="D98" s="315">
        <v>552</v>
      </c>
      <c r="E98" s="315">
        <f t="shared" si="10"/>
        <v>1241</v>
      </c>
      <c r="F98" s="315">
        <v>960</v>
      </c>
      <c r="G98" s="315">
        <v>281</v>
      </c>
      <c r="H98" s="315">
        <f t="shared" si="6"/>
        <v>1923</v>
      </c>
      <c r="I98" s="315">
        <v>1487</v>
      </c>
      <c r="J98" s="315">
        <v>436</v>
      </c>
      <c r="K98" s="315">
        <f t="shared" si="7"/>
        <v>1575</v>
      </c>
      <c r="L98" s="315">
        <v>1017</v>
      </c>
      <c r="M98" s="315">
        <v>558</v>
      </c>
      <c r="N98" s="315">
        <f t="shared" si="8"/>
        <v>2893</v>
      </c>
      <c r="O98" s="315">
        <v>2358</v>
      </c>
      <c r="P98" s="315">
        <v>535</v>
      </c>
    </row>
    <row r="99" spans="1:16" x14ac:dyDescent="0.2">
      <c r="A99" s="2" t="s">
        <v>1840</v>
      </c>
      <c r="B99" s="315">
        <f t="shared" si="9"/>
        <v>6362</v>
      </c>
      <c r="C99" s="315">
        <v>5525</v>
      </c>
      <c r="D99" s="315">
        <v>837</v>
      </c>
      <c r="E99" s="315">
        <f t="shared" si="10"/>
        <v>5827</v>
      </c>
      <c r="F99" s="315">
        <v>4821</v>
      </c>
      <c r="G99" s="315">
        <v>1006</v>
      </c>
      <c r="H99" s="315">
        <f t="shared" si="6"/>
        <v>8382</v>
      </c>
      <c r="I99" s="315">
        <v>7588</v>
      </c>
      <c r="J99" s="315">
        <v>794</v>
      </c>
      <c r="K99" s="315">
        <f t="shared" si="7"/>
        <v>8071</v>
      </c>
      <c r="L99" s="315">
        <v>7235</v>
      </c>
      <c r="M99" s="315">
        <v>836</v>
      </c>
      <c r="N99" s="315">
        <f t="shared" si="8"/>
        <v>13966</v>
      </c>
      <c r="O99" s="315">
        <v>12792</v>
      </c>
      <c r="P99" s="315">
        <v>1174</v>
      </c>
    </row>
    <row r="100" spans="1:16" x14ac:dyDescent="0.2">
      <c r="A100" s="2" t="s">
        <v>1841</v>
      </c>
      <c r="B100" s="315">
        <f t="shared" si="9"/>
        <v>0</v>
      </c>
      <c r="C100" s="315">
        <v>0</v>
      </c>
      <c r="D100" s="315">
        <v>0</v>
      </c>
      <c r="E100" s="315">
        <f t="shared" si="10"/>
        <v>0</v>
      </c>
      <c r="F100" s="315">
        <v>0</v>
      </c>
      <c r="G100" s="315">
        <v>0</v>
      </c>
      <c r="H100" s="315">
        <f t="shared" si="6"/>
        <v>0</v>
      </c>
      <c r="I100" s="315">
        <v>0</v>
      </c>
      <c r="J100" s="315">
        <v>0</v>
      </c>
      <c r="K100" s="315">
        <f t="shared" si="7"/>
        <v>0</v>
      </c>
      <c r="L100" s="315">
        <v>0</v>
      </c>
      <c r="M100" s="315">
        <v>0</v>
      </c>
      <c r="N100" s="315">
        <f t="shared" si="8"/>
        <v>0</v>
      </c>
      <c r="O100" s="315">
        <v>0</v>
      </c>
      <c r="P100" s="315">
        <v>0</v>
      </c>
    </row>
    <row r="101" spans="1:16" x14ac:dyDescent="0.2">
      <c r="A101" s="2" t="s">
        <v>1842</v>
      </c>
      <c r="B101" s="315">
        <f t="shared" si="9"/>
        <v>0</v>
      </c>
      <c r="C101" s="315">
        <v>0</v>
      </c>
      <c r="D101" s="315">
        <v>0</v>
      </c>
      <c r="E101" s="315">
        <f t="shared" si="10"/>
        <v>0</v>
      </c>
      <c r="F101" s="315">
        <v>0</v>
      </c>
      <c r="G101" s="315">
        <v>0</v>
      </c>
      <c r="H101" s="315">
        <f t="shared" si="6"/>
        <v>0</v>
      </c>
      <c r="I101" s="315">
        <v>0</v>
      </c>
      <c r="J101" s="315">
        <v>0</v>
      </c>
      <c r="K101" s="315">
        <f t="shared" si="7"/>
        <v>0</v>
      </c>
      <c r="L101" s="315">
        <v>0</v>
      </c>
      <c r="M101" s="315">
        <v>0</v>
      </c>
      <c r="N101" s="315">
        <f t="shared" si="8"/>
        <v>0</v>
      </c>
      <c r="O101" s="315">
        <v>0</v>
      </c>
      <c r="P101" s="315">
        <v>0</v>
      </c>
    </row>
    <row r="102" spans="1:16" x14ac:dyDescent="0.2">
      <c r="A102" s="2" t="s">
        <v>1843</v>
      </c>
      <c r="B102" s="315">
        <f t="shared" si="9"/>
        <v>1237</v>
      </c>
      <c r="C102" s="315">
        <v>864</v>
      </c>
      <c r="D102" s="315">
        <v>373</v>
      </c>
      <c r="E102" s="315">
        <f t="shared" si="10"/>
        <v>1788</v>
      </c>
      <c r="F102" s="315">
        <v>1416</v>
      </c>
      <c r="G102" s="315">
        <v>372</v>
      </c>
      <c r="H102" s="315">
        <f t="shared" si="6"/>
        <v>1964</v>
      </c>
      <c r="I102" s="315">
        <v>1623</v>
      </c>
      <c r="J102" s="315">
        <v>341</v>
      </c>
      <c r="K102" s="315">
        <f t="shared" si="7"/>
        <v>1788</v>
      </c>
      <c r="L102" s="315">
        <v>1382</v>
      </c>
      <c r="M102" s="315">
        <v>406</v>
      </c>
      <c r="N102" s="315">
        <f t="shared" si="8"/>
        <v>1251</v>
      </c>
      <c r="O102" s="315">
        <v>1037</v>
      </c>
      <c r="P102" s="315">
        <v>214</v>
      </c>
    </row>
    <row r="103" spans="1:16" x14ac:dyDescent="0.2">
      <c r="A103" s="2" t="s">
        <v>1844</v>
      </c>
      <c r="B103" s="315">
        <f t="shared" si="9"/>
        <v>290</v>
      </c>
      <c r="C103" s="315">
        <v>194</v>
      </c>
      <c r="D103" s="315">
        <v>96</v>
      </c>
      <c r="E103" s="315">
        <f t="shared" si="10"/>
        <v>256</v>
      </c>
      <c r="F103" s="315">
        <v>168</v>
      </c>
      <c r="G103" s="315">
        <v>88</v>
      </c>
      <c r="H103" s="315">
        <f t="shared" si="6"/>
        <v>515</v>
      </c>
      <c r="I103" s="315">
        <v>343</v>
      </c>
      <c r="J103" s="315">
        <v>172</v>
      </c>
      <c r="K103" s="315">
        <f t="shared" si="7"/>
        <v>680</v>
      </c>
      <c r="L103" s="315">
        <v>514</v>
      </c>
      <c r="M103" s="315">
        <v>166</v>
      </c>
      <c r="N103" s="315">
        <f t="shared" si="8"/>
        <v>1500</v>
      </c>
      <c r="O103" s="315">
        <v>1280</v>
      </c>
      <c r="P103" s="315">
        <v>220</v>
      </c>
    </row>
    <row r="104" spans="1:16" x14ac:dyDescent="0.2">
      <c r="A104" s="2" t="s">
        <v>1845</v>
      </c>
      <c r="B104" s="315">
        <f t="shared" si="9"/>
        <v>0</v>
      </c>
      <c r="C104" s="315">
        <v>0</v>
      </c>
      <c r="D104" s="315">
        <v>0</v>
      </c>
      <c r="E104" s="315">
        <f t="shared" si="10"/>
        <v>0</v>
      </c>
      <c r="F104" s="315">
        <v>0</v>
      </c>
      <c r="G104" s="315">
        <v>0</v>
      </c>
      <c r="H104" s="315">
        <f t="shared" si="6"/>
        <v>0</v>
      </c>
      <c r="I104" s="315">
        <v>0</v>
      </c>
      <c r="J104" s="315">
        <v>0</v>
      </c>
      <c r="K104" s="315">
        <f t="shared" si="7"/>
        <v>0</v>
      </c>
      <c r="L104" s="315">
        <v>0</v>
      </c>
      <c r="M104" s="315">
        <v>0</v>
      </c>
      <c r="N104" s="315">
        <f t="shared" si="8"/>
        <v>0</v>
      </c>
      <c r="O104" s="315">
        <v>0</v>
      </c>
      <c r="P104" s="315">
        <v>0</v>
      </c>
    </row>
    <row r="105" spans="1:16" x14ac:dyDescent="0.2">
      <c r="A105" s="2" t="s">
        <v>1846</v>
      </c>
      <c r="B105" s="315">
        <f t="shared" si="9"/>
        <v>0</v>
      </c>
      <c r="C105" s="315">
        <v>0</v>
      </c>
      <c r="D105" s="315">
        <v>0</v>
      </c>
      <c r="E105" s="315">
        <f t="shared" si="10"/>
        <v>0</v>
      </c>
      <c r="F105" s="315">
        <v>0</v>
      </c>
      <c r="G105" s="315">
        <v>0</v>
      </c>
      <c r="H105" s="315">
        <f t="shared" si="6"/>
        <v>0</v>
      </c>
      <c r="I105" s="315">
        <v>0</v>
      </c>
      <c r="J105" s="315">
        <v>0</v>
      </c>
      <c r="K105" s="315">
        <f t="shared" si="7"/>
        <v>0</v>
      </c>
      <c r="L105" s="315">
        <v>0</v>
      </c>
      <c r="M105" s="315">
        <v>0</v>
      </c>
      <c r="N105" s="315">
        <f t="shared" si="8"/>
        <v>0</v>
      </c>
      <c r="O105" s="315">
        <v>0</v>
      </c>
      <c r="P105" s="315">
        <v>0</v>
      </c>
    </row>
    <row r="106" spans="1:16" x14ac:dyDescent="0.2">
      <c r="A106" s="2" t="s">
        <v>1847</v>
      </c>
      <c r="B106" s="315">
        <f t="shared" si="9"/>
        <v>0</v>
      </c>
      <c r="C106" s="315">
        <v>0</v>
      </c>
      <c r="D106" s="315">
        <v>0</v>
      </c>
      <c r="E106" s="315">
        <f t="shared" si="10"/>
        <v>0</v>
      </c>
      <c r="F106" s="315">
        <v>0</v>
      </c>
      <c r="G106" s="315">
        <v>0</v>
      </c>
      <c r="H106" s="315">
        <f t="shared" si="6"/>
        <v>0</v>
      </c>
      <c r="I106" s="315">
        <v>0</v>
      </c>
      <c r="J106" s="315">
        <v>0</v>
      </c>
      <c r="K106" s="315">
        <f t="shared" si="7"/>
        <v>0</v>
      </c>
      <c r="L106" s="315">
        <v>0</v>
      </c>
      <c r="M106" s="315">
        <v>0</v>
      </c>
      <c r="N106" s="315">
        <f t="shared" si="8"/>
        <v>0</v>
      </c>
      <c r="O106" s="315">
        <v>0</v>
      </c>
      <c r="P106" s="315">
        <v>0</v>
      </c>
    </row>
    <row r="107" spans="1:16" x14ac:dyDescent="0.2">
      <c r="A107" s="2" t="s">
        <v>1848</v>
      </c>
      <c r="B107" s="315">
        <f t="shared" si="9"/>
        <v>0</v>
      </c>
      <c r="C107" s="315">
        <v>0</v>
      </c>
      <c r="D107" s="315">
        <v>0</v>
      </c>
      <c r="E107" s="315">
        <f t="shared" si="10"/>
        <v>0</v>
      </c>
      <c r="F107" s="315">
        <v>0</v>
      </c>
      <c r="G107" s="315">
        <v>0</v>
      </c>
      <c r="H107" s="315">
        <f t="shared" si="6"/>
        <v>0</v>
      </c>
      <c r="I107" s="315">
        <v>0</v>
      </c>
      <c r="J107" s="315">
        <v>0</v>
      </c>
      <c r="K107" s="315">
        <f t="shared" si="7"/>
        <v>0</v>
      </c>
      <c r="L107" s="315">
        <v>0</v>
      </c>
      <c r="M107" s="315">
        <v>0</v>
      </c>
      <c r="N107" s="315">
        <f t="shared" si="8"/>
        <v>0</v>
      </c>
      <c r="O107" s="315">
        <v>0</v>
      </c>
      <c r="P107" s="315">
        <v>0</v>
      </c>
    </row>
    <row r="108" spans="1:16" x14ac:dyDescent="0.2">
      <c r="A108" s="2" t="s">
        <v>1849</v>
      </c>
      <c r="B108" s="315">
        <f t="shared" si="9"/>
        <v>9124</v>
      </c>
      <c r="C108" s="315">
        <v>1994</v>
      </c>
      <c r="D108" s="315">
        <v>7130</v>
      </c>
      <c r="E108" s="315">
        <f t="shared" si="10"/>
        <v>9242</v>
      </c>
      <c r="F108" s="315">
        <v>1867</v>
      </c>
      <c r="G108" s="315">
        <v>7375</v>
      </c>
      <c r="H108" s="315">
        <f t="shared" si="6"/>
        <v>4281</v>
      </c>
      <c r="I108" s="315">
        <v>986</v>
      </c>
      <c r="J108" s="315">
        <v>3295</v>
      </c>
      <c r="K108" s="315">
        <f t="shared" si="7"/>
        <v>6706</v>
      </c>
      <c r="L108" s="315">
        <v>1922</v>
      </c>
      <c r="M108" s="315">
        <v>4784</v>
      </c>
      <c r="N108" s="315">
        <f t="shared" si="8"/>
        <v>11463</v>
      </c>
      <c r="O108" s="315">
        <v>4352</v>
      </c>
      <c r="P108" s="315">
        <v>7111</v>
      </c>
    </row>
    <row r="109" spans="1:16" ht="12" x14ac:dyDescent="0.2">
      <c r="A109" s="2" t="s">
        <v>1850</v>
      </c>
      <c r="B109" s="315">
        <f t="shared" si="9"/>
        <v>1175</v>
      </c>
      <c r="C109" s="315">
        <v>1125</v>
      </c>
      <c r="D109" s="315">
        <v>50</v>
      </c>
      <c r="E109" s="315">
        <f t="shared" si="10"/>
        <v>0</v>
      </c>
      <c r="F109" s="315">
        <v>0</v>
      </c>
      <c r="G109" s="315">
        <v>0</v>
      </c>
      <c r="H109" s="315">
        <f t="shared" si="6"/>
        <v>1043</v>
      </c>
      <c r="I109" s="315">
        <v>1007</v>
      </c>
      <c r="J109" s="315">
        <v>36</v>
      </c>
      <c r="K109" s="315">
        <f t="shared" si="7"/>
        <v>711</v>
      </c>
      <c r="L109" s="315">
        <v>677</v>
      </c>
      <c r="M109" s="315">
        <v>34</v>
      </c>
      <c r="N109" s="315">
        <f t="shared" si="8"/>
        <v>0</v>
      </c>
      <c r="O109" s="315">
        <v>0</v>
      </c>
      <c r="P109" s="315">
        <v>0</v>
      </c>
    </row>
    <row r="110" spans="1:16" x14ac:dyDescent="0.2">
      <c r="A110" s="2" t="s">
        <v>1851</v>
      </c>
      <c r="B110" s="315">
        <f t="shared" si="9"/>
        <v>722</v>
      </c>
      <c r="C110" s="315">
        <v>702</v>
      </c>
      <c r="D110" s="315">
        <v>20</v>
      </c>
      <c r="E110" s="315">
        <f t="shared" si="10"/>
        <v>1271</v>
      </c>
      <c r="F110" s="315">
        <v>1186</v>
      </c>
      <c r="G110" s="315">
        <v>85</v>
      </c>
      <c r="H110" s="315">
        <f t="shared" si="6"/>
        <v>1147</v>
      </c>
      <c r="I110" s="315">
        <v>1143</v>
      </c>
      <c r="J110" s="315">
        <v>4</v>
      </c>
      <c r="K110" s="315">
        <f t="shared" si="7"/>
        <v>1079</v>
      </c>
      <c r="L110" s="315">
        <v>1072</v>
      </c>
      <c r="M110" s="315">
        <v>7</v>
      </c>
      <c r="N110" s="315">
        <f t="shared" si="8"/>
        <v>1403</v>
      </c>
      <c r="O110" s="315">
        <v>1367</v>
      </c>
      <c r="P110" s="315">
        <v>36</v>
      </c>
    </row>
    <row r="111" spans="1:16" x14ac:dyDescent="0.2">
      <c r="A111" s="2" t="s">
        <v>1852</v>
      </c>
      <c r="B111" s="315">
        <f t="shared" si="9"/>
        <v>0</v>
      </c>
      <c r="C111" s="315">
        <v>0</v>
      </c>
      <c r="D111" s="315">
        <v>0</v>
      </c>
      <c r="E111" s="315">
        <f t="shared" si="10"/>
        <v>1019</v>
      </c>
      <c r="F111" s="315">
        <v>996</v>
      </c>
      <c r="G111" s="315">
        <v>23</v>
      </c>
      <c r="H111" s="315">
        <f t="shared" si="6"/>
        <v>0</v>
      </c>
      <c r="I111" s="315">
        <v>0</v>
      </c>
      <c r="J111" s="315">
        <v>0</v>
      </c>
      <c r="K111" s="315">
        <f t="shared" si="7"/>
        <v>0</v>
      </c>
      <c r="L111" s="315">
        <v>0</v>
      </c>
      <c r="M111" s="315">
        <v>0</v>
      </c>
      <c r="N111" s="315">
        <f t="shared" si="8"/>
        <v>0</v>
      </c>
      <c r="O111" s="315">
        <v>0</v>
      </c>
      <c r="P111" s="315">
        <v>0</v>
      </c>
    </row>
    <row r="112" spans="1:16" ht="12" x14ac:dyDescent="0.2">
      <c r="A112" s="2" t="s">
        <v>1853</v>
      </c>
      <c r="B112" s="315">
        <f t="shared" si="9"/>
        <v>288</v>
      </c>
      <c r="C112" s="315">
        <v>282</v>
      </c>
      <c r="D112" s="315">
        <v>6</v>
      </c>
      <c r="E112" s="315">
        <f t="shared" si="10"/>
        <v>302</v>
      </c>
      <c r="F112" s="315">
        <v>285</v>
      </c>
      <c r="G112" s="315">
        <v>17</v>
      </c>
      <c r="H112" s="315">
        <f t="shared" si="6"/>
        <v>163</v>
      </c>
      <c r="I112" s="315">
        <v>156</v>
      </c>
      <c r="J112" s="315">
        <v>7</v>
      </c>
      <c r="K112" s="315">
        <f t="shared" si="7"/>
        <v>143</v>
      </c>
      <c r="L112" s="315">
        <v>126</v>
      </c>
      <c r="M112" s="315">
        <v>17</v>
      </c>
      <c r="N112" s="315">
        <f t="shared" si="8"/>
        <v>279</v>
      </c>
      <c r="O112" s="315">
        <v>243</v>
      </c>
      <c r="P112" s="315">
        <v>36</v>
      </c>
    </row>
    <row r="113" spans="1:16" s="24" customFormat="1" ht="12.75" customHeight="1" x14ac:dyDescent="0.2">
      <c r="A113" s="24" t="s">
        <v>18</v>
      </c>
      <c r="B113" s="622">
        <f t="shared" si="9"/>
        <v>284476</v>
      </c>
      <c r="C113" s="622">
        <f>SUM(C114:C124)</f>
        <v>123037</v>
      </c>
      <c r="D113" s="622">
        <f>SUM(D114:D124)</f>
        <v>161439</v>
      </c>
      <c r="E113" s="622">
        <f t="shared" si="10"/>
        <v>283629</v>
      </c>
      <c r="F113" s="622">
        <f>SUM(F114:F124)</f>
        <v>127060</v>
      </c>
      <c r="G113" s="622">
        <f>SUM(G114:G124)</f>
        <v>156569</v>
      </c>
      <c r="H113" s="622">
        <f t="shared" si="6"/>
        <v>289370</v>
      </c>
      <c r="I113" s="622">
        <f>SUM(I114:I124)</f>
        <v>139088</v>
      </c>
      <c r="J113" s="622">
        <f>SUM(J114:J124)</f>
        <v>150282</v>
      </c>
      <c r="K113" s="622">
        <f t="shared" si="7"/>
        <v>302275</v>
      </c>
      <c r="L113" s="622">
        <f>SUM(L114:L124)</f>
        <v>146344</v>
      </c>
      <c r="M113" s="622">
        <f>SUM(M114:M124)</f>
        <v>155931</v>
      </c>
      <c r="N113" s="622">
        <f t="shared" si="8"/>
        <v>338558</v>
      </c>
      <c r="O113" s="622">
        <f>SUM(O114:O124)</f>
        <v>174107</v>
      </c>
      <c r="P113" s="622">
        <f>SUM(P114:P124)</f>
        <v>164451</v>
      </c>
    </row>
    <row r="114" spans="1:16" x14ac:dyDescent="0.2">
      <c r="A114" s="2" t="s">
        <v>1854</v>
      </c>
      <c r="B114" s="315">
        <f t="shared" si="9"/>
        <v>15682</v>
      </c>
      <c r="C114" s="315">
        <v>4178</v>
      </c>
      <c r="D114" s="315">
        <v>11504</v>
      </c>
      <c r="E114" s="315">
        <f t="shared" si="10"/>
        <v>13315</v>
      </c>
      <c r="F114" s="315">
        <v>3799</v>
      </c>
      <c r="G114" s="315">
        <v>9516</v>
      </c>
      <c r="H114" s="315">
        <f t="shared" si="6"/>
        <v>15666</v>
      </c>
      <c r="I114" s="315">
        <v>5339</v>
      </c>
      <c r="J114" s="315">
        <v>10327</v>
      </c>
      <c r="K114" s="315">
        <f t="shared" si="7"/>
        <v>22264</v>
      </c>
      <c r="L114" s="315">
        <v>9601</v>
      </c>
      <c r="M114" s="315">
        <v>12663</v>
      </c>
      <c r="N114" s="315">
        <f t="shared" si="8"/>
        <v>22732</v>
      </c>
      <c r="O114" s="315">
        <v>12238</v>
      </c>
      <c r="P114" s="315">
        <v>10494</v>
      </c>
    </row>
    <row r="115" spans="1:16" x14ac:dyDescent="0.2">
      <c r="A115" s="2" t="s">
        <v>1855</v>
      </c>
      <c r="B115" s="315">
        <f t="shared" si="9"/>
        <v>0</v>
      </c>
      <c r="C115" s="315">
        <v>0</v>
      </c>
      <c r="D115" s="315">
        <v>0</v>
      </c>
      <c r="E115" s="315">
        <f t="shared" si="10"/>
        <v>0</v>
      </c>
      <c r="F115" s="315">
        <v>0</v>
      </c>
      <c r="G115" s="315">
        <v>0</v>
      </c>
      <c r="H115" s="315">
        <f t="shared" si="6"/>
        <v>0</v>
      </c>
      <c r="I115" s="315">
        <v>0</v>
      </c>
      <c r="J115" s="315">
        <v>0</v>
      </c>
      <c r="K115" s="315">
        <f t="shared" si="7"/>
        <v>0</v>
      </c>
      <c r="L115" s="315">
        <v>0</v>
      </c>
      <c r="M115" s="315">
        <v>0</v>
      </c>
      <c r="N115" s="315">
        <f t="shared" si="8"/>
        <v>0</v>
      </c>
      <c r="O115" s="315">
        <v>0</v>
      </c>
      <c r="P115" s="315">
        <v>0</v>
      </c>
    </row>
    <row r="116" spans="1:16" x14ac:dyDescent="0.2">
      <c r="A116" s="2" t="s">
        <v>1856</v>
      </c>
      <c r="B116" s="315">
        <f t="shared" si="9"/>
        <v>11375</v>
      </c>
      <c r="C116" s="315">
        <v>972</v>
      </c>
      <c r="D116" s="315">
        <v>10403</v>
      </c>
      <c r="E116" s="315">
        <f t="shared" si="10"/>
        <v>10327</v>
      </c>
      <c r="F116" s="315">
        <v>836</v>
      </c>
      <c r="G116" s="315">
        <v>9491</v>
      </c>
      <c r="H116" s="315">
        <f t="shared" si="6"/>
        <v>5728</v>
      </c>
      <c r="I116" s="315">
        <v>466</v>
      </c>
      <c r="J116" s="315">
        <v>5262</v>
      </c>
      <c r="K116" s="315">
        <f t="shared" si="7"/>
        <v>6605</v>
      </c>
      <c r="L116" s="315">
        <v>548</v>
      </c>
      <c r="M116" s="315">
        <v>6057</v>
      </c>
      <c r="N116" s="315">
        <f t="shared" si="8"/>
        <v>10159</v>
      </c>
      <c r="O116" s="315">
        <v>939</v>
      </c>
      <c r="P116" s="315">
        <v>9220</v>
      </c>
    </row>
    <row r="117" spans="1:16" x14ac:dyDescent="0.2">
      <c r="A117" s="2" t="s">
        <v>1857</v>
      </c>
      <c r="B117" s="315">
        <f t="shared" si="9"/>
        <v>1499</v>
      </c>
      <c r="C117" s="315">
        <v>951</v>
      </c>
      <c r="D117" s="315">
        <v>548</v>
      </c>
      <c r="E117" s="315">
        <f t="shared" si="10"/>
        <v>2031</v>
      </c>
      <c r="F117" s="315">
        <v>1376</v>
      </c>
      <c r="G117" s="315">
        <v>655</v>
      </c>
      <c r="H117" s="315">
        <f t="shared" si="6"/>
        <v>1604</v>
      </c>
      <c r="I117" s="315">
        <v>1023</v>
      </c>
      <c r="J117" s="315">
        <v>581</v>
      </c>
      <c r="K117" s="315">
        <f t="shared" si="7"/>
        <v>1495</v>
      </c>
      <c r="L117" s="315">
        <v>934</v>
      </c>
      <c r="M117" s="315">
        <v>561</v>
      </c>
      <c r="N117" s="315">
        <f t="shared" si="8"/>
        <v>1827</v>
      </c>
      <c r="O117" s="315">
        <v>1168</v>
      </c>
      <c r="P117" s="315">
        <v>659</v>
      </c>
    </row>
    <row r="118" spans="1:16" x14ac:dyDescent="0.2">
      <c r="A118" s="2" t="s">
        <v>1858</v>
      </c>
      <c r="B118" s="315">
        <f t="shared" si="9"/>
        <v>140714</v>
      </c>
      <c r="C118" s="315">
        <v>50684</v>
      </c>
      <c r="D118" s="315">
        <v>90030</v>
      </c>
      <c r="E118" s="315">
        <f t="shared" si="10"/>
        <v>144109</v>
      </c>
      <c r="F118" s="315">
        <v>53182</v>
      </c>
      <c r="G118" s="315">
        <v>90927</v>
      </c>
      <c r="H118" s="315">
        <f t="shared" si="6"/>
        <v>145148</v>
      </c>
      <c r="I118" s="315">
        <v>56314</v>
      </c>
      <c r="J118" s="315">
        <v>88834</v>
      </c>
      <c r="K118" s="315">
        <f t="shared" si="7"/>
        <v>143253</v>
      </c>
      <c r="L118" s="315">
        <v>56134</v>
      </c>
      <c r="M118" s="315">
        <v>87119</v>
      </c>
      <c r="N118" s="315">
        <f t="shared" si="8"/>
        <v>170032</v>
      </c>
      <c r="O118" s="315">
        <v>73680</v>
      </c>
      <c r="P118" s="315">
        <v>96352</v>
      </c>
    </row>
    <row r="119" spans="1:16" x14ac:dyDescent="0.2">
      <c r="A119" s="2" t="s">
        <v>1859</v>
      </c>
      <c r="B119" s="315">
        <f t="shared" si="9"/>
        <v>1105</v>
      </c>
      <c r="C119" s="315">
        <v>288</v>
      </c>
      <c r="D119" s="315">
        <v>817</v>
      </c>
      <c r="E119" s="315">
        <f t="shared" si="10"/>
        <v>682</v>
      </c>
      <c r="F119" s="315">
        <v>313</v>
      </c>
      <c r="G119" s="315">
        <v>369</v>
      </c>
      <c r="H119" s="315">
        <f t="shared" si="6"/>
        <v>636</v>
      </c>
      <c r="I119" s="315">
        <v>214</v>
      </c>
      <c r="J119" s="315">
        <v>422</v>
      </c>
      <c r="K119" s="315">
        <f t="shared" si="7"/>
        <v>780</v>
      </c>
      <c r="L119" s="315">
        <v>338</v>
      </c>
      <c r="M119" s="315">
        <v>442</v>
      </c>
      <c r="N119" s="315">
        <f t="shared" si="8"/>
        <v>959</v>
      </c>
      <c r="O119" s="315">
        <v>322</v>
      </c>
      <c r="P119" s="315">
        <v>637</v>
      </c>
    </row>
    <row r="120" spans="1:16" x14ac:dyDescent="0.2">
      <c r="A120" s="2" t="s">
        <v>1860</v>
      </c>
      <c r="B120" s="315">
        <f t="shared" si="9"/>
        <v>7191</v>
      </c>
      <c r="C120" s="315">
        <v>6763</v>
      </c>
      <c r="D120" s="315">
        <v>428</v>
      </c>
      <c r="E120" s="315">
        <f t="shared" si="10"/>
        <v>7401</v>
      </c>
      <c r="F120" s="315">
        <v>6983</v>
      </c>
      <c r="G120" s="315">
        <v>418</v>
      </c>
      <c r="H120" s="315">
        <f t="shared" si="6"/>
        <v>7841</v>
      </c>
      <c r="I120" s="315">
        <v>7603</v>
      </c>
      <c r="J120" s="315">
        <v>238</v>
      </c>
      <c r="K120" s="315">
        <f t="shared" si="7"/>
        <v>7509</v>
      </c>
      <c r="L120" s="315">
        <v>7130</v>
      </c>
      <c r="M120" s="315">
        <v>379</v>
      </c>
      <c r="N120" s="315">
        <f t="shared" si="8"/>
        <v>7484</v>
      </c>
      <c r="O120" s="315">
        <v>7139</v>
      </c>
      <c r="P120" s="315">
        <v>345</v>
      </c>
    </row>
    <row r="121" spans="1:16" x14ac:dyDescent="0.2">
      <c r="A121" s="2" t="s">
        <v>1861</v>
      </c>
      <c r="B121" s="315">
        <f t="shared" si="9"/>
        <v>11563</v>
      </c>
      <c r="C121" s="315">
        <v>9787</v>
      </c>
      <c r="D121" s="315">
        <v>1776</v>
      </c>
      <c r="E121" s="315">
        <f t="shared" si="10"/>
        <v>12402</v>
      </c>
      <c r="F121" s="315">
        <v>10952</v>
      </c>
      <c r="G121" s="315">
        <v>1450</v>
      </c>
      <c r="H121" s="315">
        <f t="shared" si="6"/>
        <v>14281</v>
      </c>
      <c r="I121" s="315">
        <v>12632</v>
      </c>
      <c r="J121" s="315">
        <v>1649</v>
      </c>
      <c r="K121" s="315">
        <f t="shared" si="7"/>
        <v>13285</v>
      </c>
      <c r="L121" s="315">
        <v>11319</v>
      </c>
      <c r="M121" s="315">
        <v>1966</v>
      </c>
      <c r="N121" s="315">
        <f t="shared" si="8"/>
        <v>11065</v>
      </c>
      <c r="O121" s="315">
        <v>9329</v>
      </c>
      <c r="P121" s="315">
        <v>1736</v>
      </c>
    </row>
    <row r="122" spans="1:16" x14ac:dyDescent="0.2">
      <c r="A122" s="2" t="s">
        <v>1862</v>
      </c>
      <c r="B122" s="315">
        <f t="shared" si="9"/>
        <v>23608</v>
      </c>
      <c r="C122" s="315">
        <v>4671</v>
      </c>
      <c r="D122" s="315">
        <v>18937</v>
      </c>
      <c r="E122" s="315">
        <f t="shared" si="10"/>
        <v>21128</v>
      </c>
      <c r="F122" s="315">
        <v>3337</v>
      </c>
      <c r="G122" s="315">
        <v>17791</v>
      </c>
      <c r="H122" s="315">
        <f t="shared" si="6"/>
        <v>20013</v>
      </c>
      <c r="I122" s="315">
        <v>3254</v>
      </c>
      <c r="J122" s="315">
        <v>16759</v>
      </c>
      <c r="K122" s="315">
        <f t="shared" si="7"/>
        <v>22203</v>
      </c>
      <c r="L122" s="315">
        <v>4356</v>
      </c>
      <c r="M122" s="315">
        <v>17847</v>
      </c>
      <c r="N122" s="315">
        <f t="shared" si="8"/>
        <v>24225</v>
      </c>
      <c r="O122" s="315">
        <v>5761</v>
      </c>
      <c r="P122" s="315">
        <v>18464</v>
      </c>
    </row>
    <row r="123" spans="1:16" x14ac:dyDescent="0.2">
      <c r="A123" s="2" t="s">
        <v>1863</v>
      </c>
      <c r="B123" s="315">
        <f t="shared" si="9"/>
        <v>0</v>
      </c>
      <c r="C123" s="315">
        <v>0</v>
      </c>
      <c r="D123" s="315">
        <v>0</v>
      </c>
      <c r="E123" s="315">
        <f t="shared" si="10"/>
        <v>0</v>
      </c>
      <c r="F123" s="315">
        <v>0</v>
      </c>
      <c r="G123" s="315">
        <v>0</v>
      </c>
      <c r="H123" s="315">
        <f t="shared" si="6"/>
        <v>0</v>
      </c>
      <c r="I123" s="315">
        <v>0</v>
      </c>
      <c r="J123" s="315">
        <v>0</v>
      </c>
      <c r="K123" s="315">
        <f t="shared" si="7"/>
        <v>0</v>
      </c>
      <c r="L123" s="315">
        <v>0</v>
      </c>
      <c r="M123" s="315">
        <v>0</v>
      </c>
      <c r="N123" s="315">
        <f t="shared" si="8"/>
        <v>0</v>
      </c>
      <c r="O123" s="315">
        <v>0</v>
      </c>
      <c r="P123" s="315">
        <v>0</v>
      </c>
    </row>
    <row r="124" spans="1:16" x14ac:dyDescent="0.2">
      <c r="A124" s="2" t="s">
        <v>1877</v>
      </c>
      <c r="B124" s="315">
        <f t="shared" si="9"/>
        <v>71739</v>
      </c>
      <c r="C124" s="315">
        <v>44743</v>
      </c>
      <c r="D124" s="315">
        <v>26996</v>
      </c>
      <c r="E124" s="315">
        <f t="shared" si="10"/>
        <v>72234</v>
      </c>
      <c r="F124" s="315">
        <v>46282</v>
      </c>
      <c r="G124" s="315">
        <v>25952</v>
      </c>
      <c r="H124" s="315">
        <f t="shared" si="6"/>
        <v>78453</v>
      </c>
      <c r="I124" s="315">
        <v>52243</v>
      </c>
      <c r="J124" s="315">
        <v>26210</v>
      </c>
      <c r="K124" s="315">
        <f t="shared" si="7"/>
        <v>84881</v>
      </c>
      <c r="L124" s="315">
        <v>55984</v>
      </c>
      <c r="M124" s="315">
        <v>28897</v>
      </c>
      <c r="N124" s="315">
        <f>SUM(O124:P124)</f>
        <v>90075</v>
      </c>
      <c r="O124" s="315">
        <v>63531</v>
      </c>
      <c r="P124" s="315">
        <v>26544</v>
      </c>
    </row>
    <row r="126" spans="1:16" x14ac:dyDescent="0.2">
      <c r="A126" s="651" t="s">
        <v>1865</v>
      </c>
    </row>
    <row r="127" spans="1:16" x14ac:dyDescent="0.2">
      <c r="A127" s="651" t="s">
        <v>1878</v>
      </c>
    </row>
    <row r="128" spans="1:16" x14ac:dyDescent="0.2">
      <c r="A128" s="2" t="s">
        <v>197</v>
      </c>
    </row>
    <row r="129" spans="1:1" x14ac:dyDescent="0.2">
      <c r="A129" s="2" t="s">
        <v>1412</v>
      </c>
    </row>
  </sheetData>
  <mergeCells count="6">
    <mergeCell ref="A4:A5"/>
    <mergeCell ref="B4:D4"/>
    <mergeCell ref="E4:G4"/>
    <mergeCell ref="H4:J4"/>
    <mergeCell ref="K4:M4"/>
    <mergeCell ref="N4:P4"/>
  </mergeCells>
  <pageMargins left="0.70866141732283472" right="0.70866141732283472" top="0.74803149606299213" bottom="0.74803149606299213" header="0.31496062992125984" footer="0.31496062992125984"/>
  <pageSetup paperSize="14" scale="70" orientation="landscape"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488AD2-8EBE-48CD-8B5F-D5B6E252C897}">
  <sheetPr codeName="Hoja111"/>
  <dimension ref="A2:P129"/>
  <sheetViews>
    <sheetView zoomScale="120" zoomScaleNormal="120" workbookViewId="0">
      <selection activeCell="D4" sqref="D4"/>
    </sheetView>
  </sheetViews>
  <sheetFormatPr baseColWidth="10" defaultColWidth="11.44140625" defaultRowHeight="10.199999999999999" x14ac:dyDescent="0.2"/>
  <cols>
    <col min="1" max="1" width="37.6640625" style="2" customWidth="1"/>
    <col min="2" max="5" width="11.88671875" style="2" bestFit="1" customWidth="1"/>
    <col min="6" max="7" width="10.109375" style="2" bestFit="1" customWidth="1"/>
    <col min="8" max="8" width="11.88671875" style="2" bestFit="1" customWidth="1"/>
    <col min="9" max="10" width="10.109375" style="2" bestFit="1" customWidth="1"/>
    <col min="11" max="16" width="11.88671875" style="2" bestFit="1" customWidth="1"/>
    <col min="17" max="16384" width="11.44140625" style="2"/>
  </cols>
  <sheetData>
    <row r="2" spans="1:16" s="24" customFormat="1" x14ac:dyDescent="0.2">
      <c r="A2" s="24" t="s">
        <v>1112</v>
      </c>
    </row>
    <row r="4" spans="1:16" ht="15.75" customHeight="1" x14ac:dyDescent="0.2">
      <c r="A4" s="323" t="s">
        <v>1760</v>
      </c>
      <c r="B4" s="323">
        <v>2009</v>
      </c>
      <c r="C4" s="323"/>
      <c r="D4" s="323"/>
      <c r="E4" s="323">
        <v>2010</v>
      </c>
      <c r="F4" s="323"/>
      <c r="G4" s="323"/>
      <c r="H4" s="323">
        <v>2011</v>
      </c>
      <c r="I4" s="323"/>
      <c r="J4" s="323"/>
      <c r="K4" s="323">
        <v>2012</v>
      </c>
      <c r="L4" s="323"/>
      <c r="M4" s="323"/>
      <c r="N4" s="323">
        <v>2013</v>
      </c>
      <c r="O4" s="323"/>
      <c r="P4" s="323"/>
    </row>
    <row r="5" spans="1:16" ht="15.75" customHeight="1" x14ac:dyDescent="0.2">
      <c r="A5" s="323"/>
      <c r="B5" s="621" t="s">
        <v>42</v>
      </c>
      <c r="C5" s="621" t="s">
        <v>122</v>
      </c>
      <c r="D5" s="621" t="s">
        <v>123</v>
      </c>
      <c r="E5" s="621" t="s">
        <v>42</v>
      </c>
      <c r="F5" s="621" t="s">
        <v>122</v>
      </c>
      <c r="G5" s="621" t="s">
        <v>123</v>
      </c>
      <c r="H5" s="621" t="s">
        <v>42</v>
      </c>
      <c r="I5" s="621" t="s">
        <v>122</v>
      </c>
      <c r="J5" s="621" t="s">
        <v>123</v>
      </c>
      <c r="K5" s="621" t="s">
        <v>42</v>
      </c>
      <c r="L5" s="621" t="s">
        <v>122</v>
      </c>
      <c r="M5" s="621" t="s">
        <v>123</v>
      </c>
      <c r="N5" s="621" t="s">
        <v>42</v>
      </c>
      <c r="O5" s="621" t="s">
        <v>122</v>
      </c>
      <c r="P5" s="621" t="s">
        <v>123</v>
      </c>
    </row>
    <row r="6" spans="1:16" s="24" customFormat="1" x14ac:dyDescent="0.2">
      <c r="A6" s="24" t="s">
        <v>3</v>
      </c>
      <c r="B6" s="622">
        <f>SUM(C6:D6)</f>
        <v>2056218</v>
      </c>
      <c r="C6" s="622">
        <f>SUM(C7+C12+C16+C22+C26+C31+C40+C43+C47+C56+C64+C78+C81+C93+C113)</f>
        <v>1018484</v>
      </c>
      <c r="D6" s="622">
        <f>SUM(D7+D12+D16+D22+D26+D31+D40+D43+D47+D56+D64+D78+D81+D93+D113)</f>
        <v>1037734</v>
      </c>
      <c r="E6" s="622">
        <f>SUM(F6:G6)</f>
        <v>1816916</v>
      </c>
      <c r="F6" s="622">
        <f>SUM(F7+F12+F16+F22+F26+F31+F40+F43+F47+F56+F64+F78+F81+F93+F113)</f>
        <v>937920</v>
      </c>
      <c r="G6" s="622">
        <f>SUM(G7+G12+G16+G22+G26+G31+G40+G43+G47+G56+G64+G78+G81+G93+G113)</f>
        <v>878996</v>
      </c>
      <c r="H6" s="622">
        <f>SUM(I6:J6)</f>
        <v>1774764</v>
      </c>
      <c r="I6" s="622">
        <f>SUM(I7+I12+I16+I22+I26+I31+I40+I43+I47+I56+I64+I78+I81+I93+I113)</f>
        <v>920723</v>
      </c>
      <c r="J6" s="622">
        <f>SUM(J7+J12+J16+J22+J26+J31+J40+J43+J47+J56+J64+J78+J81+J93+J113)</f>
        <v>854041</v>
      </c>
      <c r="K6" s="622">
        <f>SUM(L6:M6)</f>
        <v>2061670</v>
      </c>
      <c r="L6" s="622">
        <f>SUM(L7+L12+L16+L22+L26+L31+L40+L43+L47+L56+L64+L78+L81+L93+L113)</f>
        <v>1053291</v>
      </c>
      <c r="M6" s="622">
        <f>SUM(M7+M12+M16+M22+M26+M31+M40+M43+M47+M56+M64+M78+M81+M93+M113)</f>
        <v>1008379</v>
      </c>
      <c r="N6" s="622">
        <f>SUM(O6:P6)</f>
        <v>2408269</v>
      </c>
      <c r="O6" s="622">
        <f>SUM(O7+O12+O16+O22+O26+O31+O40+O43+O47+O56+O64+O78+O81+O93+O113)</f>
        <v>1227212</v>
      </c>
      <c r="P6" s="622">
        <f>SUM(P7+P12+P16+P22+P26+P31+P40+P43+P47+P56+P64+P78+P81+P93+P113)</f>
        <v>1181057</v>
      </c>
    </row>
    <row r="7" spans="1:16" s="24" customFormat="1" x14ac:dyDescent="0.2">
      <c r="A7" s="24" t="s">
        <v>4</v>
      </c>
      <c r="B7" s="622">
        <f>SUM(C7:D7)</f>
        <v>17526</v>
      </c>
      <c r="C7" s="622">
        <f>SUM(C8:C11)</f>
        <v>9133</v>
      </c>
      <c r="D7" s="622">
        <f>SUM(D8:D11)</f>
        <v>8393</v>
      </c>
      <c r="E7" s="622">
        <f>SUM(F7:G7)</f>
        <v>15045</v>
      </c>
      <c r="F7" s="622">
        <f>SUM(F8:F11)</f>
        <v>7813</v>
      </c>
      <c r="G7" s="622">
        <f>SUM(G8:G11)</f>
        <v>7232</v>
      </c>
      <c r="H7" s="622">
        <f>SUM(I7:J7)</f>
        <v>13991</v>
      </c>
      <c r="I7" s="622">
        <f>SUM(I8:I11)</f>
        <v>7344</v>
      </c>
      <c r="J7" s="622">
        <f>SUM(J8:J11)</f>
        <v>6647</v>
      </c>
      <c r="K7" s="622">
        <f>SUM(L7:M7)</f>
        <v>13002</v>
      </c>
      <c r="L7" s="622">
        <f>SUM(L8:L11)</f>
        <v>6683</v>
      </c>
      <c r="M7" s="622">
        <f>SUM(M8:M11)</f>
        <v>6319</v>
      </c>
      <c r="N7" s="622">
        <f>SUM(O7:P7)</f>
        <v>18425</v>
      </c>
      <c r="O7" s="622">
        <f>SUM(O8:O11)</f>
        <v>9046</v>
      </c>
      <c r="P7" s="622">
        <f>SUM(P8:P11)</f>
        <v>9379</v>
      </c>
    </row>
    <row r="8" spans="1:16" x14ac:dyDescent="0.2">
      <c r="A8" s="2" t="s">
        <v>1761</v>
      </c>
      <c r="B8" s="315">
        <f>SUM(C8:D8)</f>
        <v>15479</v>
      </c>
      <c r="C8" s="315">
        <v>8021</v>
      </c>
      <c r="D8" s="315">
        <v>7458</v>
      </c>
      <c r="E8" s="315">
        <f>SUM(F8:G8)</f>
        <v>13340</v>
      </c>
      <c r="F8" s="315">
        <v>6910</v>
      </c>
      <c r="G8" s="315">
        <v>6430</v>
      </c>
      <c r="H8" s="315">
        <f>SUM(I8:J8)</f>
        <v>12081</v>
      </c>
      <c r="I8" s="315">
        <v>6330</v>
      </c>
      <c r="J8" s="315">
        <v>5751</v>
      </c>
      <c r="K8" s="315">
        <f>SUM(L8:M8)</f>
        <v>12087</v>
      </c>
      <c r="L8" s="315">
        <v>6178</v>
      </c>
      <c r="M8" s="315">
        <v>5909</v>
      </c>
      <c r="N8" s="315">
        <f>SUM(O8:P8)</f>
        <v>17211</v>
      </c>
      <c r="O8" s="315">
        <v>8396</v>
      </c>
      <c r="P8" s="315">
        <v>8815</v>
      </c>
    </row>
    <row r="9" spans="1:16" x14ac:dyDescent="0.2">
      <c r="A9" s="2" t="s">
        <v>1762</v>
      </c>
      <c r="B9" s="315">
        <f t="shared" ref="B9:B75" si="0">SUM(C9:D9)</f>
        <v>987</v>
      </c>
      <c r="C9" s="315">
        <v>509</v>
      </c>
      <c r="D9" s="315">
        <v>478</v>
      </c>
      <c r="E9" s="315">
        <f t="shared" ref="E9:E75" si="1">SUM(F9:G9)</f>
        <v>448</v>
      </c>
      <c r="F9" s="315">
        <v>227</v>
      </c>
      <c r="G9" s="315">
        <v>221</v>
      </c>
      <c r="H9" s="315">
        <f>SUM(I9:J9)</f>
        <v>777</v>
      </c>
      <c r="I9" s="315">
        <v>405</v>
      </c>
      <c r="J9" s="315">
        <v>372</v>
      </c>
      <c r="K9" s="315">
        <f t="shared" ref="K9:K75" si="2">SUM(L9:M9)</f>
        <v>208</v>
      </c>
      <c r="L9" s="315">
        <v>111</v>
      </c>
      <c r="M9" s="315">
        <v>97</v>
      </c>
      <c r="N9" s="315">
        <f t="shared" ref="N9:N75" si="3">SUM(O9:P9)</f>
        <v>450</v>
      </c>
      <c r="O9" s="315">
        <v>245</v>
      </c>
      <c r="P9" s="315">
        <v>205</v>
      </c>
    </row>
    <row r="10" spans="1:16" x14ac:dyDescent="0.2">
      <c r="A10" s="2" t="s">
        <v>1763</v>
      </c>
      <c r="B10" s="315">
        <f>SUM(C10:D10)</f>
        <v>0</v>
      </c>
      <c r="C10" s="315">
        <v>0</v>
      </c>
      <c r="D10" s="315">
        <v>0</v>
      </c>
      <c r="E10" s="315">
        <f t="shared" si="1"/>
        <v>0</v>
      </c>
      <c r="F10" s="315">
        <v>0</v>
      </c>
      <c r="G10" s="315">
        <v>0</v>
      </c>
      <c r="H10" s="315">
        <f t="shared" ref="H10:H76" si="4">SUM(I10:J10)</f>
        <v>0</v>
      </c>
      <c r="I10" s="315">
        <v>0</v>
      </c>
      <c r="J10" s="315">
        <v>0</v>
      </c>
      <c r="K10" s="315">
        <f t="shared" si="2"/>
        <v>0</v>
      </c>
      <c r="L10" s="315">
        <v>0</v>
      </c>
      <c r="M10" s="315">
        <v>0</v>
      </c>
      <c r="N10" s="315">
        <f t="shared" si="3"/>
        <v>0</v>
      </c>
      <c r="O10" s="315">
        <v>0</v>
      </c>
      <c r="P10" s="315">
        <v>0</v>
      </c>
    </row>
    <row r="11" spans="1:16" x14ac:dyDescent="0.2">
      <c r="A11" s="2" t="s">
        <v>1764</v>
      </c>
      <c r="B11" s="315">
        <f t="shared" si="0"/>
        <v>1060</v>
      </c>
      <c r="C11" s="315">
        <v>603</v>
      </c>
      <c r="D11" s="315">
        <v>457</v>
      </c>
      <c r="E11" s="315">
        <f>SUM(F11:G11)</f>
        <v>1257</v>
      </c>
      <c r="F11" s="315">
        <v>676</v>
      </c>
      <c r="G11" s="315">
        <v>581</v>
      </c>
      <c r="H11" s="315">
        <f t="shared" si="4"/>
        <v>1133</v>
      </c>
      <c r="I11" s="315">
        <v>609</v>
      </c>
      <c r="J11" s="315">
        <v>524</v>
      </c>
      <c r="K11" s="315">
        <f t="shared" si="2"/>
        <v>707</v>
      </c>
      <c r="L11" s="315">
        <v>394</v>
      </c>
      <c r="M11" s="315">
        <v>313</v>
      </c>
      <c r="N11" s="315">
        <f t="shared" si="3"/>
        <v>764</v>
      </c>
      <c r="O11" s="315">
        <v>405</v>
      </c>
      <c r="P11" s="315">
        <v>359</v>
      </c>
    </row>
    <row r="12" spans="1:16" s="24" customFormat="1" x14ac:dyDescent="0.2">
      <c r="A12" s="24" t="s">
        <v>5</v>
      </c>
      <c r="B12" s="622">
        <f>SUM(C12:D12)</f>
        <v>12213</v>
      </c>
      <c r="C12" s="622">
        <f>SUM(C13:C15)</f>
        <v>6308</v>
      </c>
      <c r="D12" s="622">
        <f>SUM(D13:D15)</f>
        <v>5905</v>
      </c>
      <c r="E12" s="622">
        <f>SUM(F12:G12)</f>
        <v>17161</v>
      </c>
      <c r="F12" s="622">
        <f>SUM(F13:F15)</f>
        <v>8977</v>
      </c>
      <c r="G12" s="622">
        <f>SUM(G13:G15)</f>
        <v>8184</v>
      </c>
      <c r="H12" s="622">
        <f>SUM(I12:J12)</f>
        <v>9875</v>
      </c>
      <c r="I12" s="622">
        <f>SUM(I13:I15)</f>
        <v>5130</v>
      </c>
      <c r="J12" s="622">
        <f>SUM(J13:J15)</f>
        <v>4745</v>
      </c>
      <c r="K12" s="622">
        <f>SUM(L12:M12)</f>
        <v>2271</v>
      </c>
      <c r="L12" s="622">
        <f>SUM(L13:L15)</f>
        <v>1171</v>
      </c>
      <c r="M12" s="622">
        <f>SUM(M13:M15)</f>
        <v>1100</v>
      </c>
      <c r="N12" s="622">
        <f>SUM(O12:P12)</f>
        <v>3228</v>
      </c>
      <c r="O12" s="622">
        <f>SUM(O13:O15)</f>
        <v>1616</v>
      </c>
      <c r="P12" s="622">
        <f>SUM(P13:P15)</f>
        <v>1612</v>
      </c>
    </row>
    <row r="13" spans="1:16" x14ac:dyDescent="0.2">
      <c r="A13" s="2" t="s">
        <v>1765</v>
      </c>
      <c r="B13" s="315">
        <f t="shared" si="0"/>
        <v>223</v>
      </c>
      <c r="C13" s="315">
        <v>130</v>
      </c>
      <c r="D13" s="315">
        <v>93</v>
      </c>
      <c r="E13" s="315">
        <f t="shared" si="1"/>
        <v>361</v>
      </c>
      <c r="F13" s="315">
        <v>212</v>
      </c>
      <c r="G13" s="315">
        <v>149</v>
      </c>
      <c r="H13" s="315">
        <f t="shared" si="4"/>
        <v>185</v>
      </c>
      <c r="I13" s="315">
        <v>90</v>
      </c>
      <c r="J13" s="315">
        <v>95</v>
      </c>
      <c r="K13" s="315">
        <f t="shared" si="2"/>
        <v>187</v>
      </c>
      <c r="L13" s="315">
        <v>122</v>
      </c>
      <c r="M13" s="315">
        <v>65</v>
      </c>
      <c r="N13" s="315">
        <f t="shared" si="3"/>
        <v>258</v>
      </c>
      <c r="O13" s="315">
        <v>169</v>
      </c>
      <c r="P13" s="315">
        <v>89</v>
      </c>
    </row>
    <row r="14" spans="1:16" x14ac:dyDescent="0.2">
      <c r="A14" s="2" t="s">
        <v>1766</v>
      </c>
      <c r="B14" s="315">
        <f t="shared" si="0"/>
        <v>0</v>
      </c>
      <c r="C14" s="315">
        <v>0</v>
      </c>
      <c r="D14" s="315">
        <v>0</v>
      </c>
      <c r="E14" s="315">
        <f t="shared" si="1"/>
        <v>0</v>
      </c>
      <c r="F14" s="315">
        <v>0</v>
      </c>
      <c r="G14" s="315">
        <v>0</v>
      </c>
      <c r="H14" s="315">
        <f t="shared" si="4"/>
        <v>0</v>
      </c>
      <c r="I14" s="315">
        <v>0</v>
      </c>
      <c r="J14" s="315">
        <v>0</v>
      </c>
      <c r="K14" s="315">
        <f t="shared" si="2"/>
        <v>0</v>
      </c>
      <c r="L14" s="315">
        <v>0</v>
      </c>
      <c r="M14" s="315">
        <v>0</v>
      </c>
      <c r="N14" s="315">
        <f t="shared" si="3"/>
        <v>0</v>
      </c>
      <c r="O14" s="315">
        <v>0</v>
      </c>
      <c r="P14" s="315">
        <v>0</v>
      </c>
    </row>
    <row r="15" spans="1:16" x14ac:dyDescent="0.2">
      <c r="A15" s="2" t="s">
        <v>1767</v>
      </c>
      <c r="B15" s="315">
        <f>SUM(C15:D15)</f>
        <v>11990</v>
      </c>
      <c r="C15" s="315">
        <v>6178</v>
      </c>
      <c r="D15" s="315">
        <v>5812</v>
      </c>
      <c r="E15" s="315">
        <f t="shared" si="1"/>
        <v>16800</v>
      </c>
      <c r="F15" s="315">
        <v>8765</v>
      </c>
      <c r="G15" s="315">
        <v>8035</v>
      </c>
      <c r="H15" s="315">
        <f t="shared" si="4"/>
        <v>9690</v>
      </c>
      <c r="I15" s="315">
        <v>5040</v>
      </c>
      <c r="J15" s="315">
        <v>4650</v>
      </c>
      <c r="K15" s="315">
        <f t="shared" si="2"/>
        <v>2084</v>
      </c>
      <c r="L15" s="315">
        <v>1049</v>
      </c>
      <c r="M15" s="315">
        <v>1035</v>
      </c>
      <c r="N15" s="315">
        <f t="shared" si="3"/>
        <v>2970</v>
      </c>
      <c r="O15" s="315">
        <v>1447</v>
      </c>
      <c r="P15" s="315">
        <v>1523</v>
      </c>
    </row>
    <row r="16" spans="1:16" s="24" customFormat="1" x14ac:dyDescent="0.2">
      <c r="A16" s="24" t="s">
        <v>6</v>
      </c>
      <c r="B16" s="622">
        <f>SUM(C16:D16)</f>
        <v>279738</v>
      </c>
      <c r="C16" s="622">
        <f>SUM(C17:C21)</f>
        <v>136661</v>
      </c>
      <c r="D16" s="622">
        <f t="shared" ref="D16" si="5">SUM(D17:D21)</f>
        <v>143077</v>
      </c>
      <c r="E16" s="622">
        <f>SUM(F16:G16)</f>
        <v>315888</v>
      </c>
      <c r="F16" s="622">
        <f>SUM(F17:F21)</f>
        <v>162610</v>
      </c>
      <c r="G16" s="622">
        <f t="shared" ref="G16" si="6">SUM(G17:G21)</f>
        <v>153278</v>
      </c>
      <c r="H16" s="622">
        <f>SUM(I16:J16)</f>
        <v>330317</v>
      </c>
      <c r="I16" s="622">
        <f>SUM(I17:I21)</f>
        <v>165399</v>
      </c>
      <c r="J16" s="622">
        <f t="shared" ref="J16" si="7">SUM(J17:J21)</f>
        <v>164918</v>
      </c>
      <c r="K16" s="622">
        <f>SUM(L16:M16)</f>
        <v>338326</v>
      </c>
      <c r="L16" s="622">
        <f>SUM(L17:L21)</f>
        <v>172213</v>
      </c>
      <c r="M16" s="622">
        <f t="shared" ref="M16" si="8">SUM(M17:M21)</f>
        <v>166113</v>
      </c>
      <c r="N16" s="622">
        <f>SUM(O16:P16)</f>
        <v>400503</v>
      </c>
      <c r="O16" s="622">
        <f>SUM(O17:O21)</f>
        <v>202336</v>
      </c>
      <c r="P16" s="622">
        <f t="shared" ref="P16" si="9">SUM(P17:P21)</f>
        <v>198167</v>
      </c>
    </row>
    <row r="17" spans="1:16" x14ac:dyDescent="0.2">
      <c r="A17" s="2" t="s">
        <v>1768</v>
      </c>
      <c r="B17" s="315">
        <f t="shared" si="0"/>
        <v>0</v>
      </c>
      <c r="C17" s="315">
        <v>0</v>
      </c>
      <c r="D17" s="315">
        <v>0</v>
      </c>
      <c r="E17" s="315">
        <f t="shared" si="1"/>
        <v>0</v>
      </c>
      <c r="F17" s="315">
        <v>0</v>
      </c>
      <c r="G17" s="315">
        <v>0</v>
      </c>
      <c r="H17" s="315">
        <f t="shared" si="4"/>
        <v>0</v>
      </c>
      <c r="I17" s="315">
        <v>0</v>
      </c>
      <c r="J17" s="315">
        <v>0</v>
      </c>
      <c r="K17" s="315">
        <f t="shared" si="2"/>
        <v>0</v>
      </c>
      <c r="L17" s="315">
        <v>0</v>
      </c>
      <c r="M17" s="315">
        <v>0</v>
      </c>
      <c r="N17" s="315">
        <f t="shared" si="3"/>
        <v>0</v>
      </c>
      <c r="O17" s="315">
        <v>0</v>
      </c>
      <c r="P17" s="315">
        <v>0</v>
      </c>
    </row>
    <row r="18" spans="1:16" x14ac:dyDescent="0.2">
      <c r="A18" s="2" t="s">
        <v>1769</v>
      </c>
      <c r="B18" s="315">
        <f t="shared" si="0"/>
        <v>0</v>
      </c>
      <c r="C18" s="315">
        <v>0</v>
      </c>
      <c r="D18" s="315">
        <v>0</v>
      </c>
      <c r="E18" s="315">
        <f t="shared" si="1"/>
        <v>0</v>
      </c>
      <c r="F18" s="315">
        <v>0</v>
      </c>
      <c r="G18" s="315">
        <v>0</v>
      </c>
      <c r="H18" s="315">
        <f t="shared" si="4"/>
        <v>0</v>
      </c>
      <c r="I18" s="315">
        <v>0</v>
      </c>
      <c r="J18" s="315">
        <v>0</v>
      </c>
      <c r="K18" s="315">
        <f t="shared" si="2"/>
        <v>0</v>
      </c>
      <c r="L18" s="315">
        <v>0</v>
      </c>
      <c r="M18" s="315">
        <v>0</v>
      </c>
      <c r="N18" s="315">
        <f t="shared" si="3"/>
        <v>0</v>
      </c>
      <c r="O18" s="315">
        <v>0</v>
      </c>
      <c r="P18" s="315">
        <v>0</v>
      </c>
    </row>
    <row r="19" spans="1:16" x14ac:dyDescent="0.2">
      <c r="A19" s="2" t="s">
        <v>1770</v>
      </c>
      <c r="B19" s="315">
        <f t="shared" si="0"/>
        <v>168332</v>
      </c>
      <c r="C19" s="315">
        <v>83890</v>
      </c>
      <c r="D19" s="315">
        <v>84442</v>
      </c>
      <c r="E19" s="315">
        <f t="shared" si="1"/>
        <v>208569</v>
      </c>
      <c r="F19" s="315">
        <v>103702</v>
      </c>
      <c r="G19" s="315">
        <v>104867</v>
      </c>
      <c r="H19" s="315">
        <f t="shared" si="4"/>
        <v>213230</v>
      </c>
      <c r="I19" s="315">
        <v>103780</v>
      </c>
      <c r="J19" s="315">
        <v>109450</v>
      </c>
      <c r="K19" s="315">
        <f t="shared" si="2"/>
        <v>218741</v>
      </c>
      <c r="L19" s="315">
        <v>108109</v>
      </c>
      <c r="M19" s="315">
        <v>110632</v>
      </c>
      <c r="N19" s="315">
        <f t="shared" si="3"/>
        <v>240118</v>
      </c>
      <c r="O19" s="315">
        <v>118479</v>
      </c>
      <c r="P19" s="315">
        <v>121639</v>
      </c>
    </row>
    <row r="20" spans="1:16" x14ac:dyDescent="0.2">
      <c r="A20" s="2" t="s">
        <v>1869</v>
      </c>
      <c r="B20" s="315">
        <f t="shared" si="0"/>
        <v>0</v>
      </c>
      <c r="C20" s="315">
        <v>0</v>
      </c>
      <c r="D20" s="315">
        <v>0</v>
      </c>
      <c r="E20" s="315">
        <f t="shared" si="1"/>
        <v>0</v>
      </c>
      <c r="F20" s="315">
        <v>0</v>
      </c>
      <c r="G20" s="315">
        <v>0</v>
      </c>
      <c r="H20" s="315">
        <f t="shared" si="4"/>
        <v>0</v>
      </c>
      <c r="I20" s="315">
        <v>0</v>
      </c>
      <c r="J20" s="315">
        <v>0</v>
      </c>
      <c r="K20" s="315">
        <f t="shared" si="2"/>
        <v>0</v>
      </c>
      <c r="L20" s="315">
        <v>0</v>
      </c>
      <c r="M20" s="315">
        <v>0</v>
      </c>
      <c r="N20" s="315">
        <f t="shared" si="3"/>
        <v>0</v>
      </c>
      <c r="O20" s="315">
        <v>0</v>
      </c>
      <c r="P20" s="315">
        <v>0</v>
      </c>
    </row>
    <row r="21" spans="1:16" x14ac:dyDescent="0.2">
      <c r="A21" s="2" t="s">
        <v>1879</v>
      </c>
      <c r="B21" s="315">
        <f t="shared" si="0"/>
        <v>111406</v>
      </c>
      <c r="C21" s="315">
        <v>52771</v>
      </c>
      <c r="D21" s="315">
        <v>58635</v>
      </c>
      <c r="E21" s="315">
        <f t="shared" si="1"/>
        <v>107319</v>
      </c>
      <c r="F21" s="315">
        <v>58908</v>
      </c>
      <c r="G21" s="315">
        <v>48411</v>
      </c>
      <c r="H21" s="315">
        <f t="shared" si="4"/>
        <v>117087</v>
      </c>
      <c r="I21" s="315">
        <v>61619</v>
      </c>
      <c r="J21" s="315">
        <v>55468</v>
      </c>
      <c r="K21" s="315">
        <f t="shared" si="2"/>
        <v>119585</v>
      </c>
      <c r="L21" s="315">
        <v>64104</v>
      </c>
      <c r="M21" s="315">
        <v>55481</v>
      </c>
      <c r="N21" s="315">
        <f t="shared" si="3"/>
        <v>160385</v>
      </c>
      <c r="O21" s="315">
        <v>83857</v>
      </c>
      <c r="P21" s="315">
        <v>76528</v>
      </c>
    </row>
    <row r="22" spans="1:16" s="24" customFormat="1" x14ac:dyDescent="0.2">
      <c r="A22" s="24" t="s">
        <v>7</v>
      </c>
      <c r="B22" s="622">
        <f>SUM(C22:D22)</f>
        <v>17647</v>
      </c>
      <c r="C22" s="622">
        <f t="shared" ref="C22:D22" si="10">SUM(C23:C25)</f>
        <v>9283</v>
      </c>
      <c r="D22" s="622">
        <f t="shared" si="10"/>
        <v>8364</v>
      </c>
      <c r="E22" s="622">
        <f>SUM(F22:G22)</f>
        <v>24873</v>
      </c>
      <c r="F22" s="622">
        <f t="shared" ref="F22:G22" si="11">SUM(F23:F25)</f>
        <v>13794</v>
      </c>
      <c r="G22" s="622">
        <f t="shared" si="11"/>
        <v>11079</v>
      </c>
      <c r="H22" s="622">
        <f>SUM(I22:J22)</f>
        <v>16474</v>
      </c>
      <c r="I22" s="622">
        <f t="shared" ref="I22:J22" si="12">SUM(I23:I25)</f>
        <v>8578</v>
      </c>
      <c r="J22" s="622">
        <f t="shared" si="12"/>
        <v>7896</v>
      </c>
      <c r="K22" s="622">
        <f>SUM(L22:M22)</f>
        <v>17725</v>
      </c>
      <c r="L22" s="622">
        <f t="shared" ref="L22:M22" si="13">SUM(L23:L25)</f>
        <v>8917</v>
      </c>
      <c r="M22" s="622">
        <f t="shared" si="13"/>
        <v>8808</v>
      </c>
      <c r="N22" s="622">
        <f>SUM(O22:P22)</f>
        <v>19045</v>
      </c>
      <c r="O22" s="622">
        <f t="shared" ref="O22:P22" si="14">SUM(O23:O25)</f>
        <v>9838</v>
      </c>
      <c r="P22" s="622">
        <f t="shared" si="14"/>
        <v>9207</v>
      </c>
    </row>
    <row r="23" spans="1:16" x14ac:dyDescent="0.2">
      <c r="A23" s="2" t="s">
        <v>1773</v>
      </c>
      <c r="B23" s="315">
        <f t="shared" si="0"/>
        <v>14964</v>
      </c>
      <c r="C23" s="315">
        <v>7945</v>
      </c>
      <c r="D23" s="315">
        <v>7019</v>
      </c>
      <c r="E23" s="315">
        <f t="shared" si="1"/>
        <v>22539</v>
      </c>
      <c r="F23" s="315">
        <v>12563</v>
      </c>
      <c r="G23" s="315">
        <v>9976</v>
      </c>
      <c r="H23" s="315">
        <f t="shared" si="4"/>
        <v>12788</v>
      </c>
      <c r="I23" s="315">
        <v>6679</v>
      </c>
      <c r="J23" s="315">
        <v>6109</v>
      </c>
      <c r="K23" s="315">
        <f t="shared" si="2"/>
        <v>13458</v>
      </c>
      <c r="L23" s="315">
        <v>6678</v>
      </c>
      <c r="M23" s="315">
        <v>6780</v>
      </c>
      <c r="N23" s="315">
        <f>SUM(O23:P23)</f>
        <v>13987</v>
      </c>
      <c r="O23" s="315">
        <v>7258</v>
      </c>
      <c r="P23" s="315">
        <v>6729</v>
      </c>
    </row>
    <row r="24" spans="1:16" x14ac:dyDescent="0.2">
      <c r="A24" s="2" t="s">
        <v>1774</v>
      </c>
      <c r="B24" s="315">
        <f t="shared" si="0"/>
        <v>2386</v>
      </c>
      <c r="C24" s="315">
        <v>1137</v>
      </c>
      <c r="D24" s="315">
        <v>1249</v>
      </c>
      <c r="E24" s="315">
        <f t="shared" si="1"/>
        <v>2010</v>
      </c>
      <c r="F24" s="315">
        <v>1000</v>
      </c>
      <c r="G24" s="315">
        <v>1010</v>
      </c>
      <c r="H24" s="315">
        <f t="shared" si="4"/>
        <v>3283</v>
      </c>
      <c r="I24" s="315">
        <v>1665</v>
      </c>
      <c r="J24" s="315">
        <v>1618</v>
      </c>
      <c r="K24" s="315">
        <f t="shared" si="2"/>
        <v>3761</v>
      </c>
      <c r="L24" s="315">
        <v>1930</v>
      </c>
      <c r="M24" s="315">
        <v>1831</v>
      </c>
      <c r="N24" s="315">
        <f t="shared" si="3"/>
        <v>4471</v>
      </c>
      <c r="O24" s="315">
        <v>2223</v>
      </c>
      <c r="P24" s="315">
        <v>2248</v>
      </c>
    </row>
    <row r="25" spans="1:16" x14ac:dyDescent="0.2">
      <c r="A25" s="2" t="s">
        <v>1775</v>
      </c>
      <c r="B25" s="315">
        <f t="shared" si="0"/>
        <v>297</v>
      </c>
      <c r="C25" s="315">
        <v>201</v>
      </c>
      <c r="D25" s="315">
        <v>96</v>
      </c>
      <c r="E25" s="315">
        <f t="shared" si="1"/>
        <v>324</v>
      </c>
      <c r="F25" s="315">
        <v>231</v>
      </c>
      <c r="G25" s="315">
        <v>93</v>
      </c>
      <c r="H25" s="315">
        <f t="shared" si="4"/>
        <v>403</v>
      </c>
      <c r="I25" s="315">
        <v>234</v>
      </c>
      <c r="J25" s="315">
        <v>169</v>
      </c>
      <c r="K25" s="315">
        <f t="shared" si="2"/>
        <v>506</v>
      </c>
      <c r="L25" s="315">
        <v>309</v>
      </c>
      <c r="M25" s="315">
        <v>197</v>
      </c>
      <c r="N25" s="315">
        <f t="shared" si="3"/>
        <v>587</v>
      </c>
      <c r="O25" s="315">
        <v>357</v>
      </c>
      <c r="P25" s="315">
        <v>230</v>
      </c>
    </row>
    <row r="26" spans="1:16" s="24" customFormat="1" x14ac:dyDescent="0.2">
      <c r="A26" s="24" t="s">
        <v>8</v>
      </c>
      <c r="B26" s="622">
        <f>SUM(C26:D26)</f>
        <v>51524</v>
      </c>
      <c r="C26" s="622">
        <f t="shared" ref="C26:D26" si="15">SUM(C27:C30)</f>
        <v>24454</v>
      </c>
      <c r="D26" s="622">
        <f t="shared" si="15"/>
        <v>27070</v>
      </c>
      <c r="E26" s="622">
        <f>SUM(F26:G26)</f>
        <v>57234</v>
      </c>
      <c r="F26" s="622">
        <f t="shared" ref="F26:G26" si="16">SUM(F27:F30)</f>
        <v>27822</v>
      </c>
      <c r="G26" s="622">
        <f t="shared" si="16"/>
        <v>29412</v>
      </c>
      <c r="H26" s="622">
        <f>SUM(I26:J26)</f>
        <v>47833</v>
      </c>
      <c r="I26" s="622">
        <f t="shared" ref="I26:J26" si="17">SUM(I27:I30)</f>
        <v>22581</v>
      </c>
      <c r="J26" s="622">
        <f t="shared" si="17"/>
        <v>25252</v>
      </c>
      <c r="K26" s="622">
        <f>SUM(L26:M26)</f>
        <v>70493</v>
      </c>
      <c r="L26" s="622">
        <f t="shared" ref="L26:M26" si="18">SUM(L27:L30)</f>
        <v>32274</v>
      </c>
      <c r="M26" s="622">
        <f t="shared" si="18"/>
        <v>38219</v>
      </c>
      <c r="N26" s="622">
        <f>SUM(O26:P26)</f>
        <v>68487</v>
      </c>
      <c r="O26" s="622">
        <f t="shared" ref="O26:P26" si="19">SUM(O27:O30)</f>
        <v>31472</v>
      </c>
      <c r="P26" s="622">
        <f t="shared" si="19"/>
        <v>37015</v>
      </c>
    </row>
    <row r="27" spans="1:16" x14ac:dyDescent="0.2">
      <c r="A27" s="2" t="s">
        <v>1776</v>
      </c>
      <c r="B27" s="315">
        <f t="shared" si="0"/>
        <v>15361</v>
      </c>
      <c r="C27" s="315">
        <v>7534</v>
      </c>
      <c r="D27" s="315">
        <v>7827</v>
      </c>
      <c r="E27" s="315">
        <f t="shared" si="1"/>
        <v>15767</v>
      </c>
      <c r="F27" s="315">
        <v>7709</v>
      </c>
      <c r="G27" s="315">
        <v>8058</v>
      </c>
      <c r="H27" s="315">
        <f t="shared" si="4"/>
        <v>16776</v>
      </c>
      <c r="I27" s="315">
        <v>8212</v>
      </c>
      <c r="J27" s="315">
        <v>8564</v>
      </c>
      <c r="K27" s="315">
        <f t="shared" si="2"/>
        <v>17372</v>
      </c>
      <c r="L27" s="315">
        <v>8416</v>
      </c>
      <c r="M27" s="315">
        <v>8956</v>
      </c>
      <c r="N27" s="315">
        <f t="shared" si="3"/>
        <v>15676</v>
      </c>
      <c r="O27" s="315">
        <v>7844</v>
      </c>
      <c r="P27" s="315">
        <v>7832</v>
      </c>
    </row>
    <row r="28" spans="1:16" x14ac:dyDescent="0.2">
      <c r="A28" s="2" t="s">
        <v>1777</v>
      </c>
      <c r="B28" s="315">
        <f t="shared" si="0"/>
        <v>29310</v>
      </c>
      <c r="C28" s="315">
        <v>13643</v>
      </c>
      <c r="D28" s="315">
        <v>15667</v>
      </c>
      <c r="E28" s="315">
        <f t="shared" si="1"/>
        <v>33481</v>
      </c>
      <c r="F28" s="315">
        <v>16037</v>
      </c>
      <c r="G28" s="315">
        <v>17444</v>
      </c>
      <c r="H28" s="315">
        <f t="shared" si="4"/>
        <v>22993</v>
      </c>
      <c r="I28" s="315">
        <v>10360</v>
      </c>
      <c r="J28" s="315">
        <v>12633</v>
      </c>
      <c r="K28" s="315">
        <f t="shared" si="2"/>
        <v>44557</v>
      </c>
      <c r="L28" s="315">
        <v>19667</v>
      </c>
      <c r="M28" s="315">
        <v>24890</v>
      </c>
      <c r="N28" s="315">
        <f t="shared" si="3"/>
        <v>45124</v>
      </c>
      <c r="O28" s="315">
        <v>19695</v>
      </c>
      <c r="P28" s="315">
        <v>25429</v>
      </c>
    </row>
    <row r="29" spans="1:16" x14ac:dyDescent="0.2">
      <c r="A29" s="2" t="s">
        <v>1778</v>
      </c>
      <c r="B29" s="315">
        <f t="shared" si="0"/>
        <v>3068</v>
      </c>
      <c r="C29" s="315">
        <v>1427</v>
      </c>
      <c r="D29" s="315">
        <v>1641</v>
      </c>
      <c r="E29" s="315">
        <f t="shared" si="1"/>
        <v>3540</v>
      </c>
      <c r="F29" s="315">
        <v>1781</v>
      </c>
      <c r="G29" s="315">
        <v>1759</v>
      </c>
      <c r="H29" s="315">
        <f t="shared" si="4"/>
        <v>3048</v>
      </c>
      <c r="I29" s="315">
        <v>1534</v>
      </c>
      <c r="J29" s="315">
        <v>1514</v>
      </c>
      <c r="K29" s="315">
        <f t="shared" si="2"/>
        <v>3621</v>
      </c>
      <c r="L29" s="315">
        <v>1828</v>
      </c>
      <c r="M29" s="315">
        <v>1793</v>
      </c>
      <c r="N29" s="315">
        <f>SUM(O29:P29)</f>
        <v>2850</v>
      </c>
      <c r="O29" s="315">
        <v>1458</v>
      </c>
      <c r="P29" s="315">
        <v>1392</v>
      </c>
    </row>
    <row r="30" spans="1:16" x14ac:dyDescent="0.2">
      <c r="A30" s="2" t="s">
        <v>1779</v>
      </c>
      <c r="B30" s="315">
        <f t="shared" si="0"/>
        <v>3785</v>
      </c>
      <c r="C30" s="315">
        <v>1850</v>
      </c>
      <c r="D30" s="315">
        <v>1935</v>
      </c>
      <c r="E30" s="315">
        <f t="shared" si="1"/>
        <v>4446</v>
      </c>
      <c r="F30" s="315">
        <v>2295</v>
      </c>
      <c r="G30" s="315">
        <v>2151</v>
      </c>
      <c r="H30" s="315">
        <f t="shared" si="4"/>
        <v>5016</v>
      </c>
      <c r="I30" s="315">
        <v>2475</v>
      </c>
      <c r="J30" s="315">
        <v>2541</v>
      </c>
      <c r="K30" s="315">
        <f t="shared" si="2"/>
        <v>4943</v>
      </c>
      <c r="L30" s="315">
        <v>2363</v>
      </c>
      <c r="M30" s="315">
        <v>2580</v>
      </c>
      <c r="N30" s="315">
        <f t="shared" si="3"/>
        <v>4837</v>
      </c>
      <c r="O30" s="315">
        <v>2475</v>
      </c>
      <c r="P30" s="315">
        <v>2362</v>
      </c>
    </row>
    <row r="31" spans="1:16" s="24" customFormat="1" x14ac:dyDescent="0.2">
      <c r="A31" s="24" t="s">
        <v>9</v>
      </c>
      <c r="B31" s="622">
        <f>SUM(C31:D31)</f>
        <v>141978</v>
      </c>
      <c r="C31" s="622">
        <f t="shared" ref="C31:D31" si="20">SUM(C32:C39)</f>
        <v>78895</v>
      </c>
      <c r="D31" s="622">
        <f t="shared" si="20"/>
        <v>63083</v>
      </c>
      <c r="E31" s="622">
        <f>SUM(F31:G31)</f>
        <v>146161</v>
      </c>
      <c r="F31" s="622">
        <f t="shared" ref="F31:G31" si="21">SUM(F32:F39)</f>
        <v>81966</v>
      </c>
      <c r="G31" s="622">
        <f t="shared" si="21"/>
        <v>64195</v>
      </c>
      <c r="H31" s="622">
        <f>SUM(I31:J31)</f>
        <v>114924</v>
      </c>
      <c r="I31" s="622">
        <f t="shared" ref="I31:J31" si="22">SUM(I32:I39)</f>
        <v>68464</v>
      </c>
      <c r="J31" s="622">
        <f t="shared" si="22"/>
        <v>46460</v>
      </c>
      <c r="K31" s="622">
        <f>SUM(L31:M31)</f>
        <v>158605</v>
      </c>
      <c r="L31" s="622">
        <f t="shared" ref="L31:M31" si="23">SUM(L32:L39)</f>
        <v>87356</v>
      </c>
      <c r="M31" s="622">
        <f t="shared" si="23"/>
        <v>71249</v>
      </c>
      <c r="N31" s="622">
        <f>SUM(O31:P31)</f>
        <v>193118</v>
      </c>
      <c r="O31" s="622">
        <f>SUM(O32:O39)</f>
        <v>105691</v>
      </c>
      <c r="P31" s="622">
        <f t="shared" ref="P31" si="24">SUM(P32:P39)</f>
        <v>87427</v>
      </c>
    </row>
    <row r="32" spans="1:16" x14ac:dyDescent="0.2">
      <c r="A32" s="2" t="s">
        <v>1780</v>
      </c>
      <c r="B32" s="315">
        <f t="shared" si="0"/>
        <v>39764</v>
      </c>
      <c r="C32" s="315">
        <v>21751</v>
      </c>
      <c r="D32" s="315">
        <v>18013</v>
      </c>
      <c r="E32" s="315">
        <f t="shared" si="1"/>
        <v>41204</v>
      </c>
      <c r="F32" s="315">
        <v>22309</v>
      </c>
      <c r="G32" s="315">
        <v>18895</v>
      </c>
      <c r="H32" s="315">
        <f t="shared" si="4"/>
        <v>24546</v>
      </c>
      <c r="I32" s="315">
        <v>24546</v>
      </c>
      <c r="J32" s="315"/>
      <c r="K32" s="315">
        <f t="shared" si="2"/>
        <v>52389</v>
      </c>
      <c r="L32" s="315">
        <v>29104</v>
      </c>
      <c r="M32" s="315">
        <v>23285</v>
      </c>
      <c r="N32" s="315">
        <f t="shared" si="3"/>
        <v>58112</v>
      </c>
      <c r="O32" s="315">
        <v>32108</v>
      </c>
      <c r="P32" s="315">
        <v>26004</v>
      </c>
    </row>
    <row r="33" spans="1:16" x14ac:dyDescent="0.2">
      <c r="A33" s="2" t="s">
        <v>1870</v>
      </c>
      <c r="B33" s="315">
        <f t="shared" si="0"/>
        <v>1222</v>
      </c>
      <c r="C33" s="315">
        <v>630</v>
      </c>
      <c r="D33" s="315">
        <v>592</v>
      </c>
      <c r="E33" s="315">
        <f t="shared" si="1"/>
        <v>1708</v>
      </c>
      <c r="F33" s="315">
        <v>1328</v>
      </c>
      <c r="G33" s="315">
        <v>380</v>
      </c>
      <c r="H33" s="315">
        <f t="shared" si="4"/>
        <v>1048</v>
      </c>
      <c r="I33" s="315">
        <v>673</v>
      </c>
      <c r="J33" s="315">
        <v>375</v>
      </c>
      <c r="K33" s="315">
        <f t="shared" si="2"/>
        <v>1416</v>
      </c>
      <c r="L33" s="315">
        <v>865</v>
      </c>
      <c r="M33" s="315">
        <v>551</v>
      </c>
      <c r="N33" s="315">
        <f t="shared" si="3"/>
        <v>1142</v>
      </c>
      <c r="O33" s="315">
        <v>691</v>
      </c>
      <c r="P33" s="315">
        <v>451</v>
      </c>
    </row>
    <row r="34" spans="1:16" x14ac:dyDescent="0.2">
      <c r="A34" s="2" t="s">
        <v>1782</v>
      </c>
      <c r="B34" s="315">
        <f t="shared" si="0"/>
        <v>0</v>
      </c>
      <c r="C34" s="315">
        <v>0</v>
      </c>
      <c r="D34" s="315">
        <v>0</v>
      </c>
      <c r="E34" s="315">
        <f t="shared" si="1"/>
        <v>0</v>
      </c>
      <c r="F34" s="315">
        <v>0</v>
      </c>
      <c r="G34" s="315">
        <v>0</v>
      </c>
      <c r="H34" s="315">
        <f t="shared" si="4"/>
        <v>0</v>
      </c>
      <c r="I34" s="315">
        <v>0</v>
      </c>
      <c r="J34" s="315">
        <v>0</v>
      </c>
      <c r="K34" s="315">
        <f t="shared" si="2"/>
        <v>0</v>
      </c>
      <c r="L34" s="315">
        <v>0</v>
      </c>
      <c r="M34" s="315">
        <v>0</v>
      </c>
      <c r="N34" s="315">
        <f t="shared" si="3"/>
        <v>0</v>
      </c>
      <c r="O34" s="315">
        <v>0</v>
      </c>
      <c r="P34" s="315">
        <v>0</v>
      </c>
    </row>
    <row r="35" spans="1:16" x14ac:dyDescent="0.2">
      <c r="A35" s="2" t="s">
        <v>1783</v>
      </c>
      <c r="B35" s="315">
        <f t="shared" si="0"/>
        <v>43315</v>
      </c>
      <c r="C35" s="315">
        <v>29755</v>
      </c>
      <c r="D35" s="315">
        <v>13560</v>
      </c>
      <c r="E35" s="315">
        <f t="shared" si="1"/>
        <v>41989</v>
      </c>
      <c r="F35" s="315">
        <v>28834</v>
      </c>
      <c r="G35" s="315">
        <v>13155</v>
      </c>
      <c r="H35" s="315">
        <f t="shared" si="4"/>
        <v>20638</v>
      </c>
      <c r="I35" s="315">
        <v>12526</v>
      </c>
      <c r="J35" s="315">
        <v>8112</v>
      </c>
      <c r="K35" s="315">
        <f t="shared" si="2"/>
        <v>33212</v>
      </c>
      <c r="L35" s="315">
        <v>22940</v>
      </c>
      <c r="M35" s="315">
        <v>10272</v>
      </c>
      <c r="N35" s="315">
        <f>SUM(O35:P35)</f>
        <v>51208</v>
      </c>
      <c r="O35" s="315">
        <v>34561</v>
      </c>
      <c r="P35" s="315">
        <v>16647</v>
      </c>
    </row>
    <row r="36" spans="1:16" x14ac:dyDescent="0.2">
      <c r="A36" s="2" t="s">
        <v>1784</v>
      </c>
      <c r="B36" s="315">
        <f t="shared" si="0"/>
        <v>1904</v>
      </c>
      <c r="C36" s="315">
        <v>1080</v>
      </c>
      <c r="D36" s="315">
        <v>824</v>
      </c>
      <c r="E36" s="315">
        <f t="shared" si="1"/>
        <v>1747</v>
      </c>
      <c r="F36" s="315">
        <v>1016</v>
      </c>
      <c r="G36" s="315">
        <v>731</v>
      </c>
      <c r="H36" s="315">
        <f t="shared" si="4"/>
        <v>1569</v>
      </c>
      <c r="I36" s="315">
        <v>914</v>
      </c>
      <c r="J36" s="315">
        <v>655</v>
      </c>
      <c r="K36" s="315">
        <f t="shared" si="2"/>
        <v>1845</v>
      </c>
      <c r="L36" s="315">
        <v>872</v>
      </c>
      <c r="M36" s="315">
        <v>973</v>
      </c>
      <c r="N36" s="315">
        <f t="shared" si="3"/>
        <v>1964</v>
      </c>
      <c r="O36" s="315">
        <v>1053</v>
      </c>
      <c r="P36" s="315">
        <v>911</v>
      </c>
    </row>
    <row r="37" spans="1:16" x14ac:dyDescent="0.2">
      <c r="A37" s="2" t="s">
        <v>1785</v>
      </c>
      <c r="B37" s="315">
        <f t="shared" si="0"/>
        <v>0</v>
      </c>
      <c r="C37" s="315">
        <v>0</v>
      </c>
      <c r="D37" s="315">
        <v>0</v>
      </c>
      <c r="E37" s="315">
        <f t="shared" si="1"/>
        <v>0</v>
      </c>
      <c r="F37" s="315">
        <v>0</v>
      </c>
      <c r="G37" s="315">
        <v>0</v>
      </c>
      <c r="H37" s="315">
        <f t="shared" si="4"/>
        <v>0</v>
      </c>
      <c r="I37" s="315">
        <v>0</v>
      </c>
      <c r="J37" s="315">
        <v>0</v>
      </c>
      <c r="K37" s="315">
        <f t="shared" si="2"/>
        <v>0</v>
      </c>
      <c r="L37" s="315">
        <v>0</v>
      </c>
      <c r="M37" s="315">
        <v>0</v>
      </c>
      <c r="N37" s="315">
        <f t="shared" si="3"/>
        <v>0</v>
      </c>
      <c r="O37" s="315">
        <v>0</v>
      </c>
      <c r="P37" s="315">
        <v>0</v>
      </c>
    </row>
    <row r="38" spans="1:16" ht="12" x14ac:dyDescent="0.2">
      <c r="A38" s="2" t="s">
        <v>1786</v>
      </c>
      <c r="B38" s="315">
        <f t="shared" si="0"/>
        <v>11904</v>
      </c>
      <c r="C38" s="315">
        <v>5429</v>
      </c>
      <c r="D38" s="315">
        <v>6475</v>
      </c>
      <c r="E38" s="315">
        <f t="shared" si="1"/>
        <v>12627</v>
      </c>
      <c r="F38" s="315">
        <v>6016</v>
      </c>
      <c r="G38" s="315">
        <v>6611</v>
      </c>
      <c r="H38" s="315">
        <f t="shared" si="4"/>
        <v>17811</v>
      </c>
      <c r="I38" s="315">
        <v>7431</v>
      </c>
      <c r="J38" s="315">
        <v>10380</v>
      </c>
      <c r="K38" s="315">
        <f t="shared" si="2"/>
        <v>17541</v>
      </c>
      <c r="L38" s="315">
        <v>8329</v>
      </c>
      <c r="M38" s="315">
        <v>9212</v>
      </c>
      <c r="N38" s="315">
        <f>SUM(O38:P38)</f>
        <v>22233</v>
      </c>
      <c r="O38" s="315">
        <v>10452</v>
      </c>
      <c r="P38" s="315">
        <v>11781</v>
      </c>
    </row>
    <row r="39" spans="1:16" x14ac:dyDescent="0.2">
      <c r="A39" s="2" t="s">
        <v>1787</v>
      </c>
      <c r="B39" s="315">
        <f t="shared" si="0"/>
        <v>43869</v>
      </c>
      <c r="C39" s="315">
        <v>20250</v>
      </c>
      <c r="D39" s="315">
        <v>23619</v>
      </c>
      <c r="E39" s="315">
        <f t="shared" si="1"/>
        <v>46886</v>
      </c>
      <c r="F39" s="315">
        <v>22463</v>
      </c>
      <c r="G39" s="315">
        <v>24423</v>
      </c>
      <c r="H39" s="315">
        <f t="shared" si="4"/>
        <v>49312</v>
      </c>
      <c r="I39" s="315">
        <v>22374</v>
      </c>
      <c r="J39" s="315">
        <v>26938</v>
      </c>
      <c r="K39" s="315">
        <f t="shared" si="2"/>
        <v>52202</v>
      </c>
      <c r="L39" s="315">
        <v>25246</v>
      </c>
      <c r="M39" s="315">
        <v>26956</v>
      </c>
      <c r="N39" s="315">
        <f t="shared" si="3"/>
        <v>58459</v>
      </c>
      <c r="O39" s="315">
        <v>26826</v>
      </c>
      <c r="P39" s="315">
        <v>31633</v>
      </c>
    </row>
    <row r="40" spans="1:16" s="24" customFormat="1" x14ac:dyDescent="0.2">
      <c r="A40" s="24" t="s">
        <v>10</v>
      </c>
      <c r="B40" s="622">
        <f>SUM(C40:D40)</f>
        <v>82293</v>
      </c>
      <c r="C40" s="622">
        <f t="shared" ref="C40:D40" si="25">SUM(C41:C42)</f>
        <v>39918</v>
      </c>
      <c r="D40" s="622">
        <f t="shared" si="25"/>
        <v>42375</v>
      </c>
      <c r="E40" s="622">
        <f>SUM(F40:G40)</f>
        <v>83459</v>
      </c>
      <c r="F40" s="622">
        <f t="shared" ref="F40:G40" si="26">SUM(F41:F42)</f>
        <v>39953</v>
      </c>
      <c r="G40" s="622">
        <f t="shared" si="26"/>
        <v>43506</v>
      </c>
      <c r="H40" s="622">
        <f>SUM(I40:J40)</f>
        <v>93129</v>
      </c>
      <c r="I40" s="622">
        <f t="shared" ref="I40:J40" si="27">SUM(I41:I42)</f>
        <v>42590</v>
      </c>
      <c r="J40" s="622">
        <f t="shared" si="27"/>
        <v>50539</v>
      </c>
      <c r="K40" s="622">
        <f>SUM(L40:M40)</f>
        <v>96485</v>
      </c>
      <c r="L40" s="622">
        <f t="shared" ref="L40:M40" si="28">SUM(L41:L42)</f>
        <v>43910</v>
      </c>
      <c r="M40" s="622">
        <f t="shared" si="28"/>
        <v>52575</v>
      </c>
      <c r="N40" s="622">
        <f>SUM(O40:P40)</f>
        <v>98529</v>
      </c>
      <c r="O40" s="622">
        <f t="shared" ref="O40:P40" si="29">SUM(O41:O42)</f>
        <v>42413</v>
      </c>
      <c r="P40" s="622">
        <f t="shared" si="29"/>
        <v>56116</v>
      </c>
    </row>
    <row r="41" spans="1:16" x14ac:dyDescent="0.2">
      <c r="A41" s="2" t="s">
        <v>1788</v>
      </c>
      <c r="B41" s="315">
        <f>SUM(C41:D41)</f>
        <v>69135</v>
      </c>
      <c r="C41" s="315">
        <v>32500</v>
      </c>
      <c r="D41" s="315">
        <v>36635</v>
      </c>
      <c r="E41" s="315">
        <f>SUM(F41:G41)</f>
        <v>73909</v>
      </c>
      <c r="F41" s="315">
        <v>34388</v>
      </c>
      <c r="G41" s="315">
        <v>39521</v>
      </c>
      <c r="H41" s="315">
        <f>SUM(I41:J41)</f>
        <v>80382</v>
      </c>
      <c r="I41" s="315">
        <v>35354</v>
      </c>
      <c r="J41" s="315">
        <v>45028</v>
      </c>
      <c r="K41" s="315">
        <f>SUM(L41:M41)</f>
        <v>84460</v>
      </c>
      <c r="L41" s="315">
        <v>37009</v>
      </c>
      <c r="M41" s="315">
        <v>47451</v>
      </c>
      <c r="N41" s="315">
        <f>SUM(O41:P41)</f>
        <v>85169</v>
      </c>
      <c r="O41" s="315">
        <v>34693</v>
      </c>
      <c r="P41" s="315">
        <v>50476</v>
      </c>
    </row>
    <row r="42" spans="1:16" x14ac:dyDescent="0.2">
      <c r="A42" s="2" t="s">
        <v>1789</v>
      </c>
      <c r="B42" s="315">
        <f>SUM(C42:D42)</f>
        <v>13158</v>
      </c>
      <c r="C42" s="315">
        <v>7418</v>
      </c>
      <c r="D42" s="315">
        <v>5740</v>
      </c>
      <c r="E42" s="315">
        <f>SUM(F42:G42)</f>
        <v>9550</v>
      </c>
      <c r="F42" s="315">
        <v>5565</v>
      </c>
      <c r="G42" s="315">
        <v>3985</v>
      </c>
      <c r="H42" s="315">
        <f>SUM(I42:J42)</f>
        <v>12747</v>
      </c>
      <c r="I42" s="315">
        <v>7236</v>
      </c>
      <c r="J42" s="315">
        <v>5511</v>
      </c>
      <c r="K42" s="315">
        <f>SUM(L42:M42)</f>
        <v>12025</v>
      </c>
      <c r="L42" s="315">
        <v>6901</v>
      </c>
      <c r="M42" s="315">
        <v>5124</v>
      </c>
      <c r="N42" s="315">
        <f>SUM(O42:P42)</f>
        <v>13360</v>
      </c>
      <c r="O42" s="315">
        <v>7720</v>
      </c>
      <c r="P42" s="315">
        <v>5640</v>
      </c>
    </row>
    <row r="43" spans="1:16" s="24" customFormat="1" x14ac:dyDescent="0.2">
      <c r="A43" s="24" t="s">
        <v>134</v>
      </c>
      <c r="B43" s="622">
        <f>SUM(C43:D43)</f>
        <v>11856</v>
      </c>
      <c r="C43" s="622">
        <f>SUM(C44:C46)</f>
        <v>6630</v>
      </c>
      <c r="D43" s="622">
        <f t="shared" ref="D43" si="30">SUM(D44:D46)</f>
        <v>5226</v>
      </c>
      <c r="E43" s="622">
        <f>SUM(F43:G43)</f>
        <v>11073</v>
      </c>
      <c r="F43" s="622">
        <f t="shared" ref="F43:G43" si="31">SUM(F44:F46)</f>
        <v>6238</v>
      </c>
      <c r="G43" s="622">
        <f t="shared" si="31"/>
        <v>4835</v>
      </c>
      <c r="H43" s="622">
        <f>SUM(I43:J43)</f>
        <v>12824</v>
      </c>
      <c r="I43" s="622">
        <f t="shared" ref="I43:J43" si="32">SUM(I44:I46)</f>
        <v>7072</v>
      </c>
      <c r="J43" s="622">
        <f t="shared" si="32"/>
        <v>5752</v>
      </c>
      <c r="K43" s="622">
        <f>SUM(L43:M43)</f>
        <v>13403</v>
      </c>
      <c r="L43" s="622">
        <f t="shared" ref="L43:M43" si="33">SUM(L44:L46)</f>
        <v>7337</v>
      </c>
      <c r="M43" s="622">
        <f t="shared" si="33"/>
        <v>6066</v>
      </c>
      <c r="N43" s="622">
        <f>SUM(O43:P43)</f>
        <v>20656</v>
      </c>
      <c r="O43" s="622">
        <f t="shared" ref="O43:P43" si="34">SUM(O44:O46)</f>
        <v>10994</v>
      </c>
      <c r="P43" s="622">
        <f t="shared" si="34"/>
        <v>9662</v>
      </c>
    </row>
    <row r="44" spans="1:16" x14ac:dyDescent="0.2">
      <c r="A44" s="2" t="s">
        <v>1791</v>
      </c>
      <c r="B44" s="315">
        <f t="shared" si="0"/>
        <v>0</v>
      </c>
      <c r="C44" s="315">
        <v>0</v>
      </c>
      <c r="D44" s="315">
        <v>0</v>
      </c>
      <c r="E44" s="315">
        <f t="shared" si="1"/>
        <v>0</v>
      </c>
      <c r="F44" s="315">
        <v>0</v>
      </c>
      <c r="G44" s="315">
        <v>0</v>
      </c>
      <c r="H44" s="315">
        <f t="shared" si="4"/>
        <v>0</v>
      </c>
      <c r="I44" s="315">
        <v>0</v>
      </c>
      <c r="J44" s="315">
        <v>0</v>
      </c>
      <c r="K44" s="315">
        <f t="shared" si="2"/>
        <v>0</v>
      </c>
      <c r="L44" s="315">
        <v>0</v>
      </c>
      <c r="M44" s="315">
        <v>0</v>
      </c>
      <c r="N44" s="315">
        <f t="shared" si="3"/>
        <v>0</v>
      </c>
      <c r="O44" s="315">
        <v>0</v>
      </c>
      <c r="P44" s="315">
        <v>0</v>
      </c>
    </row>
    <row r="45" spans="1:16" x14ac:dyDescent="0.2">
      <c r="A45" s="2" t="s">
        <v>1872</v>
      </c>
      <c r="B45" s="315">
        <f t="shared" si="0"/>
        <v>11223</v>
      </c>
      <c r="C45" s="315">
        <v>6142</v>
      </c>
      <c r="D45" s="315">
        <v>5081</v>
      </c>
      <c r="E45" s="315">
        <f t="shared" si="1"/>
        <v>10647</v>
      </c>
      <c r="F45" s="315">
        <v>5861</v>
      </c>
      <c r="G45" s="315">
        <v>4786</v>
      </c>
      <c r="H45" s="315">
        <f t="shared" si="4"/>
        <v>12378</v>
      </c>
      <c r="I45" s="315">
        <v>6688</v>
      </c>
      <c r="J45" s="315">
        <v>5690</v>
      </c>
      <c r="K45" s="315">
        <f t="shared" si="2"/>
        <v>12889</v>
      </c>
      <c r="L45" s="315">
        <v>6934</v>
      </c>
      <c r="M45" s="315">
        <v>5955</v>
      </c>
      <c r="N45" s="315">
        <f t="shared" si="3"/>
        <v>20088</v>
      </c>
      <c r="O45" s="315">
        <v>10532</v>
      </c>
      <c r="P45" s="315">
        <v>9556</v>
      </c>
    </row>
    <row r="46" spans="1:16" x14ac:dyDescent="0.2">
      <c r="A46" s="2" t="s">
        <v>1793</v>
      </c>
      <c r="B46" s="315">
        <f t="shared" si="0"/>
        <v>633</v>
      </c>
      <c r="C46" s="315">
        <v>488</v>
      </c>
      <c r="D46" s="315">
        <v>145</v>
      </c>
      <c r="E46" s="315">
        <f t="shared" si="1"/>
        <v>426</v>
      </c>
      <c r="F46" s="315">
        <v>377</v>
      </c>
      <c r="G46" s="315">
        <v>49</v>
      </c>
      <c r="H46" s="315">
        <f t="shared" si="4"/>
        <v>446</v>
      </c>
      <c r="I46" s="315">
        <v>384</v>
      </c>
      <c r="J46" s="315">
        <v>62</v>
      </c>
      <c r="K46" s="315">
        <f t="shared" si="2"/>
        <v>514</v>
      </c>
      <c r="L46" s="315">
        <v>403</v>
      </c>
      <c r="M46" s="315">
        <v>111</v>
      </c>
      <c r="N46" s="315">
        <f t="shared" si="3"/>
        <v>568</v>
      </c>
      <c r="O46" s="315">
        <v>462</v>
      </c>
      <c r="P46" s="315">
        <v>106</v>
      </c>
    </row>
    <row r="47" spans="1:16" s="24" customFormat="1" x14ac:dyDescent="0.2">
      <c r="A47" s="24" t="s">
        <v>12</v>
      </c>
      <c r="B47" s="622">
        <f>SUM(C47:D47)</f>
        <v>87509</v>
      </c>
      <c r="C47" s="622">
        <f t="shared" ref="C47:D47" si="35">SUM(C48:C55)</f>
        <v>44404</v>
      </c>
      <c r="D47" s="622">
        <f t="shared" si="35"/>
        <v>43105</v>
      </c>
      <c r="E47" s="622">
        <f>SUM(F47:G47)</f>
        <v>64500</v>
      </c>
      <c r="F47" s="622">
        <f t="shared" ref="F47:G47" si="36">SUM(F48:F55)</f>
        <v>32683</v>
      </c>
      <c r="G47" s="622">
        <f t="shared" si="36"/>
        <v>31817</v>
      </c>
      <c r="H47" s="622">
        <f>SUM(I47:J47)</f>
        <v>61074</v>
      </c>
      <c r="I47" s="622">
        <f t="shared" ref="I47:J47" si="37">SUM(I48:I55)</f>
        <v>30943</v>
      </c>
      <c r="J47" s="622">
        <f t="shared" si="37"/>
        <v>30131</v>
      </c>
      <c r="K47" s="622">
        <f>SUM(L47:M47)</f>
        <v>67325</v>
      </c>
      <c r="L47" s="622">
        <f t="shared" ref="L47:M47" si="38">SUM(L48:L55)</f>
        <v>34046</v>
      </c>
      <c r="M47" s="622">
        <f t="shared" si="38"/>
        <v>33279</v>
      </c>
      <c r="N47" s="622">
        <f>SUM(O47:P47)</f>
        <v>78376</v>
      </c>
      <c r="O47" s="622">
        <f t="shared" ref="O47:P47" si="39">SUM(O48:O55)</f>
        <v>41263</v>
      </c>
      <c r="P47" s="622">
        <f t="shared" si="39"/>
        <v>37113</v>
      </c>
    </row>
    <row r="48" spans="1:16" x14ac:dyDescent="0.2">
      <c r="A48" s="2" t="s">
        <v>1794</v>
      </c>
      <c r="B48" s="315">
        <f t="shared" si="0"/>
        <v>24200</v>
      </c>
      <c r="C48" s="315">
        <v>11725</v>
      </c>
      <c r="D48" s="315">
        <v>12475</v>
      </c>
      <c r="E48" s="315">
        <f t="shared" si="1"/>
        <v>9076</v>
      </c>
      <c r="F48" s="315">
        <v>4617</v>
      </c>
      <c r="G48" s="315">
        <v>4459</v>
      </c>
      <c r="H48" s="315">
        <f t="shared" si="4"/>
        <v>5873</v>
      </c>
      <c r="I48" s="315">
        <v>2960</v>
      </c>
      <c r="J48" s="315">
        <v>2913</v>
      </c>
      <c r="K48" s="315">
        <f t="shared" si="2"/>
        <v>5779</v>
      </c>
      <c r="L48" s="315">
        <v>2903</v>
      </c>
      <c r="M48" s="315">
        <v>2876</v>
      </c>
      <c r="N48" s="315">
        <f t="shared" si="3"/>
        <v>7354</v>
      </c>
      <c r="O48" s="315">
        <v>3668</v>
      </c>
      <c r="P48" s="315">
        <v>3686</v>
      </c>
    </row>
    <row r="49" spans="1:16" x14ac:dyDescent="0.2">
      <c r="A49" s="2" t="s">
        <v>1795</v>
      </c>
      <c r="B49" s="315">
        <f t="shared" si="0"/>
        <v>11806</v>
      </c>
      <c r="C49" s="315">
        <v>6096</v>
      </c>
      <c r="D49" s="315">
        <v>5710</v>
      </c>
      <c r="E49" s="315">
        <f t="shared" si="1"/>
        <v>7723</v>
      </c>
      <c r="F49" s="315">
        <v>3962</v>
      </c>
      <c r="G49" s="315">
        <v>3761</v>
      </c>
      <c r="H49" s="315">
        <f t="shared" si="4"/>
        <v>7190</v>
      </c>
      <c r="I49" s="315">
        <v>3597</v>
      </c>
      <c r="J49" s="315">
        <v>3593</v>
      </c>
      <c r="K49" s="315">
        <f t="shared" si="2"/>
        <v>10947</v>
      </c>
      <c r="L49" s="315">
        <v>5454</v>
      </c>
      <c r="M49" s="315">
        <v>5493</v>
      </c>
      <c r="N49" s="315">
        <f t="shared" si="3"/>
        <v>13291</v>
      </c>
      <c r="O49" s="315">
        <v>7004</v>
      </c>
      <c r="P49" s="315">
        <v>6287</v>
      </c>
    </row>
    <row r="50" spans="1:16" x14ac:dyDescent="0.2">
      <c r="A50" s="2" t="s">
        <v>1796</v>
      </c>
      <c r="B50" s="315">
        <f t="shared" si="0"/>
        <v>2821</v>
      </c>
      <c r="C50" s="315">
        <v>1443</v>
      </c>
      <c r="D50" s="315">
        <v>1378</v>
      </c>
      <c r="E50" s="315">
        <f t="shared" si="1"/>
        <v>3027</v>
      </c>
      <c r="F50" s="315">
        <v>1489</v>
      </c>
      <c r="G50" s="315">
        <v>1538</v>
      </c>
      <c r="H50" s="315">
        <f t="shared" si="4"/>
        <v>2985</v>
      </c>
      <c r="I50" s="315">
        <v>1502</v>
      </c>
      <c r="J50" s="315">
        <v>1483</v>
      </c>
      <c r="K50" s="315">
        <f t="shared" si="2"/>
        <v>2945</v>
      </c>
      <c r="L50" s="315">
        <v>1474</v>
      </c>
      <c r="M50" s="315">
        <v>1471</v>
      </c>
      <c r="N50" s="315">
        <f t="shared" si="3"/>
        <v>3413</v>
      </c>
      <c r="O50" s="315">
        <v>1716</v>
      </c>
      <c r="P50" s="315">
        <v>1697</v>
      </c>
    </row>
    <row r="51" spans="1:16" x14ac:dyDescent="0.2">
      <c r="A51" s="2" t="s">
        <v>1797</v>
      </c>
      <c r="B51" s="315">
        <f t="shared" si="0"/>
        <v>308</v>
      </c>
      <c r="C51" s="315">
        <v>265</v>
      </c>
      <c r="D51" s="315">
        <v>43</v>
      </c>
      <c r="E51" s="315">
        <f t="shared" si="1"/>
        <v>283</v>
      </c>
      <c r="F51" s="315">
        <v>257</v>
      </c>
      <c r="G51" s="315">
        <v>26</v>
      </c>
      <c r="H51" s="315">
        <f t="shared" si="4"/>
        <v>285</v>
      </c>
      <c r="I51" s="315">
        <v>249</v>
      </c>
      <c r="J51" s="315">
        <v>36</v>
      </c>
      <c r="K51" s="315">
        <f t="shared" si="2"/>
        <v>336</v>
      </c>
      <c r="L51" s="315">
        <v>318</v>
      </c>
      <c r="M51" s="315">
        <v>18</v>
      </c>
      <c r="N51" s="315">
        <f t="shared" si="3"/>
        <v>360</v>
      </c>
      <c r="O51" s="315">
        <v>310</v>
      </c>
      <c r="P51" s="315">
        <v>50</v>
      </c>
    </row>
    <row r="52" spans="1:16" x14ac:dyDescent="0.2">
      <c r="A52" s="2" t="s">
        <v>1798</v>
      </c>
      <c r="B52" s="315">
        <f t="shared" si="0"/>
        <v>126</v>
      </c>
      <c r="C52" s="315">
        <v>79</v>
      </c>
      <c r="D52" s="315">
        <v>47</v>
      </c>
      <c r="E52" s="315">
        <f t="shared" si="1"/>
        <v>327</v>
      </c>
      <c r="F52" s="315">
        <v>182</v>
      </c>
      <c r="G52" s="315">
        <v>145</v>
      </c>
      <c r="H52" s="315">
        <f t="shared" si="4"/>
        <v>442</v>
      </c>
      <c r="I52" s="315">
        <v>234</v>
      </c>
      <c r="J52" s="315">
        <v>208</v>
      </c>
      <c r="K52" s="315">
        <f t="shared" si="2"/>
        <v>310</v>
      </c>
      <c r="L52" s="315">
        <v>170</v>
      </c>
      <c r="M52" s="315">
        <v>140</v>
      </c>
      <c r="N52" s="315">
        <f t="shared" si="3"/>
        <v>228</v>
      </c>
      <c r="O52" s="315">
        <v>140</v>
      </c>
      <c r="P52" s="315">
        <v>88</v>
      </c>
    </row>
    <row r="53" spans="1:16" x14ac:dyDescent="0.2">
      <c r="A53" s="2" t="s">
        <v>1799</v>
      </c>
      <c r="B53" s="315">
        <f t="shared" si="0"/>
        <v>12616</v>
      </c>
      <c r="C53" s="315">
        <v>7110</v>
      </c>
      <c r="D53" s="315">
        <v>5506</v>
      </c>
      <c r="E53" s="315">
        <f t="shared" si="1"/>
        <v>11576</v>
      </c>
      <c r="F53" s="315">
        <v>6394</v>
      </c>
      <c r="G53" s="315">
        <v>5182</v>
      </c>
      <c r="H53" s="315">
        <f t="shared" si="4"/>
        <v>9017</v>
      </c>
      <c r="I53" s="315">
        <v>5777</v>
      </c>
      <c r="J53" s="315">
        <v>3240</v>
      </c>
      <c r="K53" s="315">
        <f t="shared" si="2"/>
        <v>10354</v>
      </c>
      <c r="L53" s="315">
        <v>6512</v>
      </c>
      <c r="M53" s="315">
        <v>3842</v>
      </c>
      <c r="N53" s="315">
        <f t="shared" si="3"/>
        <v>10954</v>
      </c>
      <c r="O53" s="315">
        <v>6567</v>
      </c>
      <c r="P53" s="315">
        <v>4387</v>
      </c>
    </row>
    <row r="54" spans="1:16" x14ac:dyDescent="0.2">
      <c r="A54" s="2" t="s">
        <v>1800</v>
      </c>
      <c r="B54" s="315">
        <f t="shared" si="0"/>
        <v>0</v>
      </c>
      <c r="C54" s="315"/>
      <c r="D54" s="315"/>
      <c r="E54" s="315">
        <f t="shared" si="1"/>
        <v>0</v>
      </c>
      <c r="F54" s="315">
        <v>0</v>
      </c>
      <c r="G54" s="315">
        <v>0</v>
      </c>
      <c r="H54" s="315">
        <f t="shared" si="4"/>
        <v>0</v>
      </c>
      <c r="I54" s="315">
        <v>0</v>
      </c>
      <c r="J54" s="315">
        <v>0</v>
      </c>
      <c r="K54" s="315">
        <f t="shared" si="2"/>
        <v>0</v>
      </c>
      <c r="L54" s="315">
        <v>0</v>
      </c>
      <c r="M54" s="315">
        <v>0</v>
      </c>
      <c r="N54" s="315">
        <f t="shared" si="3"/>
        <v>0</v>
      </c>
      <c r="O54" s="315">
        <v>0</v>
      </c>
      <c r="P54" s="315">
        <v>0</v>
      </c>
    </row>
    <row r="55" spans="1:16" x14ac:dyDescent="0.2">
      <c r="A55" s="2" t="s">
        <v>1873</v>
      </c>
      <c r="B55" s="315">
        <f t="shared" si="0"/>
        <v>35632</v>
      </c>
      <c r="C55" s="315">
        <v>17686</v>
      </c>
      <c r="D55" s="315">
        <v>17946</v>
      </c>
      <c r="E55" s="315">
        <f t="shared" si="1"/>
        <v>32488</v>
      </c>
      <c r="F55" s="315">
        <v>15782</v>
      </c>
      <c r="G55" s="315">
        <v>16706</v>
      </c>
      <c r="H55" s="315">
        <f t="shared" si="4"/>
        <v>35282</v>
      </c>
      <c r="I55" s="315">
        <v>16624</v>
      </c>
      <c r="J55" s="315">
        <v>18658</v>
      </c>
      <c r="K55" s="315">
        <f t="shared" si="2"/>
        <v>36654</v>
      </c>
      <c r="L55" s="315">
        <v>17215</v>
      </c>
      <c r="M55" s="315">
        <v>19439</v>
      </c>
      <c r="N55" s="315">
        <f t="shared" si="3"/>
        <v>42776</v>
      </c>
      <c r="O55" s="315">
        <v>21858</v>
      </c>
      <c r="P55" s="315">
        <v>20918</v>
      </c>
    </row>
    <row r="56" spans="1:16" s="24" customFormat="1" x14ac:dyDescent="0.2">
      <c r="A56" s="24" t="s">
        <v>13</v>
      </c>
      <c r="B56" s="622">
        <f>SUM(C56:D56)</f>
        <v>46221</v>
      </c>
      <c r="C56" s="622">
        <f t="shared" ref="C56:D56" si="40">SUM(C57:C63)</f>
        <v>24595</v>
      </c>
      <c r="D56" s="622">
        <f t="shared" si="40"/>
        <v>21626</v>
      </c>
      <c r="E56" s="622">
        <f>SUM(F56:G56)</f>
        <v>49841</v>
      </c>
      <c r="F56" s="622">
        <f t="shared" ref="F56:G56" si="41">SUM(F57:F63)</f>
        <v>26775</v>
      </c>
      <c r="G56" s="622">
        <f t="shared" si="41"/>
        <v>23066</v>
      </c>
      <c r="H56" s="622">
        <f>SUM(I56:J56)</f>
        <v>58769</v>
      </c>
      <c r="I56" s="622">
        <f t="shared" ref="I56:J56" si="42">SUM(I57:I63)</f>
        <v>32137</v>
      </c>
      <c r="J56" s="622">
        <f t="shared" si="42"/>
        <v>26632</v>
      </c>
      <c r="K56" s="622">
        <f>SUM(L56:M56)</f>
        <v>61864</v>
      </c>
      <c r="L56" s="622">
        <f t="shared" ref="L56:M56" si="43">SUM(L57:L63)</f>
        <v>33118</v>
      </c>
      <c r="M56" s="622">
        <f t="shared" si="43"/>
        <v>28746</v>
      </c>
      <c r="N56" s="622">
        <f>SUM(O56:P56)</f>
        <v>86274</v>
      </c>
      <c r="O56" s="622">
        <f t="shared" ref="O56:P56" si="44">SUM(O57:O63)</f>
        <v>45716</v>
      </c>
      <c r="P56" s="622">
        <f t="shared" si="44"/>
        <v>40558</v>
      </c>
    </row>
    <row r="57" spans="1:16" x14ac:dyDescent="0.2">
      <c r="A57" s="2" t="s">
        <v>1802</v>
      </c>
      <c r="B57" s="315">
        <f t="shared" si="0"/>
        <v>42349</v>
      </c>
      <c r="C57" s="315">
        <v>22292</v>
      </c>
      <c r="D57" s="315">
        <v>20057</v>
      </c>
      <c r="E57" s="315">
        <f t="shared" si="1"/>
        <v>43713</v>
      </c>
      <c r="F57" s="315">
        <v>23139</v>
      </c>
      <c r="G57" s="315">
        <v>20574</v>
      </c>
      <c r="H57" s="315">
        <f t="shared" si="4"/>
        <v>48271</v>
      </c>
      <c r="I57" s="315">
        <v>25877</v>
      </c>
      <c r="J57" s="315">
        <v>22394</v>
      </c>
      <c r="K57" s="315">
        <f t="shared" si="2"/>
        <v>48837</v>
      </c>
      <c r="L57" s="315">
        <v>26180</v>
      </c>
      <c r="M57" s="315">
        <v>22657</v>
      </c>
      <c r="N57" s="315">
        <f t="shared" si="3"/>
        <v>68480</v>
      </c>
      <c r="O57" s="315">
        <v>36335</v>
      </c>
      <c r="P57" s="315">
        <v>32145</v>
      </c>
    </row>
    <row r="58" spans="1:16" x14ac:dyDescent="0.2">
      <c r="A58" s="2" t="s">
        <v>1803</v>
      </c>
      <c r="B58" s="315">
        <f t="shared" si="0"/>
        <v>1245</v>
      </c>
      <c r="C58" s="315">
        <v>894</v>
      </c>
      <c r="D58" s="315">
        <v>351</v>
      </c>
      <c r="E58" s="315">
        <f t="shared" si="1"/>
        <v>1076</v>
      </c>
      <c r="F58" s="315">
        <v>742</v>
      </c>
      <c r="G58" s="315">
        <v>334</v>
      </c>
      <c r="H58" s="315">
        <f t="shared" si="4"/>
        <v>1377</v>
      </c>
      <c r="I58" s="315">
        <v>967</v>
      </c>
      <c r="J58" s="315">
        <v>410</v>
      </c>
      <c r="K58" s="315">
        <f t="shared" si="2"/>
        <v>1722</v>
      </c>
      <c r="L58" s="315">
        <v>1153</v>
      </c>
      <c r="M58" s="315">
        <v>569</v>
      </c>
      <c r="N58" s="315">
        <f t="shared" si="3"/>
        <v>2074</v>
      </c>
      <c r="O58" s="315">
        <v>1391</v>
      </c>
      <c r="P58" s="315">
        <v>683</v>
      </c>
    </row>
    <row r="59" spans="1:16" x14ac:dyDescent="0.2">
      <c r="A59" s="2" t="s">
        <v>1874</v>
      </c>
      <c r="B59" s="315">
        <f t="shared" si="0"/>
        <v>386</v>
      </c>
      <c r="C59" s="315">
        <v>209</v>
      </c>
      <c r="D59" s="315">
        <v>177</v>
      </c>
      <c r="E59" s="315">
        <f t="shared" si="1"/>
        <v>183</v>
      </c>
      <c r="F59" s="315">
        <v>103</v>
      </c>
      <c r="G59" s="315">
        <v>80</v>
      </c>
      <c r="H59" s="315">
        <f t="shared" si="4"/>
        <v>558</v>
      </c>
      <c r="I59" s="315">
        <v>304</v>
      </c>
      <c r="J59" s="315">
        <v>254</v>
      </c>
      <c r="K59" s="315">
        <f t="shared" si="2"/>
        <v>716</v>
      </c>
      <c r="L59" s="315">
        <v>363</v>
      </c>
      <c r="M59" s="315">
        <v>353</v>
      </c>
      <c r="N59" s="315">
        <f t="shared" si="3"/>
        <v>1364</v>
      </c>
      <c r="O59" s="315">
        <v>701</v>
      </c>
      <c r="P59" s="315">
        <v>663</v>
      </c>
    </row>
    <row r="60" spans="1:16" x14ac:dyDescent="0.2">
      <c r="A60" s="2" t="s">
        <v>1805</v>
      </c>
      <c r="B60" s="315">
        <f t="shared" si="0"/>
        <v>330</v>
      </c>
      <c r="C60" s="315">
        <v>220</v>
      </c>
      <c r="D60" s="315">
        <v>110</v>
      </c>
      <c r="E60" s="315">
        <f t="shared" si="1"/>
        <v>290</v>
      </c>
      <c r="F60" s="315">
        <v>226</v>
      </c>
      <c r="G60" s="315">
        <v>64</v>
      </c>
      <c r="H60" s="315">
        <f t="shared" si="4"/>
        <v>468</v>
      </c>
      <c r="I60" s="315">
        <v>385</v>
      </c>
      <c r="J60" s="315">
        <v>83</v>
      </c>
      <c r="K60" s="315">
        <f t="shared" si="2"/>
        <v>427</v>
      </c>
      <c r="L60" s="315">
        <v>314</v>
      </c>
      <c r="M60" s="315">
        <v>113</v>
      </c>
      <c r="N60" s="315">
        <f t="shared" si="3"/>
        <v>472</v>
      </c>
      <c r="O60" s="315">
        <v>334</v>
      </c>
      <c r="P60" s="315">
        <v>138</v>
      </c>
    </row>
    <row r="61" spans="1:16" x14ac:dyDescent="0.2">
      <c r="A61" s="2" t="s">
        <v>1806</v>
      </c>
      <c r="B61" s="315">
        <f t="shared" si="0"/>
        <v>605</v>
      </c>
      <c r="C61" s="315">
        <v>281</v>
      </c>
      <c r="D61" s="315">
        <v>324</v>
      </c>
      <c r="E61" s="315">
        <f t="shared" si="1"/>
        <v>534</v>
      </c>
      <c r="F61" s="315">
        <v>327</v>
      </c>
      <c r="G61" s="315">
        <v>207</v>
      </c>
      <c r="H61" s="315">
        <f t="shared" si="4"/>
        <v>643</v>
      </c>
      <c r="I61" s="315">
        <v>419</v>
      </c>
      <c r="J61" s="315">
        <v>224</v>
      </c>
      <c r="K61" s="315">
        <f t="shared" si="2"/>
        <v>672</v>
      </c>
      <c r="L61" s="315">
        <v>417</v>
      </c>
      <c r="M61" s="315">
        <v>255</v>
      </c>
      <c r="N61" s="315">
        <f t="shared" si="3"/>
        <v>871</v>
      </c>
      <c r="O61" s="315">
        <v>503</v>
      </c>
      <c r="P61" s="315">
        <v>368</v>
      </c>
    </row>
    <row r="62" spans="1:16" x14ac:dyDescent="0.2">
      <c r="A62" s="2" t="s">
        <v>1807</v>
      </c>
      <c r="B62" s="315">
        <f t="shared" si="0"/>
        <v>1306</v>
      </c>
      <c r="C62" s="315">
        <v>699</v>
      </c>
      <c r="D62" s="315">
        <v>607</v>
      </c>
      <c r="E62" s="315">
        <f t="shared" si="1"/>
        <v>4045</v>
      </c>
      <c r="F62" s="315">
        <v>2238</v>
      </c>
      <c r="G62" s="315">
        <v>1807</v>
      </c>
      <c r="H62" s="315">
        <f t="shared" si="4"/>
        <v>7452</v>
      </c>
      <c r="I62" s="315">
        <v>4185</v>
      </c>
      <c r="J62" s="315">
        <v>3267</v>
      </c>
      <c r="K62" s="315">
        <f t="shared" si="2"/>
        <v>9490</v>
      </c>
      <c r="L62" s="315">
        <v>4691</v>
      </c>
      <c r="M62" s="315">
        <v>4799</v>
      </c>
      <c r="N62" s="315">
        <f t="shared" si="3"/>
        <v>12839</v>
      </c>
      <c r="O62" s="315">
        <v>6308</v>
      </c>
      <c r="P62" s="315">
        <v>6531</v>
      </c>
    </row>
    <row r="63" spans="1:16" x14ac:dyDescent="0.2">
      <c r="A63" s="2" t="s">
        <v>1808</v>
      </c>
      <c r="B63" s="315">
        <f t="shared" si="0"/>
        <v>0</v>
      </c>
      <c r="C63" s="315">
        <v>0</v>
      </c>
      <c r="D63" s="315">
        <v>0</v>
      </c>
      <c r="E63" s="315">
        <f t="shared" si="1"/>
        <v>0</v>
      </c>
      <c r="F63" s="315">
        <v>0</v>
      </c>
      <c r="G63" s="315">
        <v>0</v>
      </c>
      <c r="H63" s="315">
        <f t="shared" si="4"/>
        <v>0</v>
      </c>
      <c r="I63" s="315">
        <v>0</v>
      </c>
      <c r="J63" s="315">
        <v>0</v>
      </c>
      <c r="K63" s="315">
        <f t="shared" si="2"/>
        <v>0</v>
      </c>
      <c r="L63" s="315">
        <v>0</v>
      </c>
      <c r="M63" s="315">
        <v>0</v>
      </c>
      <c r="N63" s="315">
        <f t="shared" si="3"/>
        <v>174</v>
      </c>
      <c r="O63" s="315">
        <v>144</v>
      </c>
      <c r="P63" s="315">
        <v>30</v>
      </c>
    </row>
    <row r="64" spans="1:16" s="24" customFormat="1" x14ac:dyDescent="0.2">
      <c r="A64" s="24" t="s">
        <v>14</v>
      </c>
      <c r="B64" s="622">
        <f>SUM(C64:D64)</f>
        <v>197695</v>
      </c>
      <c r="C64" s="622">
        <f t="shared" ref="C64:D64" si="45">SUM(C65:C77)</f>
        <v>105290</v>
      </c>
      <c r="D64" s="622">
        <f t="shared" si="45"/>
        <v>92405</v>
      </c>
      <c r="E64" s="622">
        <f>SUM(F64:G64)</f>
        <v>228921</v>
      </c>
      <c r="F64" s="622">
        <f t="shared" ref="F64:G64" si="46">SUM(F65:F77)</f>
        <v>125367</v>
      </c>
      <c r="G64" s="622">
        <f t="shared" si="46"/>
        <v>103554</v>
      </c>
      <c r="H64" s="622">
        <f>SUM(I64:J64)</f>
        <v>262021</v>
      </c>
      <c r="I64" s="622">
        <f t="shared" ref="I64:J64" si="47">SUM(I65:I77)</f>
        <v>139831</v>
      </c>
      <c r="J64" s="622">
        <f t="shared" si="47"/>
        <v>122190</v>
      </c>
      <c r="K64" s="622">
        <f>SUM(L64:M64)</f>
        <v>371883</v>
      </c>
      <c r="L64" s="622">
        <f t="shared" ref="L64:M64" si="48">SUM(L65:L77)</f>
        <v>200400</v>
      </c>
      <c r="M64" s="622">
        <f t="shared" si="48"/>
        <v>171483</v>
      </c>
      <c r="N64" s="622">
        <f>SUM(O64:P64)</f>
        <v>462349</v>
      </c>
      <c r="O64" s="622">
        <f t="shared" ref="O64:P64" si="49">SUM(O65:O77)</f>
        <v>253199</v>
      </c>
      <c r="P64" s="622">
        <f t="shared" si="49"/>
        <v>209150</v>
      </c>
    </row>
    <row r="65" spans="1:16" x14ac:dyDescent="0.2">
      <c r="A65" s="2" t="s">
        <v>1809</v>
      </c>
      <c r="B65" s="315">
        <f t="shared" si="0"/>
        <v>36194</v>
      </c>
      <c r="C65" s="315">
        <v>19566</v>
      </c>
      <c r="D65" s="315">
        <v>16628</v>
      </c>
      <c r="E65" s="315">
        <f t="shared" si="1"/>
        <v>31129</v>
      </c>
      <c r="F65" s="315">
        <v>16357</v>
      </c>
      <c r="G65" s="315">
        <v>14772</v>
      </c>
      <c r="H65" s="315">
        <f t="shared" si="4"/>
        <v>37593</v>
      </c>
      <c r="I65" s="315">
        <v>19782</v>
      </c>
      <c r="J65" s="315">
        <v>17811</v>
      </c>
      <c r="K65" s="315">
        <f t="shared" si="2"/>
        <v>59823</v>
      </c>
      <c r="L65" s="315">
        <v>31423</v>
      </c>
      <c r="M65" s="315">
        <v>28400</v>
      </c>
      <c r="N65" s="315">
        <f t="shared" si="3"/>
        <v>81739</v>
      </c>
      <c r="O65" s="315">
        <v>42408</v>
      </c>
      <c r="P65" s="315">
        <v>39331</v>
      </c>
    </row>
    <row r="66" spans="1:16" x14ac:dyDescent="0.2">
      <c r="A66" s="2" t="s">
        <v>1810</v>
      </c>
      <c r="B66" s="315">
        <f t="shared" si="0"/>
        <v>23790</v>
      </c>
      <c r="C66" s="315">
        <v>11636</v>
      </c>
      <c r="D66" s="315">
        <v>12154</v>
      </c>
      <c r="E66" s="315">
        <f t="shared" si="1"/>
        <v>22533</v>
      </c>
      <c r="F66" s="315">
        <v>10940</v>
      </c>
      <c r="G66" s="315">
        <v>11593</v>
      </c>
      <c r="H66" s="315">
        <f t="shared" si="4"/>
        <v>23614</v>
      </c>
      <c r="I66" s="315">
        <v>12167</v>
      </c>
      <c r="J66" s="315">
        <v>11447</v>
      </c>
      <c r="K66" s="315">
        <f t="shared" si="2"/>
        <v>32103</v>
      </c>
      <c r="L66" s="315">
        <v>16159</v>
      </c>
      <c r="M66" s="315">
        <v>15944</v>
      </c>
      <c r="N66" s="315">
        <f t="shared" si="3"/>
        <v>35026</v>
      </c>
      <c r="O66" s="315">
        <v>17773</v>
      </c>
      <c r="P66" s="315">
        <v>17253</v>
      </c>
    </row>
    <row r="67" spans="1:16" x14ac:dyDescent="0.2">
      <c r="A67" s="2" t="s">
        <v>1811</v>
      </c>
      <c r="B67" s="315">
        <f t="shared" si="0"/>
        <v>7500</v>
      </c>
      <c r="C67" s="315">
        <v>3899</v>
      </c>
      <c r="D67" s="315">
        <v>3601</v>
      </c>
      <c r="E67" s="315">
        <f t="shared" si="1"/>
        <v>7626</v>
      </c>
      <c r="F67" s="315">
        <v>4076</v>
      </c>
      <c r="G67" s="315">
        <v>3550</v>
      </c>
      <c r="H67" s="315">
        <f t="shared" si="4"/>
        <v>9061</v>
      </c>
      <c r="I67" s="315">
        <v>4781</v>
      </c>
      <c r="J67" s="315">
        <v>4280</v>
      </c>
      <c r="K67" s="315">
        <f t="shared" si="2"/>
        <v>11832</v>
      </c>
      <c r="L67" s="315">
        <v>6383</v>
      </c>
      <c r="M67" s="315">
        <v>5449</v>
      </c>
      <c r="N67" s="315">
        <f t="shared" si="3"/>
        <v>14669</v>
      </c>
      <c r="O67" s="315">
        <v>7751</v>
      </c>
      <c r="P67" s="315">
        <v>6918</v>
      </c>
    </row>
    <row r="68" spans="1:16" x14ac:dyDescent="0.2">
      <c r="A68" s="2" t="s">
        <v>1812</v>
      </c>
      <c r="B68" s="315">
        <f t="shared" si="0"/>
        <v>2021</v>
      </c>
      <c r="C68" s="315">
        <v>1110</v>
      </c>
      <c r="D68" s="315">
        <v>911</v>
      </c>
      <c r="E68" s="315">
        <f t="shared" si="1"/>
        <v>1674</v>
      </c>
      <c r="F68" s="315">
        <v>987</v>
      </c>
      <c r="G68" s="315">
        <v>687</v>
      </c>
      <c r="H68" s="315">
        <f t="shared" si="4"/>
        <v>4799</v>
      </c>
      <c r="I68" s="315">
        <v>2653</v>
      </c>
      <c r="J68" s="315">
        <v>2146</v>
      </c>
      <c r="K68" s="315">
        <f t="shared" si="2"/>
        <v>4594</v>
      </c>
      <c r="L68" s="315">
        <v>2575</v>
      </c>
      <c r="M68" s="315">
        <v>2019</v>
      </c>
      <c r="N68" s="315">
        <f t="shared" si="3"/>
        <v>6956</v>
      </c>
      <c r="O68" s="315">
        <v>3709</v>
      </c>
      <c r="P68" s="315">
        <v>3247</v>
      </c>
    </row>
    <row r="69" spans="1:16" x14ac:dyDescent="0.2">
      <c r="A69" s="2" t="s">
        <v>1813</v>
      </c>
      <c r="B69" s="315">
        <f t="shared" si="0"/>
        <v>49109</v>
      </c>
      <c r="C69" s="315">
        <v>25995</v>
      </c>
      <c r="D69" s="315">
        <v>23114</v>
      </c>
      <c r="E69" s="315">
        <f t="shared" si="1"/>
        <v>80669</v>
      </c>
      <c r="F69" s="315">
        <v>44762</v>
      </c>
      <c r="G69" s="315">
        <v>35907</v>
      </c>
      <c r="H69" s="315">
        <f t="shared" si="4"/>
        <v>85602</v>
      </c>
      <c r="I69" s="315">
        <v>45163</v>
      </c>
      <c r="J69" s="315">
        <v>40439</v>
      </c>
      <c r="K69" s="315">
        <f t="shared" si="2"/>
        <v>115761</v>
      </c>
      <c r="L69" s="315">
        <v>61661</v>
      </c>
      <c r="M69" s="315">
        <v>54100</v>
      </c>
      <c r="N69" s="315">
        <f t="shared" si="3"/>
        <v>136014</v>
      </c>
      <c r="O69" s="315">
        <v>74705</v>
      </c>
      <c r="P69" s="315">
        <v>61309</v>
      </c>
    </row>
    <row r="70" spans="1:16" x14ac:dyDescent="0.2">
      <c r="A70" s="2" t="s">
        <v>1814</v>
      </c>
      <c r="B70" s="315">
        <f t="shared" si="0"/>
        <v>6</v>
      </c>
      <c r="C70" s="315">
        <v>3</v>
      </c>
      <c r="D70" s="315">
        <v>3</v>
      </c>
      <c r="E70" s="315">
        <f t="shared" si="1"/>
        <v>20</v>
      </c>
      <c r="F70" s="315">
        <v>10</v>
      </c>
      <c r="G70" s="315">
        <v>10</v>
      </c>
      <c r="H70" s="315">
        <f t="shared" si="4"/>
        <v>16</v>
      </c>
      <c r="I70" s="315">
        <v>9</v>
      </c>
      <c r="J70" s="315">
        <v>7</v>
      </c>
      <c r="K70" s="315">
        <f t="shared" si="2"/>
        <v>50</v>
      </c>
      <c r="L70" s="315">
        <v>26</v>
      </c>
      <c r="M70" s="315">
        <v>24</v>
      </c>
      <c r="N70" s="315">
        <f t="shared" si="3"/>
        <v>64</v>
      </c>
      <c r="O70" s="315">
        <v>35</v>
      </c>
      <c r="P70" s="315">
        <v>29</v>
      </c>
    </row>
    <row r="71" spans="1:16" x14ac:dyDescent="0.2">
      <c r="A71" s="2" t="s">
        <v>1815</v>
      </c>
      <c r="B71" s="315">
        <f t="shared" si="0"/>
        <v>0</v>
      </c>
      <c r="C71" s="315">
        <v>0</v>
      </c>
      <c r="D71" s="315">
        <v>0</v>
      </c>
      <c r="E71" s="315">
        <f t="shared" si="1"/>
        <v>0</v>
      </c>
      <c r="F71" s="315">
        <v>0</v>
      </c>
      <c r="G71" s="315">
        <v>0</v>
      </c>
      <c r="H71" s="315">
        <f t="shared" si="4"/>
        <v>0</v>
      </c>
      <c r="I71" s="315">
        <v>0</v>
      </c>
      <c r="J71" s="315">
        <v>0</v>
      </c>
      <c r="K71" s="315">
        <f t="shared" si="2"/>
        <v>0</v>
      </c>
      <c r="L71" s="315">
        <v>0</v>
      </c>
      <c r="M71" s="315">
        <v>0</v>
      </c>
      <c r="N71" s="315">
        <f t="shared" si="3"/>
        <v>0</v>
      </c>
      <c r="O71" s="315">
        <v>0</v>
      </c>
      <c r="P71" s="315">
        <v>0</v>
      </c>
    </row>
    <row r="72" spans="1:16" x14ac:dyDescent="0.2">
      <c r="A72" s="2" t="s">
        <v>1816</v>
      </c>
      <c r="B72" s="315">
        <f t="shared" si="0"/>
        <v>22651</v>
      </c>
      <c r="C72" s="315">
        <v>12145</v>
      </c>
      <c r="D72" s="315">
        <v>10506</v>
      </c>
      <c r="E72" s="315">
        <f t="shared" si="1"/>
        <v>24796</v>
      </c>
      <c r="F72" s="315">
        <v>14534</v>
      </c>
      <c r="G72" s="315">
        <v>10262</v>
      </c>
      <c r="H72" s="315">
        <f t="shared" si="4"/>
        <v>29447</v>
      </c>
      <c r="I72" s="315">
        <v>16316</v>
      </c>
      <c r="J72" s="315">
        <v>13131</v>
      </c>
      <c r="K72" s="315">
        <f t="shared" si="2"/>
        <v>55641</v>
      </c>
      <c r="L72" s="315">
        <v>31854</v>
      </c>
      <c r="M72" s="315">
        <v>23787</v>
      </c>
      <c r="N72" s="315">
        <f t="shared" si="3"/>
        <v>84539</v>
      </c>
      <c r="O72" s="315">
        <v>48309</v>
      </c>
      <c r="P72" s="315">
        <v>36230</v>
      </c>
    </row>
    <row r="73" spans="1:16" x14ac:dyDescent="0.2">
      <c r="A73" s="2" t="s">
        <v>1817</v>
      </c>
      <c r="B73" s="315">
        <f t="shared" si="0"/>
        <v>23</v>
      </c>
      <c r="C73" s="315">
        <v>18</v>
      </c>
      <c r="D73" s="315">
        <v>5</v>
      </c>
      <c r="E73" s="315">
        <f t="shared" si="1"/>
        <v>0</v>
      </c>
      <c r="F73" s="315">
        <v>0</v>
      </c>
      <c r="G73" s="315">
        <v>0</v>
      </c>
      <c r="H73" s="315">
        <f t="shared" si="4"/>
        <v>0</v>
      </c>
      <c r="I73" s="315">
        <v>0</v>
      </c>
      <c r="J73" s="315">
        <v>0</v>
      </c>
      <c r="K73" s="315">
        <f t="shared" si="2"/>
        <v>341</v>
      </c>
      <c r="L73" s="315">
        <v>180</v>
      </c>
      <c r="M73" s="315">
        <v>161</v>
      </c>
      <c r="N73" s="315">
        <f t="shared" si="3"/>
        <v>624</v>
      </c>
      <c r="O73" s="315">
        <v>302</v>
      </c>
      <c r="P73" s="315">
        <v>322</v>
      </c>
    </row>
    <row r="74" spans="1:16" x14ac:dyDescent="0.2">
      <c r="A74" s="2" t="s">
        <v>1818</v>
      </c>
      <c r="B74" s="315">
        <f t="shared" si="0"/>
        <v>0</v>
      </c>
      <c r="C74" s="315">
        <v>0</v>
      </c>
      <c r="D74" s="315">
        <v>0</v>
      </c>
      <c r="E74" s="315">
        <f t="shared" si="1"/>
        <v>0</v>
      </c>
      <c r="F74" s="315">
        <v>0</v>
      </c>
      <c r="G74" s="315">
        <v>0</v>
      </c>
      <c r="H74" s="315">
        <f t="shared" si="4"/>
        <v>60</v>
      </c>
      <c r="I74" s="315">
        <v>57</v>
      </c>
      <c r="J74" s="315">
        <v>3</v>
      </c>
      <c r="K74" s="315">
        <f t="shared" si="2"/>
        <v>0</v>
      </c>
      <c r="L74" s="315">
        <v>0</v>
      </c>
      <c r="M74" s="315">
        <v>0</v>
      </c>
      <c r="N74" s="315">
        <f t="shared" si="3"/>
        <v>0</v>
      </c>
      <c r="O74" s="315">
        <v>0</v>
      </c>
      <c r="P74" s="315">
        <v>0</v>
      </c>
    </row>
    <row r="75" spans="1:16" x14ac:dyDescent="0.2">
      <c r="A75" s="2" t="s">
        <v>1819</v>
      </c>
      <c r="B75" s="315">
        <f t="shared" si="0"/>
        <v>158</v>
      </c>
      <c r="C75" s="315">
        <v>100</v>
      </c>
      <c r="D75" s="315">
        <v>58</v>
      </c>
      <c r="E75" s="315">
        <f t="shared" si="1"/>
        <v>531</v>
      </c>
      <c r="F75" s="315">
        <v>318</v>
      </c>
      <c r="G75" s="315">
        <v>213</v>
      </c>
      <c r="H75" s="315">
        <f t="shared" si="4"/>
        <v>31</v>
      </c>
      <c r="I75" s="315">
        <v>23</v>
      </c>
      <c r="J75" s="315">
        <v>8</v>
      </c>
      <c r="K75" s="315">
        <f t="shared" si="2"/>
        <v>3954</v>
      </c>
      <c r="L75" s="315">
        <v>2802</v>
      </c>
      <c r="M75" s="315">
        <v>1152</v>
      </c>
      <c r="N75" s="315">
        <f t="shared" si="3"/>
        <v>11207</v>
      </c>
      <c r="O75" s="315">
        <v>8358</v>
      </c>
      <c r="P75" s="315">
        <v>2849</v>
      </c>
    </row>
    <row r="76" spans="1:16" x14ac:dyDescent="0.2">
      <c r="A76" s="2" t="s">
        <v>1820</v>
      </c>
      <c r="B76" s="315">
        <f t="shared" ref="B76:B124" si="50">SUM(C76:D76)</f>
        <v>1273</v>
      </c>
      <c r="C76" s="315">
        <v>574</v>
      </c>
      <c r="D76" s="315">
        <v>699</v>
      </c>
      <c r="E76" s="315">
        <f t="shared" ref="E76:E124" si="51">SUM(F76:G76)</f>
        <v>1339</v>
      </c>
      <c r="F76" s="315">
        <v>668</v>
      </c>
      <c r="G76" s="315">
        <v>671</v>
      </c>
      <c r="H76" s="315">
        <f t="shared" si="4"/>
        <v>2335</v>
      </c>
      <c r="I76" s="315">
        <v>1106</v>
      </c>
      <c r="J76" s="315">
        <v>1229</v>
      </c>
      <c r="K76" s="315">
        <f t="shared" ref="K76:K124" si="52">SUM(L76:M76)</f>
        <v>2731</v>
      </c>
      <c r="L76" s="315">
        <v>1257</v>
      </c>
      <c r="M76" s="315">
        <v>1474</v>
      </c>
      <c r="N76" s="315">
        <f t="shared" ref="N76:N124" si="53">SUM(O76:P76)</f>
        <v>5656</v>
      </c>
      <c r="O76" s="315">
        <v>2836</v>
      </c>
      <c r="P76" s="315">
        <v>2820</v>
      </c>
    </row>
    <row r="77" spans="1:16" x14ac:dyDescent="0.2">
      <c r="A77" s="2" t="s">
        <v>1821</v>
      </c>
      <c r="B77" s="315">
        <f t="shared" si="50"/>
        <v>54970</v>
      </c>
      <c r="C77" s="315">
        <v>30244</v>
      </c>
      <c r="D77" s="315">
        <v>24726</v>
      </c>
      <c r="E77" s="315">
        <f t="shared" si="51"/>
        <v>58604</v>
      </c>
      <c r="F77" s="315">
        <v>32715</v>
      </c>
      <c r="G77" s="315">
        <v>25889</v>
      </c>
      <c r="H77" s="315">
        <f t="shared" ref="H77:H124" si="54">SUM(I77:J77)</f>
        <v>69463</v>
      </c>
      <c r="I77" s="315">
        <v>37774</v>
      </c>
      <c r="J77" s="315">
        <v>31689</v>
      </c>
      <c r="K77" s="315">
        <f t="shared" si="52"/>
        <v>85053</v>
      </c>
      <c r="L77" s="315">
        <v>46080</v>
      </c>
      <c r="M77" s="315">
        <v>38973</v>
      </c>
      <c r="N77" s="315">
        <f t="shared" si="53"/>
        <v>85855</v>
      </c>
      <c r="O77" s="315">
        <v>47013</v>
      </c>
      <c r="P77" s="315">
        <v>38842</v>
      </c>
    </row>
    <row r="78" spans="1:16" s="24" customFormat="1" x14ac:dyDescent="0.2">
      <c r="A78" s="24" t="s">
        <v>135</v>
      </c>
      <c r="B78" s="622">
        <f>SUM(C78:D78)</f>
        <v>345</v>
      </c>
      <c r="C78" s="622">
        <f t="shared" ref="C78:D78" si="55">SUM(C79:C80)</f>
        <v>194</v>
      </c>
      <c r="D78" s="622">
        <f t="shared" si="55"/>
        <v>151</v>
      </c>
      <c r="E78" s="622">
        <f>SUM(F78:G78)</f>
        <v>376</v>
      </c>
      <c r="F78" s="622">
        <f t="shared" ref="F78:G78" si="56">SUM(F79:F80)</f>
        <v>219</v>
      </c>
      <c r="G78" s="622">
        <f t="shared" si="56"/>
        <v>157</v>
      </c>
      <c r="H78" s="622">
        <f>SUM(I78:J78)</f>
        <v>1159</v>
      </c>
      <c r="I78" s="622">
        <f t="shared" ref="I78:J78" si="57">SUM(I79:I80)</f>
        <v>762</v>
      </c>
      <c r="J78" s="622">
        <f t="shared" si="57"/>
        <v>397</v>
      </c>
      <c r="K78" s="622">
        <f>SUM(L78:M78)</f>
        <v>1221</v>
      </c>
      <c r="L78" s="622">
        <f t="shared" ref="L78:M78" si="58">SUM(L79:L80)</f>
        <v>687</v>
      </c>
      <c r="M78" s="622">
        <f t="shared" si="58"/>
        <v>534</v>
      </c>
      <c r="N78" s="622">
        <f>SUM(O78:P78)</f>
        <v>2322</v>
      </c>
      <c r="O78" s="622">
        <f t="shared" ref="O78:P78" si="59">SUM(O79:O80)</f>
        <v>1344</v>
      </c>
      <c r="P78" s="622">
        <f t="shared" si="59"/>
        <v>978</v>
      </c>
    </row>
    <row r="79" spans="1:16" x14ac:dyDescent="0.2">
      <c r="A79" s="2" t="s">
        <v>1822</v>
      </c>
      <c r="B79" s="315">
        <f t="shared" si="50"/>
        <v>0</v>
      </c>
      <c r="C79" s="315">
        <v>0</v>
      </c>
      <c r="D79" s="315">
        <v>0</v>
      </c>
      <c r="E79" s="315">
        <f t="shared" si="51"/>
        <v>0</v>
      </c>
      <c r="F79" s="315">
        <v>0</v>
      </c>
      <c r="G79" s="315">
        <v>0</v>
      </c>
      <c r="H79" s="315">
        <f t="shared" si="54"/>
        <v>869</v>
      </c>
      <c r="I79" s="315">
        <v>587</v>
      </c>
      <c r="J79" s="315">
        <v>282</v>
      </c>
      <c r="K79" s="315">
        <f t="shared" si="52"/>
        <v>528</v>
      </c>
      <c r="L79" s="315">
        <v>268</v>
      </c>
      <c r="M79" s="315">
        <v>260</v>
      </c>
      <c r="N79" s="315">
        <f t="shared" si="53"/>
        <v>1198</v>
      </c>
      <c r="O79" s="315">
        <v>733</v>
      </c>
      <c r="P79" s="315">
        <v>465</v>
      </c>
    </row>
    <row r="80" spans="1:16" x14ac:dyDescent="0.2">
      <c r="A80" s="2" t="s">
        <v>1823</v>
      </c>
      <c r="B80" s="315">
        <f t="shared" si="50"/>
        <v>345</v>
      </c>
      <c r="C80" s="315">
        <v>194</v>
      </c>
      <c r="D80" s="315">
        <v>151</v>
      </c>
      <c r="E80" s="315">
        <f t="shared" si="51"/>
        <v>376</v>
      </c>
      <c r="F80" s="315">
        <v>219</v>
      </c>
      <c r="G80" s="315">
        <v>157</v>
      </c>
      <c r="H80" s="315">
        <f t="shared" si="54"/>
        <v>290</v>
      </c>
      <c r="I80" s="315">
        <v>175</v>
      </c>
      <c r="J80" s="315">
        <v>115</v>
      </c>
      <c r="K80" s="315">
        <f t="shared" si="52"/>
        <v>693</v>
      </c>
      <c r="L80" s="315">
        <v>419</v>
      </c>
      <c r="M80" s="315">
        <v>274</v>
      </c>
      <c r="N80" s="315">
        <f t="shared" si="53"/>
        <v>1124</v>
      </c>
      <c r="O80" s="315">
        <v>611</v>
      </c>
      <c r="P80" s="315">
        <v>513</v>
      </c>
    </row>
    <row r="81" spans="1:16" s="24" customFormat="1" x14ac:dyDescent="0.2">
      <c r="A81" s="24" t="s">
        <v>136</v>
      </c>
      <c r="B81" s="622">
        <f>SUM(C81:D81)</f>
        <v>794363</v>
      </c>
      <c r="C81" s="622">
        <f t="shared" ref="C81:D81" si="60">SUM(C82:C92)</f>
        <v>370518</v>
      </c>
      <c r="D81" s="622">
        <f t="shared" si="60"/>
        <v>423845</v>
      </c>
      <c r="E81" s="622">
        <f>SUM(F81:G81)</f>
        <v>486725</v>
      </c>
      <c r="F81" s="622">
        <f t="shared" ref="F81:G81" si="61">SUM(F82:F92)</f>
        <v>241905</v>
      </c>
      <c r="G81" s="622">
        <f t="shared" si="61"/>
        <v>244820</v>
      </c>
      <c r="H81" s="622">
        <f>SUM(I81:J81)</f>
        <v>430663</v>
      </c>
      <c r="I81" s="622">
        <f t="shared" ref="I81:J81" si="62">SUM(I82:I92)</f>
        <v>223681</v>
      </c>
      <c r="J81" s="622">
        <f t="shared" si="62"/>
        <v>206982</v>
      </c>
      <c r="K81" s="622">
        <f>SUM(L81:M81)</f>
        <v>514248</v>
      </c>
      <c r="L81" s="622">
        <f t="shared" ref="L81:M81" si="63">SUM(L82:L92)</f>
        <v>253561</v>
      </c>
      <c r="M81" s="622">
        <f t="shared" si="63"/>
        <v>260687</v>
      </c>
      <c r="N81" s="622">
        <f>SUM(O81:P81)</f>
        <v>568391</v>
      </c>
      <c r="O81" s="622">
        <f t="shared" ref="O81:P81" si="64">SUM(O82:O92)</f>
        <v>275349</v>
      </c>
      <c r="P81" s="622">
        <f t="shared" si="64"/>
        <v>293042</v>
      </c>
    </row>
    <row r="82" spans="1:16" x14ac:dyDescent="0.2">
      <c r="A82" s="2" t="s">
        <v>1824</v>
      </c>
      <c r="B82" s="315">
        <f t="shared" si="50"/>
        <v>17107</v>
      </c>
      <c r="C82" s="315">
        <v>8363</v>
      </c>
      <c r="D82" s="315">
        <v>8744</v>
      </c>
      <c r="E82" s="315">
        <f t="shared" si="51"/>
        <v>14761</v>
      </c>
      <c r="F82" s="315">
        <v>7006</v>
      </c>
      <c r="G82" s="315">
        <v>7755</v>
      </c>
      <c r="H82" s="315">
        <f t="shared" si="54"/>
        <v>20950</v>
      </c>
      <c r="I82" s="315">
        <v>9828</v>
      </c>
      <c r="J82" s="315">
        <v>11122</v>
      </c>
      <c r="K82" s="315">
        <f t="shared" si="52"/>
        <v>27049</v>
      </c>
      <c r="L82" s="315">
        <v>12548</v>
      </c>
      <c r="M82" s="315">
        <v>14501</v>
      </c>
      <c r="N82" s="315">
        <f t="shared" si="53"/>
        <v>31142</v>
      </c>
      <c r="O82" s="315">
        <v>14110</v>
      </c>
      <c r="P82" s="315">
        <v>17032</v>
      </c>
    </row>
    <row r="83" spans="1:16" x14ac:dyDescent="0.2">
      <c r="A83" s="2" t="s">
        <v>1825</v>
      </c>
      <c r="B83" s="315">
        <f t="shared" si="50"/>
        <v>499129</v>
      </c>
      <c r="C83" s="315">
        <v>225466</v>
      </c>
      <c r="D83" s="315">
        <v>273663</v>
      </c>
      <c r="E83" s="315">
        <f t="shared" si="51"/>
        <v>250415</v>
      </c>
      <c r="F83" s="315">
        <v>123028</v>
      </c>
      <c r="G83" s="315">
        <v>127387</v>
      </c>
      <c r="H83" s="315">
        <f t="shared" si="54"/>
        <v>95062</v>
      </c>
      <c r="I83" s="315">
        <v>46054</v>
      </c>
      <c r="J83" s="315">
        <v>49008</v>
      </c>
      <c r="K83" s="315">
        <f t="shared" si="52"/>
        <v>133037</v>
      </c>
      <c r="L83" s="315">
        <v>64681</v>
      </c>
      <c r="M83" s="315">
        <v>68356</v>
      </c>
      <c r="N83" s="315">
        <f t="shared" si="53"/>
        <v>124272</v>
      </c>
      <c r="O83" s="315">
        <v>60506</v>
      </c>
      <c r="P83" s="315">
        <v>63766</v>
      </c>
    </row>
    <row r="84" spans="1:16" x14ac:dyDescent="0.2">
      <c r="A84" s="2" t="s">
        <v>1826</v>
      </c>
      <c r="B84" s="315">
        <f t="shared" si="50"/>
        <v>264496</v>
      </c>
      <c r="C84" s="315">
        <v>129159</v>
      </c>
      <c r="D84" s="315">
        <v>135337</v>
      </c>
      <c r="E84" s="315">
        <f t="shared" si="51"/>
        <v>203027</v>
      </c>
      <c r="F84" s="315">
        <v>102206</v>
      </c>
      <c r="G84" s="315">
        <v>100821</v>
      </c>
      <c r="H84" s="315">
        <f t="shared" si="54"/>
        <v>293266</v>
      </c>
      <c r="I84" s="315">
        <v>156670</v>
      </c>
      <c r="J84" s="315">
        <v>136596</v>
      </c>
      <c r="K84" s="315">
        <f t="shared" si="52"/>
        <v>332334</v>
      </c>
      <c r="L84" s="315">
        <v>164755</v>
      </c>
      <c r="M84" s="315">
        <v>167579</v>
      </c>
      <c r="N84" s="315">
        <f t="shared" si="53"/>
        <v>386287</v>
      </c>
      <c r="O84" s="315">
        <v>187131</v>
      </c>
      <c r="P84" s="315">
        <v>199156</v>
      </c>
    </row>
    <row r="85" spans="1:16" x14ac:dyDescent="0.2">
      <c r="A85" s="2" t="s">
        <v>1827</v>
      </c>
      <c r="B85" s="315">
        <f t="shared" si="50"/>
        <v>10813</v>
      </c>
      <c r="C85" s="315">
        <v>5890</v>
      </c>
      <c r="D85" s="315">
        <v>4923</v>
      </c>
      <c r="E85" s="315">
        <f t="shared" si="51"/>
        <v>9250</v>
      </c>
      <c r="F85" s="315">
        <v>4964</v>
      </c>
      <c r="G85" s="315">
        <v>4286</v>
      </c>
      <c r="H85" s="315">
        <f t="shared" si="54"/>
        <v>11721</v>
      </c>
      <c r="I85" s="315">
        <v>6175</v>
      </c>
      <c r="J85" s="315">
        <v>5546</v>
      </c>
      <c r="K85" s="315">
        <f t="shared" si="52"/>
        <v>12189</v>
      </c>
      <c r="L85" s="315">
        <v>6506</v>
      </c>
      <c r="M85" s="315">
        <v>5683</v>
      </c>
      <c r="N85" s="315">
        <f t="shared" si="53"/>
        <v>15728</v>
      </c>
      <c r="O85" s="315">
        <v>8105</v>
      </c>
      <c r="P85" s="315">
        <v>7623</v>
      </c>
    </row>
    <row r="86" spans="1:16" x14ac:dyDescent="0.2">
      <c r="A86" s="2" t="s">
        <v>1828</v>
      </c>
      <c r="B86" s="315">
        <f t="shared" si="50"/>
        <v>311</v>
      </c>
      <c r="C86" s="315">
        <v>116</v>
      </c>
      <c r="D86" s="315">
        <v>195</v>
      </c>
      <c r="E86" s="315">
        <f t="shared" si="51"/>
        <v>479</v>
      </c>
      <c r="F86" s="315">
        <v>294</v>
      </c>
      <c r="G86" s="315">
        <v>185</v>
      </c>
      <c r="H86" s="315">
        <f t="shared" si="54"/>
        <v>351</v>
      </c>
      <c r="I86" s="315">
        <v>191</v>
      </c>
      <c r="J86" s="315">
        <v>160</v>
      </c>
      <c r="K86" s="315">
        <f t="shared" si="52"/>
        <v>0</v>
      </c>
      <c r="L86" s="315">
        <v>0</v>
      </c>
      <c r="M86" s="315">
        <v>0</v>
      </c>
      <c r="N86" s="315">
        <f t="shared" si="53"/>
        <v>621</v>
      </c>
      <c r="O86" s="315">
        <v>415</v>
      </c>
      <c r="P86" s="315">
        <v>206</v>
      </c>
    </row>
    <row r="87" spans="1:16" x14ac:dyDescent="0.2">
      <c r="A87" s="2" t="s">
        <v>1829</v>
      </c>
      <c r="B87" s="315">
        <f t="shared" si="50"/>
        <v>0</v>
      </c>
      <c r="C87" s="315">
        <v>0</v>
      </c>
      <c r="D87" s="315">
        <v>0</v>
      </c>
      <c r="E87" s="315">
        <f t="shared" si="51"/>
        <v>0</v>
      </c>
      <c r="F87" s="315">
        <v>0</v>
      </c>
      <c r="G87" s="315">
        <v>0</v>
      </c>
      <c r="H87" s="315">
        <f t="shared" si="54"/>
        <v>0</v>
      </c>
      <c r="I87" s="315">
        <v>0</v>
      </c>
      <c r="J87" s="315">
        <v>0</v>
      </c>
      <c r="K87" s="315">
        <f t="shared" si="52"/>
        <v>0</v>
      </c>
      <c r="L87" s="315">
        <v>0</v>
      </c>
      <c r="M87" s="315">
        <v>0</v>
      </c>
      <c r="N87" s="315">
        <f t="shared" si="53"/>
        <v>0</v>
      </c>
      <c r="O87" s="315">
        <v>0</v>
      </c>
      <c r="P87" s="315">
        <v>0</v>
      </c>
    </row>
    <row r="88" spans="1:16" x14ac:dyDescent="0.2">
      <c r="A88" s="2" t="s">
        <v>1830</v>
      </c>
      <c r="B88" s="315">
        <f t="shared" si="50"/>
        <v>0</v>
      </c>
      <c r="C88" s="315">
        <v>0</v>
      </c>
      <c r="D88" s="315">
        <v>0</v>
      </c>
      <c r="E88" s="315">
        <f t="shared" si="51"/>
        <v>0</v>
      </c>
      <c r="F88" s="315">
        <v>0</v>
      </c>
      <c r="G88" s="315">
        <v>0</v>
      </c>
      <c r="H88" s="315">
        <f t="shared" si="54"/>
        <v>0</v>
      </c>
      <c r="I88" s="315">
        <v>0</v>
      </c>
      <c r="J88" s="315">
        <v>0</v>
      </c>
      <c r="K88" s="315">
        <f t="shared" si="52"/>
        <v>0</v>
      </c>
      <c r="L88" s="315">
        <v>0</v>
      </c>
      <c r="M88" s="315">
        <v>0</v>
      </c>
      <c r="N88" s="315">
        <f t="shared" si="53"/>
        <v>0</v>
      </c>
      <c r="O88" s="315">
        <v>0</v>
      </c>
      <c r="P88" s="315">
        <v>0</v>
      </c>
    </row>
    <row r="89" spans="1:16" x14ac:dyDescent="0.2">
      <c r="A89" s="2" t="s">
        <v>1831</v>
      </c>
      <c r="B89" s="315">
        <f t="shared" si="50"/>
        <v>2507</v>
      </c>
      <c r="C89" s="315">
        <v>1524</v>
      </c>
      <c r="D89" s="315">
        <v>983</v>
      </c>
      <c r="E89" s="315">
        <f t="shared" si="51"/>
        <v>2521</v>
      </c>
      <c r="F89" s="315">
        <v>1570</v>
      </c>
      <c r="G89" s="315">
        <v>951</v>
      </c>
      <c r="H89" s="315">
        <f t="shared" si="54"/>
        <v>2185</v>
      </c>
      <c r="I89" s="315">
        <v>1268</v>
      </c>
      <c r="J89" s="315">
        <v>917</v>
      </c>
      <c r="K89" s="315">
        <f t="shared" si="52"/>
        <v>2988</v>
      </c>
      <c r="L89" s="315">
        <v>1766</v>
      </c>
      <c r="M89" s="315">
        <v>1222</v>
      </c>
      <c r="N89" s="315">
        <f t="shared" si="53"/>
        <v>3241</v>
      </c>
      <c r="O89" s="315">
        <v>1881</v>
      </c>
      <c r="P89" s="315">
        <v>1360</v>
      </c>
    </row>
    <row r="90" spans="1:16" x14ac:dyDescent="0.2">
      <c r="A90" s="2" t="s">
        <v>1832</v>
      </c>
      <c r="B90" s="315">
        <f t="shared" si="50"/>
        <v>0</v>
      </c>
      <c r="C90" s="315">
        <v>0</v>
      </c>
      <c r="D90" s="315">
        <v>0</v>
      </c>
      <c r="E90" s="315">
        <f t="shared" si="51"/>
        <v>0</v>
      </c>
      <c r="F90" s="315">
        <v>0</v>
      </c>
      <c r="G90" s="315">
        <v>0</v>
      </c>
      <c r="H90" s="315">
        <f t="shared" si="54"/>
        <v>305</v>
      </c>
      <c r="I90" s="315">
        <v>181</v>
      </c>
      <c r="J90" s="315">
        <v>124</v>
      </c>
      <c r="K90" s="315">
        <f t="shared" si="52"/>
        <v>471</v>
      </c>
      <c r="L90" s="315">
        <v>281</v>
      </c>
      <c r="M90" s="315">
        <v>190</v>
      </c>
      <c r="N90" s="315">
        <f t="shared" si="53"/>
        <v>560</v>
      </c>
      <c r="O90" s="315">
        <v>310</v>
      </c>
      <c r="P90" s="315">
        <v>250</v>
      </c>
    </row>
    <row r="91" spans="1:16" x14ac:dyDescent="0.2">
      <c r="A91" s="2" t="s">
        <v>1833</v>
      </c>
      <c r="B91" s="315">
        <f t="shared" si="50"/>
        <v>0</v>
      </c>
      <c r="C91" s="315">
        <v>0</v>
      </c>
      <c r="D91" s="315">
        <v>0</v>
      </c>
      <c r="E91" s="315">
        <f t="shared" si="51"/>
        <v>0</v>
      </c>
      <c r="F91" s="315">
        <v>0</v>
      </c>
      <c r="G91" s="315">
        <v>0</v>
      </c>
      <c r="H91" s="315">
        <f t="shared" si="54"/>
        <v>2829</v>
      </c>
      <c r="I91" s="315">
        <v>1357</v>
      </c>
      <c r="J91" s="315">
        <v>1472</v>
      </c>
      <c r="K91" s="315">
        <f t="shared" si="52"/>
        <v>1907</v>
      </c>
      <c r="L91" s="315">
        <v>851</v>
      </c>
      <c r="M91" s="315">
        <v>1056</v>
      </c>
      <c r="N91" s="315">
        <f t="shared" si="53"/>
        <v>1855</v>
      </c>
      <c r="O91" s="315">
        <v>793</v>
      </c>
      <c r="P91" s="315">
        <v>1062</v>
      </c>
    </row>
    <row r="92" spans="1:16" x14ac:dyDescent="0.2">
      <c r="A92" s="2" t="s">
        <v>1834</v>
      </c>
      <c r="B92" s="315">
        <f t="shared" si="50"/>
        <v>0</v>
      </c>
      <c r="C92" s="315">
        <v>0</v>
      </c>
      <c r="D92" s="315">
        <v>0</v>
      </c>
      <c r="E92" s="315">
        <f t="shared" si="51"/>
        <v>6272</v>
      </c>
      <c r="F92" s="315">
        <v>2837</v>
      </c>
      <c r="G92" s="315">
        <v>3435</v>
      </c>
      <c r="H92" s="315">
        <f t="shared" si="54"/>
        <v>3994</v>
      </c>
      <c r="I92" s="315">
        <v>1957</v>
      </c>
      <c r="J92" s="315">
        <v>2037</v>
      </c>
      <c r="K92" s="315">
        <f t="shared" si="52"/>
        <v>4273</v>
      </c>
      <c r="L92" s="315">
        <v>2173</v>
      </c>
      <c r="M92" s="315">
        <v>2100</v>
      </c>
      <c r="N92" s="315">
        <f t="shared" si="53"/>
        <v>4685</v>
      </c>
      <c r="O92" s="315">
        <v>2098</v>
      </c>
      <c r="P92" s="315">
        <v>2587</v>
      </c>
    </row>
    <row r="93" spans="1:16" s="24" customFormat="1" x14ac:dyDescent="0.2">
      <c r="A93" s="24" t="s">
        <v>17</v>
      </c>
      <c r="B93" s="622">
        <f>SUM(C93:D93)</f>
        <v>30834</v>
      </c>
      <c r="C93" s="622">
        <f>SUM(C94:C112)</f>
        <v>16383</v>
      </c>
      <c r="D93" s="622">
        <f>SUM(D94:D112)</f>
        <v>14451</v>
      </c>
      <c r="E93" s="622">
        <f>SUM(F93:G93)</f>
        <v>32030</v>
      </c>
      <c r="F93" s="622">
        <f>SUM(F94:F112)</f>
        <v>18044</v>
      </c>
      <c r="G93" s="622">
        <f>SUM(G94:G112)</f>
        <v>13986</v>
      </c>
      <c r="H93" s="622">
        <f>SUM(I93:J93)</f>
        <v>32341</v>
      </c>
      <c r="I93" s="622">
        <f>SUM(I94:I112)</f>
        <v>18757</v>
      </c>
      <c r="J93" s="622">
        <f>SUM(J94:J112)</f>
        <v>13584</v>
      </c>
      <c r="K93" s="622">
        <f>SUM(L93:M93)</f>
        <v>32544</v>
      </c>
      <c r="L93" s="622">
        <f>SUM(L94:L112)</f>
        <v>18632</v>
      </c>
      <c r="M93" s="622">
        <f>SUM(M94:M112)</f>
        <v>13912</v>
      </c>
      <c r="N93" s="622">
        <f>SUM(O93:P93)</f>
        <v>50008</v>
      </c>
      <c r="O93" s="622">
        <f>SUM(O94:O112)</f>
        <v>26568</v>
      </c>
      <c r="P93" s="622">
        <f>SUM(P94:P112)</f>
        <v>23440</v>
      </c>
    </row>
    <row r="94" spans="1:16" x14ac:dyDescent="0.2">
      <c r="A94" s="2" t="s">
        <v>1875</v>
      </c>
      <c r="B94" s="315">
        <f t="shared" si="50"/>
        <v>0</v>
      </c>
      <c r="C94" s="315">
        <v>0</v>
      </c>
      <c r="D94" s="315">
        <v>0</v>
      </c>
      <c r="E94" s="315">
        <f t="shared" si="51"/>
        <v>0</v>
      </c>
      <c r="F94" s="315">
        <v>0</v>
      </c>
      <c r="G94" s="315">
        <v>0</v>
      </c>
      <c r="H94" s="315">
        <f t="shared" si="54"/>
        <v>0</v>
      </c>
      <c r="I94" s="315">
        <v>0</v>
      </c>
      <c r="J94" s="315">
        <v>0</v>
      </c>
      <c r="K94" s="315">
        <f t="shared" si="52"/>
        <v>0</v>
      </c>
      <c r="L94" s="315">
        <v>0</v>
      </c>
      <c r="M94" s="315">
        <v>0</v>
      </c>
      <c r="N94" s="315">
        <f t="shared" si="53"/>
        <v>0</v>
      </c>
      <c r="O94" s="315">
        <v>0</v>
      </c>
      <c r="P94" s="315">
        <v>0</v>
      </c>
    </row>
    <row r="95" spans="1:16" x14ac:dyDescent="0.2">
      <c r="A95" s="2" t="s">
        <v>1876</v>
      </c>
      <c r="B95" s="315">
        <f t="shared" si="50"/>
        <v>0</v>
      </c>
      <c r="C95" s="315">
        <v>0</v>
      </c>
      <c r="D95" s="315">
        <v>0</v>
      </c>
      <c r="E95" s="315">
        <f t="shared" si="51"/>
        <v>0</v>
      </c>
      <c r="F95" s="315">
        <v>0</v>
      </c>
      <c r="G95" s="315">
        <v>0</v>
      </c>
      <c r="H95" s="315">
        <f t="shared" si="54"/>
        <v>0</v>
      </c>
      <c r="I95" s="315">
        <v>0</v>
      </c>
      <c r="J95" s="315">
        <v>0</v>
      </c>
      <c r="K95" s="315">
        <f t="shared" si="52"/>
        <v>0</v>
      </c>
      <c r="L95" s="315">
        <v>0</v>
      </c>
      <c r="M95" s="315">
        <v>0</v>
      </c>
      <c r="N95" s="315">
        <f t="shared" si="53"/>
        <v>0</v>
      </c>
      <c r="O95" s="315">
        <v>0</v>
      </c>
      <c r="P95" s="315">
        <v>0</v>
      </c>
    </row>
    <row r="96" spans="1:16" x14ac:dyDescent="0.2">
      <c r="A96" s="2" t="s">
        <v>1837</v>
      </c>
      <c r="B96" s="315">
        <f t="shared" si="50"/>
        <v>158</v>
      </c>
      <c r="C96" s="315">
        <v>114</v>
      </c>
      <c r="D96" s="315">
        <v>44</v>
      </c>
      <c r="E96" s="315">
        <f t="shared" si="51"/>
        <v>187</v>
      </c>
      <c r="F96" s="315">
        <v>139</v>
      </c>
      <c r="G96" s="315">
        <v>48</v>
      </c>
      <c r="H96" s="315">
        <f t="shared" si="54"/>
        <v>328</v>
      </c>
      <c r="I96" s="315">
        <v>247</v>
      </c>
      <c r="J96" s="315">
        <v>81</v>
      </c>
      <c r="K96" s="315">
        <f t="shared" si="52"/>
        <v>386</v>
      </c>
      <c r="L96" s="315">
        <v>238</v>
      </c>
      <c r="M96" s="315">
        <v>148</v>
      </c>
      <c r="N96" s="315">
        <f t="shared" si="53"/>
        <v>1022</v>
      </c>
      <c r="O96" s="315">
        <v>531</v>
      </c>
      <c r="P96" s="315">
        <v>491</v>
      </c>
    </row>
    <row r="97" spans="1:16" x14ac:dyDescent="0.2">
      <c r="A97" s="2" t="s">
        <v>1838</v>
      </c>
      <c r="B97" s="315">
        <f t="shared" si="50"/>
        <v>10145</v>
      </c>
      <c r="C97" s="315">
        <v>5337</v>
      </c>
      <c r="D97" s="315">
        <v>4808</v>
      </c>
      <c r="E97" s="315">
        <f t="shared" si="51"/>
        <v>10897</v>
      </c>
      <c r="F97" s="315">
        <v>6310</v>
      </c>
      <c r="G97" s="315">
        <v>4587</v>
      </c>
      <c r="H97" s="315">
        <f t="shared" si="54"/>
        <v>12595</v>
      </c>
      <c r="I97" s="315">
        <v>7720</v>
      </c>
      <c r="J97" s="315">
        <v>4875</v>
      </c>
      <c r="K97" s="315">
        <f t="shared" si="52"/>
        <v>11405</v>
      </c>
      <c r="L97" s="315">
        <v>6621</v>
      </c>
      <c r="M97" s="315">
        <v>4784</v>
      </c>
      <c r="N97" s="315">
        <f t="shared" si="53"/>
        <v>16231</v>
      </c>
      <c r="O97" s="315">
        <v>8143</v>
      </c>
      <c r="P97" s="315">
        <v>8088</v>
      </c>
    </row>
    <row r="98" spans="1:16" x14ac:dyDescent="0.2">
      <c r="A98" s="2" t="s">
        <v>1839</v>
      </c>
      <c r="B98" s="315">
        <f t="shared" si="50"/>
        <v>1333</v>
      </c>
      <c r="C98" s="315">
        <v>652</v>
      </c>
      <c r="D98" s="315">
        <v>681</v>
      </c>
      <c r="E98" s="315">
        <f t="shared" si="51"/>
        <v>1241</v>
      </c>
      <c r="F98" s="315">
        <v>810</v>
      </c>
      <c r="G98" s="315">
        <v>431</v>
      </c>
      <c r="H98" s="315">
        <f t="shared" si="54"/>
        <v>1923</v>
      </c>
      <c r="I98" s="315">
        <v>1104</v>
      </c>
      <c r="J98" s="315">
        <v>819</v>
      </c>
      <c r="K98" s="315">
        <f t="shared" si="52"/>
        <v>1575</v>
      </c>
      <c r="L98" s="315">
        <v>949</v>
      </c>
      <c r="M98" s="315">
        <v>626</v>
      </c>
      <c r="N98" s="315">
        <f t="shared" si="53"/>
        <v>2893</v>
      </c>
      <c r="O98" s="315">
        <v>1604</v>
      </c>
      <c r="P98" s="315">
        <v>1289</v>
      </c>
    </row>
    <row r="99" spans="1:16" x14ac:dyDescent="0.2">
      <c r="A99" s="2" t="s">
        <v>1840</v>
      </c>
      <c r="B99" s="315">
        <f t="shared" si="50"/>
        <v>6362</v>
      </c>
      <c r="C99" s="315">
        <v>3493</v>
      </c>
      <c r="D99" s="315">
        <v>2869</v>
      </c>
      <c r="E99" s="315">
        <f t="shared" si="51"/>
        <v>5827</v>
      </c>
      <c r="F99" s="315">
        <v>3299</v>
      </c>
      <c r="G99" s="315">
        <v>2528</v>
      </c>
      <c r="H99" s="315">
        <f t="shared" si="54"/>
        <v>8382</v>
      </c>
      <c r="I99" s="315">
        <v>4689</v>
      </c>
      <c r="J99" s="315">
        <v>3693</v>
      </c>
      <c r="K99" s="315">
        <f t="shared" si="52"/>
        <v>8071</v>
      </c>
      <c r="L99" s="315">
        <v>4845</v>
      </c>
      <c r="M99" s="315">
        <v>3226</v>
      </c>
      <c r="N99" s="315">
        <f t="shared" si="53"/>
        <v>13966</v>
      </c>
      <c r="O99" s="315">
        <v>8009</v>
      </c>
      <c r="P99" s="315">
        <v>5957</v>
      </c>
    </row>
    <row r="100" spans="1:16" x14ac:dyDescent="0.2">
      <c r="A100" s="2" t="s">
        <v>1841</v>
      </c>
      <c r="B100" s="315">
        <f t="shared" si="50"/>
        <v>0</v>
      </c>
      <c r="C100" s="315">
        <v>0</v>
      </c>
      <c r="D100" s="315">
        <v>0</v>
      </c>
      <c r="E100" s="315">
        <f t="shared" si="51"/>
        <v>0</v>
      </c>
      <c r="F100" s="315">
        <v>0</v>
      </c>
      <c r="G100" s="315">
        <v>0</v>
      </c>
      <c r="H100" s="315">
        <f t="shared" si="54"/>
        <v>0</v>
      </c>
      <c r="I100" s="315">
        <v>0</v>
      </c>
      <c r="J100" s="315">
        <v>0</v>
      </c>
      <c r="K100" s="315">
        <f t="shared" si="52"/>
        <v>0</v>
      </c>
      <c r="L100" s="315">
        <v>0</v>
      </c>
      <c r="M100" s="315">
        <v>0</v>
      </c>
      <c r="N100" s="315">
        <f t="shared" si="53"/>
        <v>0</v>
      </c>
      <c r="O100" s="315">
        <v>0</v>
      </c>
      <c r="P100" s="315">
        <v>0</v>
      </c>
    </row>
    <row r="101" spans="1:16" x14ac:dyDescent="0.2">
      <c r="A101" s="2" t="s">
        <v>1842</v>
      </c>
      <c r="B101" s="315">
        <f t="shared" si="50"/>
        <v>0</v>
      </c>
      <c r="C101" s="315">
        <v>0</v>
      </c>
      <c r="D101" s="315">
        <v>0</v>
      </c>
      <c r="E101" s="315">
        <f t="shared" si="51"/>
        <v>0</v>
      </c>
      <c r="F101" s="315">
        <v>0</v>
      </c>
      <c r="G101" s="315">
        <v>0</v>
      </c>
      <c r="H101" s="315">
        <f t="shared" si="54"/>
        <v>0</v>
      </c>
      <c r="I101" s="315">
        <v>0</v>
      </c>
      <c r="J101" s="315">
        <v>0</v>
      </c>
      <c r="K101" s="315">
        <f t="shared" si="52"/>
        <v>0</v>
      </c>
      <c r="L101" s="315">
        <v>0</v>
      </c>
      <c r="M101" s="315">
        <v>0</v>
      </c>
      <c r="N101" s="315">
        <f t="shared" si="53"/>
        <v>0</v>
      </c>
      <c r="O101" s="315">
        <v>0</v>
      </c>
      <c r="P101" s="315">
        <v>0</v>
      </c>
    </row>
    <row r="102" spans="1:16" x14ac:dyDescent="0.2">
      <c r="A102" s="2" t="s">
        <v>1843</v>
      </c>
      <c r="B102" s="315">
        <f t="shared" si="50"/>
        <v>1237</v>
      </c>
      <c r="C102" s="315">
        <v>603</v>
      </c>
      <c r="D102" s="315">
        <v>634</v>
      </c>
      <c r="E102" s="315">
        <f t="shared" si="51"/>
        <v>1788</v>
      </c>
      <c r="F102" s="315">
        <v>968</v>
      </c>
      <c r="G102" s="315">
        <v>820</v>
      </c>
      <c r="H102" s="315">
        <f t="shared" si="54"/>
        <v>1964</v>
      </c>
      <c r="I102" s="315">
        <v>1180</v>
      </c>
      <c r="J102" s="315">
        <v>784</v>
      </c>
      <c r="K102" s="315">
        <f t="shared" si="52"/>
        <v>1788</v>
      </c>
      <c r="L102" s="315">
        <v>1000</v>
      </c>
      <c r="M102" s="315">
        <v>788</v>
      </c>
      <c r="N102" s="315">
        <f t="shared" si="53"/>
        <v>1251</v>
      </c>
      <c r="O102" s="315">
        <v>688</v>
      </c>
      <c r="P102" s="315">
        <v>563</v>
      </c>
    </row>
    <row r="103" spans="1:16" x14ac:dyDescent="0.2">
      <c r="A103" s="2" t="s">
        <v>1844</v>
      </c>
      <c r="B103" s="315">
        <f t="shared" si="50"/>
        <v>290</v>
      </c>
      <c r="C103" s="315">
        <v>158</v>
      </c>
      <c r="D103" s="315">
        <v>132</v>
      </c>
      <c r="E103" s="315">
        <f t="shared" si="51"/>
        <v>256</v>
      </c>
      <c r="F103" s="315">
        <v>154</v>
      </c>
      <c r="G103" s="315">
        <v>102</v>
      </c>
      <c r="H103" s="315">
        <f t="shared" si="54"/>
        <v>515</v>
      </c>
      <c r="I103" s="315">
        <v>312</v>
      </c>
      <c r="J103" s="315">
        <v>203</v>
      </c>
      <c r="K103" s="315">
        <f t="shared" si="52"/>
        <v>680</v>
      </c>
      <c r="L103" s="315">
        <v>394</v>
      </c>
      <c r="M103" s="315">
        <v>286</v>
      </c>
      <c r="N103" s="315">
        <f t="shared" si="53"/>
        <v>1500</v>
      </c>
      <c r="O103" s="315">
        <v>799</v>
      </c>
      <c r="P103" s="315">
        <v>701</v>
      </c>
    </row>
    <row r="104" spans="1:16" x14ac:dyDescent="0.2">
      <c r="A104" s="2" t="s">
        <v>1845</v>
      </c>
      <c r="B104" s="315">
        <f t="shared" si="50"/>
        <v>0</v>
      </c>
      <c r="C104" s="315">
        <v>0</v>
      </c>
      <c r="D104" s="315">
        <v>0</v>
      </c>
      <c r="E104" s="315">
        <f t="shared" si="51"/>
        <v>0</v>
      </c>
      <c r="F104" s="315">
        <v>0</v>
      </c>
      <c r="G104" s="315">
        <v>0</v>
      </c>
      <c r="H104" s="315">
        <f t="shared" si="54"/>
        <v>0</v>
      </c>
      <c r="I104" s="315">
        <v>0</v>
      </c>
      <c r="J104" s="315">
        <v>0</v>
      </c>
      <c r="K104" s="315">
        <f t="shared" si="52"/>
        <v>0</v>
      </c>
      <c r="L104" s="315">
        <v>0</v>
      </c>
      <c r="M104" s="315">
        <v>0</v>
      </c>
      <c r="N104" s="315">
        <f t="shared" si="53"/>
        <v>0</v>
      </c>
      <c r="O104" s="315">
        <v>0</v>
      </c>
      <c r="P104" s="315">
        <v>0</v>
      </c>
    </row>
    <row r="105" spans="1:16" x14ac:dyDescent="0.2">
      <c r="A105" s="2" t="s">
        <v>1846</v>
      </c>
      <c r="B105" s="315">
        <f t="shared" si="50"/>
        <v>0</v>
      </c>
      <c r="C105" s="315">
        <v>0</v>
      </c>
      <c r="D105" s="315">
        <v>0</v>
      </c>
      <c r="E105" s="315">
        <f t="shared" si="51"/>
        <v>0</v>
      </c>
      <c r="F105" s="315">
        <v>0</v>
      </c>
      <c r="G105" s="315">
        <v>0</v>
      </c>
      <c r="H105" s="315">
        <f t="shared" si="54"/>
        <v>0</v>
      </c>
      <c r="I105" s="315">
        <v>0</v>
      </c>
      <c r="J105" s="315">
        <v>0</v>
      </c>
      <c r="K105" s="315">
        <f t="shared" si="52"/>
        <v>0</v>
      </c>
      <c r="L105" s="315">
        <v>0</v>
      </c>
      <c r="M105" s="315">
        <v>0</v>
      </c>
      <c r="N105" s="315">
        <f t="shared" si="53"/>
        <v>0</v>
      </c>
      <c r="O105" s="315">
        <v>0</v>
      </c>
      <c r="P105" s="315">
        <v>0</v>
      </c>
    </row>
    <row r="106" spans="1:16" x14ac:dyDescent="0.2">
      <c r="A106" s="2" t="s">
        <v>1847</v>
      </c>
      <c r="B106" s="315">
        <f t="shared" si="50"/>
        <v>0</v>
      </c>
      <c r="C106" s="315">
        <v>0</v>
      </c>
      <c r="D106" s="315">
        <v>0</v>
      </c>
      <c r="E106" s="315">
        <f t="shared" si="51"/>
        <v>0</v>
      </c>
      <c r="F106" s="315">
        <v>0</v>
      </c>
      <c r="G106" s="315">
        <v>0</v>
      </c>
      <c r="H106" s="315">
        <f t="shared" si="54"/>
        <v>0</v>
      </c>
      <c r="I106" s="315">
        <v>0</v>
      </c>
      <c r="J106" s="315">
        <v>0</v>
      </c>
      <c r="K106" s="315">
        <f t="shared" si="52"/>
        <v>0</v>
      </c>
      <c r="L106" s="315">
        <v>0</v>
      </c>
      <c r="M106" s="315">
        <v>0</v>
      </c>
      <c r="N106" s="315">
        <f t="shared" si="53"/>
        <v>0</v>
      </c>
      <c r="O106" s="315">
        <v>0</v>
      </c>
      <c r="P106" s="315">
        <v>0</v>
      </c>
    </row>
    <row r="107" spans="1:16" x14ac:dyDescent="0.2">
      <c r="A107" s="2" t="s">
        <v>1848</v>
      </c>
      <c r="B107" s="315">
        <f t="shared" si="50"/>
        <v>0</v>
      </c>
      <c r="C107" s="315">
        <v>0</v>
      </c>
      <c r="D107" s="315">
        <v>0</v>
      </c>
      <c r="E107" s="315">
        <f t="shared" si="51"/>
        <v>0</v>
      </c>
      <c r="F107" s="315">
        <v>0</v>
      </c>
      <c r="G107" s="315">
        <v>0</v>
      </c>
      <c r="H107" s="315">
        <f t="shared" si="54"/>
        <v>0</v>
      </c>
      <c r="I107" s="315">
        <v>0</v>
      </c>
      <c r="J107" s="315">
        <v>0</v>
      </c>
      <c r="K107" s="315">
        <f t="shared" si="52"/>
        <v>0</v>
      </c>
      <c r="L107" s="315">
        <v>0</v>
      </c>
      <c r="M107" s="315">
        <v>0</v>
      </c>
      <c r="N107" s="315">
        <f t="shared" si="53"/>
        <v>0</v>
      </c>
      <c r="O107" s="315">
        <v>0</v>
      </c>
      <c r="P107" s="315">
        <v>0</v>
      </c>
    </row>
    <row r="108" spans="1:16" x14ac:dyDescent="0.2">
      <c r="A108" s="2" t="s">
        <v>1849</v>
      </c>
      <c r="B108" s="315">
        <f t="shared" si="50"/>
        <v>9124</v>
      </c>
      <c r="C108" s="315">
        <v>4665</v>
      </c>
      <c r="D108" s="315">
        <v>4459</v>
      </c>
      <c r="E108" s="315">
        <f t="shared" si="51"/>
        <v>9242</v>
      </c>
      <c r="F108" s="315">
        <v>4950</v>
      </c>
      <c r="G108" s="315">
        <v>4292</v>
      </c>
      <c r="H108" s="315">
        <f t="shared" si="54"/>
        <v>4281</v>
      </c>
      <c r="I108" s="315">
        <v>2252</v>
      </c>
      <c r="J108" s="315">
        <v>2029</v>
      </c>
      <c r="K108" s="315">
        <f t="shared" si="52"/>
        <v>6706</v>
      </c>
      <c r="L108" s="315">
        <v>3487</v>
      </c>
      <c r="M108" s="315">
        <v>3219</v>
      </c>
      <c r="N108" s="315">
        <f t="shared" si="53"/>
        <v>11463</v>
      </c>
      <c r="O108" s="315">
        <v>5901</v>
      </c>
      <c r="P108" s="315">
        <v>5562</v>
      </c>
    </row>
    <row r="109" spans="1:16" ht="12" x14ac:dyDescent="0.2">
      <c r="A109" s="2" t="s">
        <v>1850</v>
      </c>
      <c r="B109" s="315">
        <f t="shared" si="50"/>
        <v>1175</v>
      </c>
      <c r="C109" s="315">
        <v>784</v>
      </c>
      <c r="D109" s="315">
        <v>391</v>
      </c>
      <c r="E109" s="315">
        <f t="shared" si="51"/>
        <v>0</v>
      </c>
      <c r="F109" s="315">
        <v>0</v>
      </c>
      <c r="G109" s="315">
        <v>0</v>
      </c>
      <c r="H109" s="315">
        <f t="shared" si="54"/>
        <v>1043</v>
      </c>
      <c r="I109" s="315">
        <v>575</v>
      </c>
      <c r="J109" s="315">
        <v>468</v>
      </c>
      <c r="K109" s="315">
        <f t="shared" si="52"/>
        <v>711</v>
      </c>
      <c r="L109" s="315">
        <v>415</v>
      </c>
      <c r="M109" s="315">
        <v>296</v>
      </c>
      <c r="N109" s="315">
        <f t="shared" si="53"/>
        <v>0</v>
      </c>
      <c r="O109" s="315">
        <v>0</v>
      </c>
      <c r="P109" s="315">
        <v>0</v>
      </c>
    </row>
    <row r="110" spans="1:16" x14ac:dyDescent="0.2">
      <c r="A110" s="2" t="s">
        <v>1851</v>
      </c>
      <c r="B110" s="315">
        <f t="shared" si="50"/>
        <v>722</v>
      </c>
      <c r="C110" s="315">
        <v>434</v>
      </c>
      <c r="D110" s="315">
        <v>288</v>
      </c>
      <c r="E110" s="315">
        <f t="shared" si="51"/>
        <v>1271</v>
      </c>
      <c r="F110" s="315">
        <v>731</v>
      </c>
      <c r="G110" s="315">
        <v>540</v>
      </c>
      <c r="H110" s="315">
        <f t="shared" si="54"/>
        <v>1147</v>
      </c>
      <c r="I110" s="315">
        <v>575</v>
      </c>
      <c r="J110" s="315">
        <v>572</v>
      </c>
      <c r="K110" s="315">
        <f t="shared" si="52"/>
        <v>1079</v>
      </c>
      <c r="L110" s="315">
        <v>597</v>
      </c>
      <c r="M110" s="315">
        <v>482</v>
      </c>
      <c r="N110" s="315">
        <f t="shared" si="53"/>
        <v>1403</v>
      </c>
      <c r="O110" s="315">
        <v>705</v>
      </c>
      <c r="P110" s="315">
        <v>698</v>
      </c>
    </row>
    <row r="111" spans="1:16" x14ac:dyDescent="0.2">
      <c r="A111" s="2" t="s">
        <v>1852</v>
      </c>
      <c r="B111" s="315">
        <f t="shared" si="50"/>
        <v>0</v>
      </c>
      <c r="C111" s="315">
        <v>0</v>
      </c>
      <c r="D111" s="315">
        <v>0</v>
      </c>
      <c r="E111" s="315">
        <f t="shared" si="51"/>
        <v>1019</v>
      </c>
      <c r="F111" s="315">
        <v>520</v>
      </c>
      <c r="G111" s="315">
        <v>499</v>
      </c>
      <c r="H111" s="315">
        <f t="shared" si="54"/>
        <v>0</v>
      </c>
      <c r="I111" s="315">
        <v>0</v>
      </c>
      <c r="J111" s="315">
        <v>0</v>
      </c>
      <c r="K111" s="315">
        <f t="shared" si="52"/>
        <v>0</v>
      </c>
      <c r="L111" s="315">
        <v>0</v>
      </c>
      <c r="M111" s="315">
        <v>0</v>
      </c>
      <c r="N111" s="315">
        <f t="shared" si="53"/>
        <v>0</v>
      </c>
      <c r="O111" s="315">
        <v>0</v>
      </c>
      <c r="P111" s="315">
        <v>0</v>
      </c>
    </row>
    <row r="112" spans="1:16" ht="12" x14ac:dyDescent="0.2">
      <c r="A112" s="2" t="s">
        <v>1853</v>
      </c>
      <c r="B112" s="315">
        <f t="shared" si="50"/>
        <v>288</v>
      </c>
      <c r="C112" s="315">
        <v>143</v>
      </c>
      <c r="D112" s="315">
        <v>145</v>
      </c>
      <c r="E112" s="315">
        <f t="shared" si="51"/>
        <v>302</v>
      </c>
      <c r="F112" s="315">
        <v>163</v>
      </c>
      <c r="G112" s="315">
        <v>139</v>
      </c>
      <c r="H112" s="315">
        <f t="shared" si="54"/>
        <v>163</v>
      </c>
      <c r="I112" s="315">
        <v>103</v>
      </c>
      <c r="J112" s="315">
        <v>60</v>
      </c>
      <c r="K112" s="315">
        <f t="shared" si="52"/>
        <v>143</v>
      </c>
      <c r="L112" s="315">
        <v>86</v>
      </c>
      <c r="M112" s="315">
        <v>57</v>
      </c>
      <c r="N112" s="315">
        <f t="shared" si="53"/>
        <v>279</v>
      </c>
      <c r="O112" s="315">
        <v>188</v>
      </c>
      <c r="P112" s="315">
        <v>91</v>
      </c>
    </row>
    <row r="113" spans="1:16" s="24" customFormat="1" x14ac:dyDescent="0.2">
      <c r="A113" s="24" t="s">
        <v>18</v>
      </c>
      <c r="B113" s="622">
        <f>SUM(C113:D113)</f>
        <v>284476</v>
      </c>
      <c r="C113" s="622">
        <f>SUM(C114:C124)</f>
        <v>145818</v>
      </c>
      <c r="D113" s="622">
        <f>SUM(D114:D124)</f>
        <v>138658</v>
      </c>
      <c r="E113" s="622">
        <f>SUM(F113:G113)</f>
        <v>283629</v>
      </c>
      <c r="F113" s="622">
        <f>SUM(F114:F124)</f>
        <v>143754</v>
      </c>
      <c r="G113" s="622">
        <f>SUM(G114:G124)</f>
        <v>139875</v>
      </c>
      <c r="H113" s="622">
        <f>SUM(I113:J113)</f>
        <v>289370</v>
      </c>
      <c r="I113" s="622">
        <f>SUM(I114:I124)</f>
        <v>147454</v>
      </c>
      <c r="J113" s="622">
        <f>SUM(J114:J124)</f>
        <v>141916</v>
      </c>
      <c r="K113" s="622">
        <f>SUM(L113:M113)</f>
        <v>302275</v>
      </c>
      <c r="L113" s="622">
        <f>SUM(L114:L124)</f>
        <v>152986</v>
      </c>
      <c r="M113" s="622">
        <f>SUM(M114:M124)</f>
        <v>149289</v>
      </c>
      <c r="N113" s="622">
        <f>SUM(O113:P113)</f>
        <v>338558</v>
      </c>
      <c r="O113" s="622">
        <f>SUM(O114:O124)</f>
        <v>170367</v>
      </c>
      <c r="P113" s="622">
        <f>SUM(P114:P124)</f>
        <v>168191</v>
      </c>
    </row>
    <row r="114" spans="1:16" x14ac:dyDescent="0.2">
      <c r="A114" s="2" t="s">
        <v>1854</v>
      </c>
      <c r="B114" s="315">
        <f t="shared" si="50"/>
        <v>15682</v>
      </c>
      <c r="C114" s="315">
        <v>7898</v>
      </c>
      <c r="D114" s="315">
        <v>7784</v>
      </c>
      <c r="E114" s="315">
        <f t="shared" si="51"/>
        <v>13315</v>
      </c>
      <c r="F114" s="315">
        <v>6875</v>
      </c>
      <c r="G114" s="315">
        <v>6440</v>
      </c>
      <c r="H114" s="315">
        <f t="shared" si="54"/>
        <v>15666</v>
      </c>
      <c r="I114" s="315">
        <v>8045</v>
      </c>
      <c r="J114" s="315">
        <v>7621</v>
      </c>
      <c r="K114" s="315">
        <f t="shared" si="52"/>
        <v>22264</v>
      </c>
      <c r="L114" s="315">
        <v>11560</v>
      </c>
      <c r="M114" s="315">
        <v>10704</v>
      </c>
      <c r="N114" s="315">
        <f t="shared" si="53"/>
        <v>22732</v>
      </c>
      <c r="O114" s="315">
        <v>11948</v>
      </c>
      <c r="P114" s="315">
        <v>10784</v>
      </c>
    </row>
    <row r="115" spans="1:16" x14ac:dyDescent="0.2">
      <c r="A115" s="2" t="s">
        <v>1855</v>
      </c>
      <c r="B115" s="315">
        <f t="shared" si="50"/>
        <v>0</v>
      </c>
      <c r="C115" s="315">
        <v>0</v>
      </c>
      <c r="D115" s="315">
        <v>0</v>
      </c>
      <c r="E115" s="315">
        <f t="shared" si="51"/>
        <v>0</v>
      </c>
      <c r="F115" s="315">
        <v>0</v>
      </c>
      <c r="G115" s="315">
        <v>0</v>
      </c>
      <c r="H115" s="315">
        <f t="shared" si="54"/>
        <v>0</v>
      </c>
      <c r="I115" s="315">
        <v>0</v>
      </c>
      <c r="J115" s="315">
        <v>0</v>
      </c>
      <c r="K115" s="315">
        <f t="shared" si="52"/>
        <v>0</v>
      </c>
      <c r="L115" s="315">
        <v>0</v>
      </c>
      <c r="M115" s="315">
        <v>0</v>
      </c>
      <c r="N115" s="315">
        <f t="shared" si="53"/>
        <v>0</v>
      </c>
      <c r="O115" s="315">
        <v>0</v>
      </c>
      <c r="P115" s="315">
        <v>0</v>
      </c>
    </row>
    <row r="116" spans="1:16" x14ac:dyDescent="0.2">
      <c r="A116" s="2" t="s">
        <v>1856</v>
      </c>
      <c r="B116" s="315">
        <f t="shared" si="50"/>
        <v>11375</v>
      </c>
      <c r="C116" s="315">
        <v>5647</v>
      </c>
      <c r="D116" s="315">
        <v>5728</v>
      </c>
      <c r="E116" s="315">
        <f t="shared" si="51"/>
        <v>10327</v>
      </c>
      <c r="F116" s="315">
        <v>5205</v>
      </c>
      <c r="G116" s="315">
        <v>5122</v>
      </c>
      <c r="H116" s="315">
        <f t="shared" si="54"/>
        <v>5728</v>
      </c>
      <c r="I116" s="315">
        <v>2931</v>
      </c>
      <c r="J116" s="315">
        <v>2797</v>
      </c>
      <c r="K116" s="315">
        <f t="shared" si="52"/>
        <v>6605</v>
      </c>
      <c r="L116" s="315">
        <v>3365</v>
      </c>
      <c r="M116" s="315">
        <v>3240</v>
      </c>
      <c r="N116" s="315">
        <f t="shared" si="53"/>
        <v>10159</v>
      </c>
      <c r="O116" s="315">
        <v>5121</v>
      </c>
      <c r="P116" s="315">
        <v>5038</v>
      </c>
    </row>
    <row r="117" spans="1:16" x14ac:dyDescent="0.2">
      <c r="A117" s="2" t="s">
        <v>1857</v>
      </c>
      <c r="B117" s="315">
        <f t="shared" si="50"/>
        <v>1499</v>
      </c>
      <c r="C117" s="315">
        <v>818</v>
      </c>
      <c r="D117" s="315">
        <v>681</v>
      </c>
      <c r="E117" s="315">
        <f t="shared" si="51"/>
        <v>2031</v>
      </c>
      <c r="F117" s="315">
        <v>1112</v>
      </c>
      <c r="G117" s="315">
        <v>919</v>
      </c>
      <c r="H117" s="315">
        <f t="shared" si="54"/>
        <v>1604</v>
      </c>
      <c r="I117" s="315">
        <v>923</v>
      </c>
      <c r="J117" s="315">
        <v>681</v>
      </c>
      <c r="K117" s="315">
        <f t="shared" si="52"/>
        <v>1495</v>
      </c>
      <c r="L117" s="315">
        <v>795</v>
      </c>
      <c r="M117" s="315">
        <v>700</v>
      </c>
      <c r="N117" s="315">
        <f t="shared" si="53"/>
        <v>1827</v>
      </c>
      <c r="O117" s="315">
        <v>957</v>
      </c>
      <c r="P117" s="315">
        <v>870</v>
      </c>
    </row>
    <row r="118" spans="1:16" x14ac:dyDescent="0.2">
      <c r="A118" s="2" t="s">
        <v>1858</v>
      </c>
      <c r="B118" s="315">
        <f t="shared" si="50"/>
        <v>140714</v>
      </c>
      <c r="C118" s="315">
        <v>73272</v>
      </c>
      <c r="D118" s="315">
        <v>67442</v>
      </c>
      <c r="E118" s="315">
        <f t="shared" si="51"/>
        <v>144109</v>
      </c>
      <c r="F118" s="315">
        <v>73306</v>
      </c>
      <c r="G118" s="315">
        <v>70803</v>
      </c>
      <c r="H118" s="315">
        <f t="shared" si="54"/>
        <v>145148</v>
      </c>
      <c r="I118" s="315">
        <v>74987</v>
      </c>
      <c r="J118" s="315">
        <v>70161</v>
      </c>
      <c r="K118" s="315">
        <f t="shared" si="52"/>
        <v>143253</v>
      </c>
      <c r="L118" s="315">
        <v>74150</v>
      </c>
      <c r="M118" s="315">
        <v>69103</v>
      </c>
      <c r="N118" s="315">
        <f t="shared" si="53"/>
        <v>170032</v>
      </c>
      <c r="O118" s="315">
        <v>86285</v>
      </c>
      <c r="P118" s="315">
        <v>83747</v>
      </c>
    </row>
    <row r="119" spans="1:16" x14ac:dyDescent="0.2">
      <c r="A119" s="2" t="s">
        <v>1859</v>
      </c>
      <c r="B119" s="315">
        <f t="shared" si="50"/>
        <v>1105</v>
      </c>
      <c r="C119" s="315">
        <v>522</v>
      </c>
      <c r="D119" s="315">
        <v>583</v>
      </c>
      <c r="E119" s="315">
        <f t="shared" si="51"/>
        <v>682</v>
      </c>
      <c r="F119" s="315">
        <v>344</v>
      </c>
      <c r="G119" s="315">
        <v>338</v>
      </c>
      <c r="H119" s="315">
        <f t="shared" si="54"/>
        <v>636</v>
      </c>
      <c r="I119" s="315">
        <v>310</v>
      </c>
      <c r="J119" s="315">
        <v>326</v>
      </c>
      <c r="K119" s="315">
        <f t="shared" si="52"/>
        <v>780</v>
      </c>
      <c r="L119" s="315">
        <v>370</v>
      </c>
      <c r="M119" s="315">
        <v>410</v>
      </c>
      <c r="N119" s="315">
        <f t="shared" si="53"/>
        <v>959</v>
      </c>
      <c r="O119" s="315">
        <v>440</v>
      </c>
      <c r="P119" s="315">
        <v>519</v>
      </c>
    </row>
    <row r="120" spans="1:16" x14ac:dyDescent="0.2">
      <c r="A120" s="2" t="s">
        <v>1860</v>
      </c>
      <c r="B120" s="315">
        <f t="shared" si="50"/>
        <v>7191</v>
      </c>
      <c r="C120" s="315">
        <v>4259</v>
      </c>
      <c r="D120" s="315">
        <v>2932</v>
      </c>
      <c r="E120" s="315">
        <f t="shared" si="51"/>
        <v>7401</v>
      </c>
      <c r="F120" s="315">
        <v>4007</v>
      </c>
      <c r="G120" s="315">
        <v>3394</v>
      </c>
      <c r="H120" s="315">
        <f t="shared" si="54"/>
        <v>7841</v>
      </c>
      <c r="I120" s="315">
        <v>4451</v>
      </c>
      <c r="J120" s="315">
        <v>3390</v>
      </c>
      <c r="K120" s="315">
        <f t="shared" si="52"/>
        <v>7509</v>
      </c>
      <c r="L120" s="315">
        <v>4488</v>
      </c>
      <c r="M120" s="315">
        <v>3021</v>
      </c>
      <c r="N120" s="315">
        <f t="shared" si="53"/>
        <v>7484</v>
      </c>
      <c r="O120" s="315">
        <v>4363</v>
      </c>
      <c r="P120" s="315">
        <v>3121</v>
      </c>
    </row>
    <row r="121" spans="1:16" x14ac:dyDescent="0.2">
      <c r="A121" s="2" t="s">
        <v>1861</v>
      </c>
      <c r="B121" s="315">
        <f t="shared" si="50"/>
        <v>11563</v>
      </c>
      <c r="C121" s="315">
        <v>6346</v>
      </c>
      <c r="D121" s="315">
        <v>5217</v>
      </c>
      <c r="E121" s="315">
        <f t="shared" si="51"/>
        <v>12402</v>
      </c>
      <c r="F121" s="315">
        <v>6673</v>
      </c>
      <c r="G121" s="315">
        <v>5729</v>
      </c>
      <c r="H121" s="315">
        <f t="shared" si="54"/>
        <v>14281</v>
      </c>
      <c r="I121" s="315">
        <v>7597</v>
      </c>
      <c r="J121" s="315">
        <v>6684</v>
      </c>
      <c r="K121" s="315">
        <f t="shared" si="52"/>
        <v>13285</v>
      </c>
      <c r="L121" s="315">
        <v>7107</v>
      </c>
      <c r="M121" s="315">
        <v>6178</v>
      </c>
      <c r="N121" s="315">
        <f t="shared" si="53"/>
        <v>11065</v>
      </c>
      <c r="O121" s="315">
        <v>5935</v>
      </c>
      <c r="P121" s="315">
        <v>5130</v>
      </c>
    </row>
    <row r="122" spans="1:16" x14ac:dyDescent="0.2">
      <c r="A122" s="2" t="s">
        <v>1862</v>
      </c>
      <c r="B122" s="315">
        <f t="shared" si="50"/>
        <v>23608</v>
      </c>
      <c r="C122" s="315">
        <v>12035</v>
      </c>
      <c r="D122" s="315">
        <v>11573</v>
      </c>
      <c r="E122" s="315">
        <f t="shared" si="51"/>
        <v>21128</v>
      </c>
      <c r="F122" s="315">
        <v>10679</v>
      </c>
      <c r="G122" s="315">
        <v>10449</v>
      </c>
      <c r="H122" s="315">
        <f t="shared" si="54"/>
        <v>20013</v>
      </c>
      <c r="I122" s="315">
        <v>10045</v>
      </c>
      <c r="J122" s="315">
        <v>9968</v>
      </c>
      <c r="K122" s="315">
        <f t="shared" si="52"/>
        <v>22203</v>
      </c>
      <c r="L122" s="315">
        <v>11005</v>
      </c>
      <c r="M122" s="315">
        <v>11198</v>
      </c>
      <c r="N122" s="315">
        <f t="shared" si="53"/>
        <v>24225</v>
      </c>
      <c r="O122" s="315">
        <v>11671</v>
      </c>
      <c r="P122" s="315">
        <v>12554</v>
      </c>
    </row>
    <row r="123" spans="1:16" x14ac:dyDescent="0.2">
      <c r="A123" s="2" t="s">
        <v>1880</v>
      </c>
      <c r="B123" s="315">
        <f t="shared" si="50"/>
        <v>0</v>
      </c>
      <c r="C123" s="315">
        <v>0</v>
      </c>
      <c r="D123" s="315">
        <v>0</v>
      </c>
      <c r="E123" s="315">
        <f t="shared" si="51"/>
        <v>0</v>
      </c>
      <c r="F123" s="315">
        <v>0</v>
      </c>
      <c r="G123" s="315">
        <v>0</v>
      </c>
      <c r="H123" s="315">
        <f t="shared" si="54"/>
        <v>0</v>
      </c>
      <c r="I123" s="315">
        <v>0</v>
      </c>
      <c r="J123" s="315">
        <v>0</v>
      </c>
      <c r="K123" s="315">
        <f t="shared" si="52"/>
        <v>0</v>
      </c>
      <c r="L123" s="315">
        <v>0</v>
      </c>
      <c r="M123" s="315">
        <v>0</v>
      </c>
      <c r="N123" s="315">
        <f t="shared" si="53"/>
        <v>0</v>
      </c>
      <c r="O123" s="315">
        <v>0</v>
      </c>
      <c r="P123" s="315">
        <v>0</v>
      </c>
    </row>
    <row r="124" spans="1:16" x14ac:dyDescent="0.2">
      <c r="A124" s="2" t="s">
        <v>1864</v>
      </c>
      <c r="B124" s="315">
        <f t="shared" si="50"/>
        <v>71739</v>
      </c>
      <c r="C124" s="315">
        <v>35021</v>
      </c>
      <c r="D124" s="315">
        <v>36718</v>
      </c>
      <c r="E124" s="315">
        <f t="shared" si="51"/>
        <v>72234</v>
      </c>
      <c r="F124" s="315">
        <v>35553</v>
      </c>
      <c r="G124" s="315">
        <v>36681</v>
      </c>
      <c r="H124" s="315">
        <f t="shared" si="54"/>
        <v>78453</v>
      </c>
      <c r="I124" s="315">
        <v>38165</v>
      </c>
      <c r="J124" s="315">
        <v>40288</v>
      </c>
      <c r="K124" s="315">
        <f t="shared" si="52"/>
        <v>84881</v>
      </c>
      <c r="L124" s="315">
        <v>40146</v>
      </c>
      <c r="M124" s="315">
        <v>44735</v>
      </c>
      <c r="N124" s="315">
        <f t="shared" si="53"/>
        <v>90075</v>
      </c>
      <c r="O124" s="315">
        <v>43647</v>
      </c>
      <c r="P124" s="315">
        <v>46428</v>
      </c>
    </row>
    <row r="126" spans="1:16" x14ac:dyDescent="0.2">
      <c r="A126" s="651" t="s">
        <v>1881</v>
      </c>
    </row>
    <row r="127" spans="1:16" ht="14.25" customHeight="1" x14ac:dyDescent="0.2">
      <c r="A127" s="651" t="s">
        <v>1878</v>
      </c>
    </row>
    <row r="128" spans="1:16" x14ac:dyDescent="0.2">
      <c r="A128" s="2" t="s">
        <v>197</v>
      </c>
    </row>
    <row r="129" spans="1:1" x14ac:dyDescent="0.2">
      <c r="A129" s="2" t="s">
        <v>1412</v>
      </c>
    </row>
  </sheetData>
  <mergeCells count="6">
    <mergeCell ref="A4:A5"/>
    <mergeCell ref="B4:D4"/>
    <mergeCell ref="E4:G4"/>
    <mergeCell ref="H4:J4"/>
    <mergeCell ref="K4:M4"/>
    <mergeCell ref="N4:P4"/>
  </mergeCells>
  <pageMargins left="0.70866141732283472" right="0.70866141732283472" top="0.74803149606299213" bottom="0.74803149606299213" header="0.31496062992125984" footer="0.31496062992125984"/>
  <pageSetup paperSize="14" scale="70" orientation="landscape"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613254-AA6E-4C77-88B2-FE2CE196695C}">
  <sheetPr codeName="Hoja112"/>
  <dimension ref="A2:U129"/>
  <sheetViews>
    <sheetView zoomScale="110" zoomScaleNormal="110" workbookViewId="0">
      <selection activeCell="D4" sqref="D4"/>
    </sheetView>
  </sheetViews>
  <sheetFormatPr baseColWidth="10" defaultColWidth="11.44140625" defaultRowHeight="10.199999999999999" x14ac:dyDescent="0.2"/>
  <cols>
    <col min="1" max="1" width="35.109375" style="2" customWidth="1"/>
    <col min="2" max="2" width="12" style="2" bestFit="1" customWidth="1"/>
    <col min="3" max="3" width="10.33203125" style="2" customWidth="1"/>
    <col min="4" max="4" width="12" style="2" bestFit="1" customWidth="1"/>
    <col min="5" max="5" width="10.5546875" style="2" bestFit="1" customWidth="1"/>
    <col min="6" max="6" width="12" style="2" bestFit="1" customWidth="1"/>
    <col min="7" max="7" width="10.33203125" style="2" bestFit="1" customWidth="1"/>
    <col min="8" max="8" width="12" style="2" bestFit="1" customWidth="1"/>
    <col min="9" max="9" width="10.5546875" style="2" bestFit="1" customWidth="1"/>
    <col min="10" max="10" width="12" style="2" bestFit="1" customWidth="1"/>
    <col min="11" max="11" width="10.33203125" style="2" bestFit="1" customWidth="1"/>
    <col min="12" max="12" width="12" style="2" bestFit="1" customWidth="1"/>
    <col min="13" max="13" width="10.5546875" style="2" bestFit="1" customWidth="1"/>
    <col min="14" max="14" width="12" style="2" bestFit="1" customWidth="1"/>
    <col min="15" max="15" width="10.33203125" style="2" bestFit="1" customWidth="1"/>
    <col min="16" max="18" width="12" style="2" bestFit="1" customWidth="1"/>
    <col min="19" max="19" width="10.33203125" style="2" bestFit="1" customWidth="1"/>
    <col min="20" max="21" width="12" style="2" bestFit="1" customWidth="1"/>
    <col min="22" max="16384" width="11.44140625" style="2"/>
  </cols>
  <sheetData>
    <row r="2" spans="1:21" s="24" customFormat="1" x14ac:dyDescent="0.2">
      <c r="A2" s="24" t="s">
        <v>1113</v>
      </c>
    </row>
    <row r="3" spans="1:21" x14ac:dyDescent="0.2">
      <c r="A3" s="623"/>
      <c r="B3" s="623"/>
      <c r="C3" s="623"/>
      <c r="D3" s="623"/>
      <c r="E3" s="623"/>
      <c r="F3" s="623"/>
      <c r="G3" s="623"/>
      <c r="H3" s="623"/>
      <c r="I3" s="623"/>
      <c r="J3" s="623"/>
      <c r="K3" s="623"/>
      <c r="L3" s="623"/>
      <c r="M3" s="623"/>
      <c r="N3" s="623"/>
      <c r="O3" s="623"/>
      <c r="P3" s="623"/>
      <c r="Q3" s="623"/>
      <c r="R3" s="623"/>
      <c r="S3" s="623"/>
      <c r="T3" s="623"/>
    </row>
    <row r="4" spans="1:21" ht="24.75" customHeight="1" x14ac:dyDescent="0.2">
      <c r="A4" s="298" t="s">
        <v>1760</v>
      </c>
      <c r="B4" s="298">
        <v>2009</v>
      </c>
      <c r="C4" s="298"/>
      <c r="D4" s="298"/>
      <c r="E4" s="298"/>
      <c r="F4" s="298">
        <v>2010</v>
      </c>
      <c r="G4" s="298"/>
      <c r="H4" s="298"/>
      <c r="I4" s="298"/>
      <c r="J4" s="298">
        <v>2011</v>
      </c>
      <c r="K4" s="298"/>
      <c r="L4" s="298"/>
      <c r="M4" s="298"/>
      <c r="N4" s="298">
        <v>2012</v>
      </c>
      <c r="O4" s="298"/>
      <c r="P4" s="298"/>
      <c r="Q4" s="298"/>
      <c r="R4" s="298">
        <v>2013</v>
      </c>
      <c r="S4" s="298"/>
      <c r="T4" s="298"/>
      <c r="U4" s="298"/>
    </row>
    <row r="5" spans="1:21" ht="24.75" customHeight="1" x14ac:dyDescent="0.2">
      <c r="A5" s="298"/>
      <c r="B5" s="644" t="s">
        <v>42</v>
      </c>
      <c r="C5" s="644" t="s">
        <v>1882</v>
      </c>
      <c r="D5" s="644" t="s">
        <v>1883</v>
      </c>
      <c r="E5" s="644" t="s">
        <v>1884</v>
      </c>
      <c r="F5" s="644" t="s">
        <v>42</v>
      </c>
      <c r="G5" s="644" t="s">
        <v>1882</v>
      </c>
      <c r="H5" s="644" t="s">
        <v>1883</v>
      </c>
      <c r="I5" s="644" t="s">
        <v>1884</v>
      </c>
      <c r="J5" s="644" t="s">
        <v>42</v>
      </c>
      <c r="K5" s="644" t="s">
        <v>1882</v>
      </c>
      <c r="L5" s="644" t="s">
        <v>1883</v>
      </c>
      <c r="M5" s="644" t="s">
        <v>1884</v>
      </c>
      <c r="N5" s="644" t="s">
        <v>42</v>
      </c>
      <c r="O5" s="644" t="s">
        <v>1882</v>
      </c>
      <c r="P5" s="644" t="s">
        <v>1883</v>
      </c>
      <c r="Q5" s="644" t="s">
        <v>1884</v>
      </c>
      <c r="R5" s="644" t="s">
        <v>42</v>
      </c>
      <c r="S5" s="644" t="s">
        <v>1882</v>
      </c>
      <c r="T5" s="644" t="s">
        <v>1883</v>
      </c>
      <c r="U5" s="644" t="s">
        <v>1884</v>
      </c>
    </row>
    <row r="6" spans="1:21" s="24" customFormat="1" x14ac:dyDescent="0.2">
      <c r="A6" s="24" t="s">
        <v>3</v>
      </c>
      <c r="B6" s="622">
        <f>SUM(C6:E6)</f>
        <v>2056218</v>
      </c>
      <c r="C6" s="622">
        <f>SUM(C7+C12+C16+C22+C26+C31+C40+C43+C47+C56+C64+C78+C81+C93+C113)</f>
        <v>355971</v>
      </c>
      <c r="D6" s="622">
        <f t="shared" ref="D6:E6" si="0">SUM(D7+D12+D16+D22+D26+D31+D40+D43+D47+D56+D64+D78+D81+D93+D113)</f>
        <v>1601115</v>
      </c>
      <c r="E6" s="622">
        <f t="shared" si="0"/>
        <v>99132</v>
      </c>
      <c r="F6" s="622">
        <f>SUM(G6:I6)</f>
        <v>1816916</v>
      </c>
      <c r="G6" s="622">
        <f>SUM(G7+G12+G16+G22+G26+G31+G40+G43+G47+G56+G64+G78+G81+G93+G113)</f>
        <v>263556</v>
      </c>
      <c r="H6" s="622">
        <f>SUM(H7+H12+H16+H22+H26+H31+H40+H43+H47+H56+H64+H78+H81+H93+H113)</f>
        <v>1422264</v>
      </c>
      <c r="I6" s="622">
        <f t="shared" ref="I6" si="1">SUM(I7+I12+I16+I22+I26+I31+I40+I43+I47+I56+I64+I78+I81+I93+I113)</f>
        <v>131096</v>
      </c>
      <c r="J6" s="622">
        <f>SUM(K6:M6)</f>
        <v>1794732</v>
      </c>
      <c r="K6" s="622">
        <f>SUM(K7+K12+K16+K22+K26+K31+K40+K43+K47+K56+K64+K78+K81+K93+K113)</f>
        <v>292270</v>
      </c>
      <c r="L6" s="622">
        <f t="shared" ref="L6:M6" si="2">SUM(L7+L12+L16+L22+L26+L31+L40+L43+L47+L56+L64+L78+L81+L93+L113)</f>
        <v>1355946</v>
      </c>
      <c r="M6" s="622">
        <f t="shared" si="2"/>
        <v>146516</v>
      </c>
      <c r="N6" s="622">
        <f>SUM(O6:Q6)</f>
        <v>2224817</v>
      </c>
      <c r="O6" s="622">
        <f>SUM(O7+O12+O16+O22+O26+O31+O40+O43+O47+O56+O64+O78+O81+O93+O113)</f>
        <v>163147</v>
      </c>
      <c r="P6" s="622">
        <f t="shared" ref="P6:Q6" si="3">SUM(P7+P12+P16+P22+P26+P31+P40+P43+P47+P56+P64+P78+P81+P93+P113)</f>
        <v>1053291</v>
      </c>
      <c r="Q6" s="622">
        <f t="shared" si="3"/>
        <v>1008379</v>
      </c>
      <c r="R6" s="622">
        <f>SUM(S6:U6)</f>
        <v>2609814</v>
      </c>
      <c r="S6" s="622">
        <f>SUM(S7+S12+S16+S22+S26+S31+S40+S43+S47+S56+S64+S78+S81+S93+S113)</f>
        <v>201545</v>
      </c>
      <c r="T6" s="622">
        <f t="shared" ref="T6:U6" si="4">SUM(T7+T12+T16+T22+T26+T31+T40+T43+T47+T56+T64+T78+T81+T93+T113)</f>
        <v>1227212</v>
      </c>
      <c r="U6" s="622">
        <f t="shared" si="4"/>
        <v>1181057</v>
      </c>
    </row>
    <row r="7" spans="1:21" s="24" customFormat="1" x14ac:dyDescent="0.2">
      <c r="A7" s="24" t="s">
        <v>4</v>
      </c>
      <c r="B7" s="622">
        <f>SUM(C7:E7)</f>
        <v>17526</v>
      </c>
      <c r="C7" s="622">
        <f>SUM(C8:C11)</f>
        <v>654</v>
      </c>
      <c r="D7" s="622">
        <f>SUM(D8:D11)</f>
        <v>16743</v>
      </c>
      <c r="E7" s="622">
        <f>SUM(E8:E11)</f>
        <v>129</v>
      </c>
      <c r="F7" s="622">
        <f>SUM(G7:I7)</f>
        <v>15045</v>
      </c>
      <c r="G7" s="622">
        <f>SUM(G8:G11)</f>
        <v>318</v>
      </c>
      <c r="H7" s="622">
        <f>SUM(H8:H11)</f>
        <v>13729</v>
      </c>
      <c r="I7" s="622">
        <f>SUM(I8:I11)</f>
        <v>998</v>
      </c>
      <c r="J7" s="622">
        <f>SUM(K7:M7)</f>
        <v>13991</v>
      </c>
      <c r="K7" s="622">
        <f>SUM(K8:K11)</f>
        <v>481</v>
      </c>
      <c r="L7" s="622">
        <f>SUM(L8:L11)</f>
        <v>11811</v>
      </c>
      <c r="M7" s="622">
        <f>SUM(M8:M11)</f>
        <v>1699</v>
      </c>
      <c r="N7" s="622">
        <f>SUM(O7:Q7)</f>
        <v>15364</v>
      </c>
      <c r="O7" s="622">
        <f>SUM(O8:O11)</f>
        <v>2362</v>
      </c>
      <c r="P7" s="622">
        <f>SUM(P8:P11)</f>
        <v>6683</v>
      </c>
      <c r="Q7" s="622">
        <f>SUM(Q8:Q11)</f>
        <v>6319</v>
      </c>
      <c r="R7" s="622">
        <f>SUM(S7:U7)</f>
        <v>19609</v>
      </c>
      <c r="S7" s="622">
        <f>SUM(S8:S11)</f>
        <v>1184</v>
      </c>
      <c r="T7" s="622">
        <f>SUM(T8:T11)</f>
        <v>9046</v>
      </c>
      <c r="U7" s="622">
        <f>SUM(U8:U11)</f>
        <v>9379</v>
      </c>
    </row>
    <row r="8" spans="1:21" x14ac:dyDescent="0.2">
      <c r="A8" s="2" t="s">
        <v>1761</v>
      </c>
      <c r="B8" s="315">
        <f>SUM(C8:E8)</f>
        <v>15479</v>
      </c>
      <c r="C8" s="315">
        <v>431</v>
      </c>
      <c r="D8" s="315">
        <v>14919</v>
      </c>
      <c r="E8" s="315">
        <v>129</v>
      </c>
      <c r="F8" s="315">
        <f>SUM(G8:I8)</f>
        <v>13340</v>
      </c>
      <c r="G8" s="315">
        <v>315</v>
      </c>
      <c r="H8" s="315">
        <v>12027</v>
      </c>
      <c r="I8" s="315">
        <v>998</v>
      </c>
      <c r="J8" s="315">
        <f>SUM(K8:M8)</f>
        <v>12081</v>
      </c>
      <c r="K8" s="315">
        <v>460</v>
      </c>
      <c r="L8" s="315">
        <v>9951</v>
      </c>
      <c r="M8" s="315">
        <v>1670</v>
      </c>
      <c r="N8" s="315">
        <f>SUM(O8:Q8)</f>
        <v>14443</v>
      </c>
      <c r="O8" s="315">
        <v>2356</v>
      </c>
      <c r="P8" s="315">
        <v>6178</v>
      </c>
      <c r="Q8" s="315">
        <v>5909</v>
      </c>
      <c r="R8" s="315">
        <f>SUM(S8:U8)</f>
        <v>18384</v>
      </c>
      <c r="S8" s="315">
        <v>1173</v>
      </c>
      <c r="T8" s="315">
        <v>8396</v>
      </c>
      <c r="U8" s="315">
        <v>8815</v>
      </c>
    </row>
    <row r="9" spans="1:21" x14ac:dyDescent="0.2">
      <c r="A9" s="2" t="s">
        <v>1762</v>
      </c>
      <c r="B9" s="315">
        <f t="shared" ref="B9:B75" si="5">SUM(C9:E9)</f>
        <v>987</v>
      </c>
      <c r="C9" s="315">
        <v>106</v>
      </c>
      <c r="D9" s="315">
        <v>881</v>
      </c>
      <c r="E9" s="315">
        <v>0</v>
      </c>
      <c r="F9" s="315">
        <f t="shared" ref="F9:F75" si="6">SUM(G9:I9)</f>
        <v>448</v>
      </c>
      <c r="G9" s="315">
        <v>0</v>
      </c>
      <c r="H9" s="315">
        <v>448</v>
      </c>
      <c r="I9" s="315">
        <v>0</v>
      </c>
      <c r="J9" s="315">
        <f t="shared" ref="J9:J75" si="7">SUM(K9:M9)</f>
        <v>777</v>
      </c>
      <c r="K9" s="315">
        <v>15</v>
      </c>
      <c r="L9" s="315">
        <v>742</v>
      </c>
      <c r="M9" s="315">
        <v>20</v>
      </c>
      <c r="N9" s="315">
        <f t="shared" ref="N9:N75" si="8">SUM(O9:Q9)</f>
        <v>210</v>
      </c>
      <c r="O9" s="315">
        <v>2</v>
      </c>
      <c r="P9" s="315">
        <v>111</v>
      </c>
      <c r="Q9" s="315">
        <v>97</v>
      </c>
      <c r="R9" s="315">
        <f t="shared" ref="R9:R75" si="9">SUM(S9:U9)</f>
        <v>459</v>
      </c>
      <c r="S9" s="315">
        <v>9</v>
      </c>
      <c r="T9" s="315">
        <v>245</v>
      </c>
      <c r="U9" s="315">
        <v>205</v>
      </c>
    </row>
    <row r="10" spans="1:21" x14ac:dyDescent="0.2">
      <c r="A10" s="2" t="s">
        <v>1763</v>
      </c>
      <c r="B10" s="315">
        <f t="shared" si="5"/>
        <v>0</v>
      </c>
      <c r="C10" s="315">
        <v>0</v>
      </c>
      <c r="D10" s="315">
        <v>0</v>
      </c>
      <c r="E10" s="315">
        <v>0</v>
      </c>
      <c r="F10" s="315">
        <f t="shared" si="6"/>
        <v>0</v>
      </c>
      <c r="G10" s="315">
        <v>0</v>
      </c>
      <c r="H10" s="315">
        <v>0</v>
      </c>
      <c r="I10" s="315">
        <v>0</v>
      </c>
      <c r="J10" s="315">
        <f t="shared" si="7"/>
        <v>0</v>
      </c>
      <c r="K10" s="315">
        <v>0</v>
      </c>
      <c r="L10" s="315"/>
      <c r="M10" s="315">
        <v>0</v>
      </c>
      <c r="N10" s="315">
        <f t="shared" si="8"/>
        <v>0</v>
      </c>
      <c r="O10" s="315">
        <v>0</v>
      </c>
      <c r="P10" s="315">
        <v>0</v>
      </c>
      <c r="Q10" s="315">
        <v>0</v>
      </c>
      <c r="R10" s="315">
        <f t="shared" si="9"/>
        <v>0</v>
      </c>
      <c r="S10" s="315">
        <v>0</v>
      </c>
      <c r="T10" s="315">
        <v>0</v>
      </c>
      <c r="U10" s="315">
        <v>0</v>
      </c>
    </row>
    <row r="11" spans="1:21" x14ac:dyDescent="0.2">
      <c r="A11" s="2" t="s">
        <v>1764</v>
      </c>
      <c r="B11" s="315">
        <f t="shared" si="5"/>
        <v>1060</v>
      </c>
      <c r="C11" s="315">
        <v>117</v>
      </c>
      <c r="D11" s="315">
        <v>943</v>
      </c>
      <c r="E11" s="315">
        <v>0</v>
      </c>
      <c r="F11" s="315">
        <f t="shared" si="6"/>
        <v>1257</v>
      </c>
      <c r="G11" s="315">
        <v>3</v>
      </c>
      <c r="H11" s="315">
        <v>1254</v>
      </c>
      <c r="I11" s="315">
        <v>0</v>
      </c>
      <c r="J11" s="315">
        <f t="shared" si="7"/>
        <v>1133</v>
      </c>
      <c r="K11" s="315">
        <v>6</v>
      </c>
      <c r="L11" s="315">
        <v>1118</v>
      </c>
      <c r="M11" s="315">
        <v>9</v>
      </c>
      <c r="N11" s="315">
        <f t="shared" si="8"/>
        <v>711</v>
      </c>
      <c r="O11" s="315">
        <v>4</v>
      </c>
      <c r="P11" s="315">
        <v>394</v>
      </c>
      <c r="Q11" s="315">
        <v>313</v>
      </c>
      <c r="R11" s="315">
        <f t="shared" si="9"/>
        <v>766</v>
      </c>
      <c r="S11" s="315">
        <v>2</v>
      </c>
      <c r="T11" s="315">
        <v>405</v>
      </c>
      <c r="U11" s="315">
        <v>359</v>
      </c>
    </row>
    <row r="12" spans="1:21" s="24" customFormat="1" x14ac:dyDescent="0.2">
      <c r="A12" s="24" t="s">
        <v>5</v>
      </c>
      <c r="B12" s="622">
        <f>SUM(C12:E12)</f>
        <v>12213</v>
      </c>
      <c r="C12" s="622">
        <f>SUM(C13:C15)</f>
        <v>1603</v>
      </c>
      <c r="D12" s="622">
        <f>SUM(D13:D15)</f>
        <v>10579</v>
      </c>
      <c r="E12" s="622">
        <f>SUM(E13:E15)</f>
        <v>31</v>
      </c>
      <c r="F12" s="622">
        <f>SUM(G12:I12)</f>
        <v>17161</v>
      </c>
      <c r="G12" s="622">
        <f>SUM(G13:G15)</f>
        <v>1059</v>
      </c>
      <c r="H12" s="622">
        <f>SUM(H13:H15)</f>
        <v>15887</v>
      </c>
      <c r="I12" s="622">
        <f>SUM(I13:I15)</f>
        <v>215</v>
      </c>
      <c r="J12" s="622">
        <f>SUM(K12:M12)</f>
        <v>9875</v>
      </c>
      <c r="K12" s="622">
        <f>SUM(K13:K15)</f>
        <v>939</v>
      </c>
      <c r="L12" s="622">
        <f>SUM(L13:L15)</f>
        <v>8638</v>
      </c>
      <c r="M12" s="622">
        <f>SUM(M13:M15)</f>
        <v>298</v>
      </c>
      <c r="N12" s="622">
        <f>SUM(O12:Q12)</f>
        <v>2297</v>
      </c>
      <c r="O12" s="622">
        <f>SUM(O13:O15)</f>
        <v>26</v>
      </c>
      <c r="P12" s="622">
        <f>SUM(P13:P15)</f>
        <v>1171</v>
      </c>
      <c r="Q12" s="622">
        <f>SUM(Q13:Q15)</f>
        <v>1100</v>
      </c>
      <c r="R12" s="622">
        <f>SUM(S12:U12)</f>
        <v>3404</v>
      </c>
      <c r="S12" s="622">
        <f>SUM(S13:S15)</f>
        <v>176</v>
      </c>
      <c r="T12" s="622">
        <f>SUM(T13:T15)</f>
        <v>1616</v>
      </c>
      <c r="U12" s="622">
        <f>SUM(U13:U15)</f>
        <v>1612</v>
      </c>
    </row>
    <row r="13" spans="1:21" x14ac:dyDescent="0.2">
      <c r="A13" s="2" t="s">
        <v>1765</v>
      </c>
      <c r="B13" s="315">
        <f t="shared" si="5"/>
        <v>223</v>
      </c>
      <c r="C13" s="315">
        <v>27</v>
      </c>
      <c r="D13" s="315">
        <v>196</v>
      </c>
      <c r="E13" s="315">
        <v>0</v>
      </c>
      <c r="F13" s="315">
        <f t="shared" si="6"/>
        <v>361</v>
      </c>
      <c r="G13" s="315">
        <v>9</v>
      </c>
      <c r="H13" s="315">
        <v>327</v>
      </c>
      <c r="I13" s="315">
        <v>25</v>
      </c>
      <c r="J13" s="315">
        <f t="shared" si="7"/>
        <v>185</v>
      </c>
      <c r="K13" s="315">
        <v>13</v>
      </c>
      <c r="L13" s="315">
        <v>169</v>
      </c>
      <c r="M13" s="315">
        <v>3</v>
      </c>
      <c r="N13" s="315">
        <f t="shared" si="8"/>
        <v>192</v>
      </c>
      <c r="O13" s="315">
        <v>5</v>
      </c>
      <c r="P13" s="315">
        <v>122</v>
      </c>
      <c r="Q13" s="315">
        <v>65</v>
      </c>
      <c r="R13" s="315">
        <f t="shared" si="9"/>
        <v>266</v>
      </c>
      <c r="S13" s="315">
        <v>8</v>
      </c>
      <c r="T13" s="315">
        <v>169</v>
      </c>
      <c r="U13" s="315">
        <v>89</v>
      </c>
    </row>
    <row r="14" spans="1:21" x14ac:dyDescent="0.2">
      <c r="A14" s="2" t="s">
        <v>1766</v>
      </c>
      <c r="B14" s="315">
        <f t="shared" si="5"/>
        <v>0</v>
      </c>
      <c r="C14" s="315">
        <v>0</v>
      </c>
      <c r="D14" s="315">
        <v>0</v>
      </c>
      <c r="E14" s="315">
        <v>0</v>
      </c>
      <c r="F14" s="315">
        <f t="shared" si="6"/>
        <v>0</v>
      </c>
      <c r="G14" s="315">
        <v>0</v>
      </c>
      <c r="H14" s="315">
        <v>0</v>
      </c>
      <c r="I14" s="315">
        <v>0</v>
      </c>
      <c r="J14" s="315">
        <f t="shared" si="7"/>
        <v>0</v>
      </c>
      <c r="K14" s="315">
        <v>0</v>
      </c>
      <c r="L14" s="315"/>
      <c r="M14" s="315">
        <v>0</v>
      </c>
      <c r="N14" s="315">
        <f t="shared" si="8"/>
        <v>0</v>
      </c>
      <c r="O14" s="315">
        <v>0</v>
      </c>
      <c r="P14" s="315">
        <v>0</v>
      </c>
      <c r="Q14" s="315">
        <v>0</v>
      </c>
      <c r="R14" s="315">
        <f t="shared" si="9"/>
        <v>0</v>
      </c>
      <c r="S14" s="315">
        <v>0</v>
      </c>
      <c r="T14" s="315">
        <v>0</v>
      </c>
      <c r="U14" s="315">
        <v>0</v>
      </c>
    </row>
    <row r="15" spans="1:21" x14ac:dyDescent="0.2">
      <c r="A15" s="2" t="s">
        <v>1767</v>
      </c>
      <c r="B15" s="315">
        <f t="shared" si="5"/>
        <v>11990</v>
      </c>
      <c r="C15" s="315">
        <v>1576</v>
      </c>
      <c r="D15" s="315">
        <v>10383</v>
      </c>
      <c r="E15" s="315">
        <v>31</v>
      </c>
      <c r="F15" s="315">
        <f t="shared" si="6"/>
        <v>16800</v>
      </c>
      <c r="G15" s="315">
        <v>1050</v>
      </c>
      <c r="H15" s="315">
        <v>15560</v>
      </c>
      <c r="I15" s="315">
        <v>190</v>
      </c>
      <c r="J15" s="315">
        <f t="shared" si="7"/>
        <v>9690</v>
      </c>
      <c r="K15" s="315">
        <v>926</v>
      </c>
      <c r="L15" s="315">
        <v>8469</v>
      </c>
      <c r="M15" s="315">
        <v>295</v>
      </c>
      <c r="N15" s="315">
        <f t="shared" si="8"/>
        <v>2105</v>
      </c>
      <c r="O15" s="315">
        <v>21</v>
      </c>
      <c r="P15" s="315">
        <v>1049</v>
      </c>
      <c r="Q15" s="315">
        <v>1035</v>
      </c>
      <c r="R15" s="315">
        <f t="shared" si="9"/>
        <v>3138</v>
      </c>
      <c r="S15" s="315">
        <v>168</v>
      </c>
      <c r="T15" s="315">
        <v>1447</v>
      </c>
      <c r="U15" s="315">
        <v>1523</v>
      </c>
    </row>
    <row r="16" spans="1:21" s="24" customFormat="1" x14ac:dyDescent="0.2">
      <c r="A16" s="24" t="s">
        <v>6</v>
      </c>
      <c r="B16" s="622">
        <f>SUM(C16:E16)</f>
        <v>279738</v>
      </c>
      <c r="C16" s="622">
        <f>SUM(C17:C21)</f>
        <v>30457</v>
      </c>
      <c r="D16" s="622">
        <f t="shared" ref="D16:E16" si="10">SUM(D17:D21)</f>
        <v>230758</v>
      </c>
      <c r="E16" s="622">
        <f t="shared" si="10"/>
        <v>18523</v>
      </c>
      <c r="F16" s="622">
        <f>SUM(G16:I16)</f>
        <v>315888</v>
      </c>
      <c r="G16" s="622">
        <f>SUM(G17:G21)</f>
        <v>37336</v>
      </c>
      <c r="H16" s="622">
        <f t="shared" ref="H16:I16" si="11">SUM(H17:H21)</f>
        <v>256948</v>
      </c>
      <c r="I16" s="622">
        <f t="shared" si="11"/>
        <v>21604</v>
      </c>
      <c r="J16" s="622">
        <f>SUM(K16:M16)</f>
        <v>330317</v>
      </c>
      <c r="K16" s="622">
        <f>SUM(K17:K21)</f>
        <v>42230</v>
      </c>
      <c r="L16" s="622">
        <f t="shared" ref="L16:M16" si="12">SUM(L17:L21)</f>
        <v>262689</v>
      </c>
      <c r="M16" s="622">
        <f t="shared" si="12"/>
        <v>25398</v>
      </c>
      <c r="N16" s="622">
        <f>SUM(O16:Q16)</f>
        <v>365538</v>
      </c>
      <c r="O16" s="622">
        <f>SUM(O17:O21)</f>
        <v>27212</v>
      </c>
      <c r="P16" s="622">
        <f t="shared" ref="P16:Q16" si="13">SUM(P17:P21)</f>
        <v>172213</v>
      </c>
      <c r="Q16" s="622">
        <f t="shared" si="13"/>
        <v>166113</v>
      </c>
      <c r="R16" s="622">
        <f>SUM(S16:U16)</f>
        <v>429839</v>
      </c>
      <c r="S16" s="622">
        <f>SUM(S17:S21)</f>
        <v>29336</v>
      </c>
      <c r="T16" s="622">
        <f t="shared" ref="T16:U16" si="14">SUM(T17:T21)</f>
        <v>202336</v>
      </c>
      <c r="U16" s="622">
        <f t="shared" si="14"/>
        <v>198167</v>
      </c>
    </row>
    <row r="17" spans="1:21" x14ac:dyDescent="0.2">
      <c r="A17" s="2" t="s">
        <v>1768</v>
      </c>
      <c r="B17" s="315">
        <f t="shared" si="5"/>
        <v>0</v>
      </c>
      <c r="C17" s="315">
        <v>0</v>
      </c>
      <c r="D17" s="315">
        <v>0</v>
      </c>
      <c r="E17" s="315">
        <v>0</v>
      </c>
      <c r="F17" s="315">
        <f t="shared" si="6"/>
        <v>0</v>
      </c>
      <c r="G17" s="315">
        <v>0</v>
      </c>
      <c r="H17" s="315">
        <v>0</v>
      </c>
      <c r="I17" s="315">
        <v>0</v>
      </c>
      <c r="J17" s="315">
        <f t="shared" si="7"/>
        <v>0</v>
      </c>
      <c r="K17" s="315">
        <v>0</v>
      </c>
      <c r="L17" s="315">
        <v>0</v>
      </c>
      <c r="M17" s="315">
        <v>0</v>
      </c>
      <c r="N17" s="315">
        <f t="shared" si="8"/>
        <v>0</v>
      </c>
      <c r="O17" s="315">
        <v>0</v>
      </c>
      <c r="P17" s="315">
        <v>0</v>
      </c>
      <c r="Q17" s="315">
        <v>0</v>
      </c>
      <c r="R17" s="315">
        <f t="shared" si="9"/>
        <v>0</v>
      </c>
      <c r="S17" s="315">
        <v>0</v>
      </c>
      <c r="T17" s="315">
        <v>0</v>
      </c>
      <c r="U17" s="315">
        <v>0</v>
      </c>
    </row>
    <row r="18" spans="1:21" x14ac:dyDescent="0.2">
      <c r="A18" s="2" t="s">
        <v>1769</v>
      </c>
      <c r="B18" s="315">
        <f t="shared" si="5"/>
        <v>0</v>
      </c>
      <c r="C18" s="315">
        <v>0</v>
      </c>
      <c r="D18" s="315">
        <v>0</v>
      </c>
      <c r="E18" s="315">
        <v>0</v>
      </c>
      <c r="F18" s="315">
        <f t="shared" si="6"/>
        <v>0</v>
      </c>
      <c r="G18" s="315">
        <v>0</v>
      </c>
      <c r="H18" s="315">
        <v>0</v>
      </c>
      <c r="I18" s="315">
        <v>0</v>
      </c>
      <c r="J18" s="315">
        <f t="shared" si="7"/>
        <v>0</v>
      </c>
      <c r="K18" s="315">
        <v>0</v>
      </c>
      <c r="L18" s="315">
        <v>0</v>
      </c>
      <c r="M18" s="315">
        <v>0</v>
      </c>
      <c r="N18" s="315">
        <f t="shared" si="8"/>
        <v>0</v>
      </c>
      <c r="O18" s="315">
        <v>0</v>
      </c>
      <c r="P18" s="315">
        <v>0</v>
      </c>
      <c r="Q18" s="315">
        <v>0</v>
      </c>
      <c r="R18" s="315">
        <f t="shared" si="9"/>
        <v>0</v>
      </c>
      <c r="S18" s="315">
        <v>0</v>
      </c>
      <c r="T18" s="315">
        <v>0</v>
      </c>
      <c r="U18" s="315">
        <v>0</v>
      </c>
    </row>
    <row r="19" spans="1:21" x14ac:dyDescent="0.2">
      <c r="A19" s="2" t="s">
        <v>1770</v>
      </c>
      <c r="B19" s="315">
        <f t="shared" si="5"/>
        <v>168332</v>
      </c>
      <c r="C19" s="315">
        <v>12728</v>
      </c>
      <c r="D19" s="315">
        <v>142354</v>
      </c>
      <c r="E19" s="315">
        <v>13250</v>
      </c>
      <c r="F19" s="315">
        <f t="shared" si="6"/>
        <v>208569</v>
      </c>
      <c r="G19" s="315">
        <v>19295</v>
      </c>
      <c r="H19" s="315">
        <v>175468</v>
      </c>
      <c r="I19" s="315">
        <v>13806</v>
      </c>
      <c r="J19" s="315">
        <f t="shared" si="7"/>
        <v>213230</v>
      </c>
      <c r="K19" s="315">
        <v>23834</v>
      </c>
      <c r="L19" s="315">
        <v>172135</v>
      </c>
      <c r="M19" s="315">
        <v>17261</v>
      </c>
      <c r="N19" s="315">
        <f t="shared" si="8"/>
        <v>238737</v>
      </c>
      <c r="O19" s="315">
        <v>19996</v>
      </c>
      <c r="P19" s="315">
        <v>108109</v>
      </c>
      <c r="Q19" s="315">
        <v>110632</v>
      </c>
      <c r="R19" s="315">
        <f t="shared" si="9"/>
        <v>261414</v>
      </c>
      <c r="S19" s="315">
        <v>21296</v>
      </c>
      <c r="T19" s="315">
        <v>118479</v>
      </c>
      <c r="U19" s="315">
        <v>121639</v>
      </c>
    </row>
    <row r="20" spans="1:21" x14ac:dyDescent="0.2">
      <c r="A20" s="2" t="s">
        <v>1869</v>
      </c>
      <c r="B20" s="315">
        <f t="shared" si="5"/>
        <v>0</v>
      </c>
      <c r="C20" s="315">
        <v>0</v>
      </c>
      <c r="D20" s="315">
        <v>0</v>
      </c>
      <c r="E20" s="315">
        <v>0</v>
      </c>
      <c r="F20" s="315">
        <f t="shared" si="6"/>
        <v>0</v>
      </c>
      <c r="G20" s="315">
        <v>0</v>
      </c>
      <c r="H20" s="315">
        <v>0</v>
      </c>
      <c r="I20" s="315">
        <v>0</v>
      </c>
      <c r="J20" s="315">
        <f t="shared" si="7"/>
        <v>0</v>
      </c>
      <c r="K20" s="315">
        <v>0</v>
      </c>
      <c r="L20" s="315">
        <v>0</v>
      </c>
      <c r="M20" s="315">
        <v>0</v>
      </c>
      <c r="N20" s="315">
        <f t="shared" si="8"/>
        <v>0</v>
      </c>
      <c r="O20" s="315">
        <v>0</v>
      </c>
      <c r="P20" s="315">
        <v>0</v>
      </c>
      <c r="Q20" s="315">
        <v>0</v>
      </c>
      <c r="R20" s="315">
        <f t="shared" si="9"/>
        <v>0</v>
      </c>
      <c r="S20" s="315">
        <v>0</v>
      </c>
      <c r="T20" s="315">
        <v>0</v>
      </c>
      <c r="U20" s="315">
        <v>0</v>
      </c>
    </row>
    <row r="21" spans="1:21" x14ac:dyDescent="0.2">
      <c r="A21" s="2" t="s">
        <v>1772</v>
      </c>
      <c r="B21" s="315">
        <f t="shared" si="5"/>
        <v>111406</v>
      </c>
      <c r="C21" s="315">
        <v>17729</v>
      </c>
      <c r="D21" s="315">
        <v>88404</v>
      </c>
      <c r="E21" s="315">
        <v>5273</v>
      </c>
      <c r="F21" s="315">
        <f t="shared" si="6"/>
        <v>107319</v>
      </c>
      <c r="G21" s="315">
        <v>18041</v>
      </c>
      <c r="H21" s="315">
        <v>81480</v>
      </c>
      <c r="I21" s="315">
        <v>7798</v>
      </c>
      <c r="J21" s="315">
        <f t="shared" si="7"/>
        <v>117087</v>
      </c>
      <c r="K21" s="315">
        <v>18396</v>
      </c>
      <c r="L21" s="315">
        <v>90554</v>
      </c>
      <c r="M21" s="315">
        <v>8137</v>
      </c>
      <c r="N21" s="315">
        <f t="shared" si="8"/>
        <v>126801</v>
      </c>
      <c r="O21" s="315">
        <v>7216</v>
      </c>
      <c r="P21" s="315">
        <v>64104</v>
      </c>
      <c r="Q21" s="315">
        <v>55481</v>
      </c>
      <c r="R21" s="315">
        <f t="shared" si="9"/>
        <v>168425</v>
      </c>
      <c r="S21" s="315">
        <v>8040</v>
      </c>
      <c r="T21" s="315">
        <v>83857</v>
      </c>
      <c r="U21" s="315">
        <v>76528</v>
      </c>
    </row>
    <row r="22" spans="1:21" s="24" customFormat="1" x14ac:dyDescent="0.2">
      <c r="A22" s="24" t="s">
        <v>7</v>
      </c>
      <c r="B22" s="622">
        <f>SUM(C22:E22)</f>
        <v>17647</v>
      </c>
      <c r="C22" s="622">
        <f>SUM(C23:C25)</f>
        <v>2101</v>
      </c>
      <c r="D22" s="622">
        <f t="shared" ref="D22:E22" si="15">SUM(D23:D25)</f>
        <v>15289</v>
      </c>
      <c r="E22" s="622">
        <f t="shared" si="15"/>
        <v>257</v>
      </c>
      <c r="F22" s="622">
        <f>SUM(G22:I22)</f>
        <v>24873</v>
      </c>
      <c r="G22" s="622">
        <f>SUM(G23:G25)</f>
        <v>3982</v>
      </c>
      <c r="H22" s="622">
        <f t="shared" ref="H22:I22" si="16">SUM(H23:H25)</f>
        <v>20074</v>
      </c>
      <c r="I22" s="622">
        <f t="shared" si="16"/>
        <v>817</v>
      </c>
      <c r="J22" s="622">
        <f>SUM(K22:M22)</f>
        <v>16474</v>
      </c>
      <c r="K22" s="622">
        <f>SUM(K23:K25)</f>
        <v>4009</v>
      </c>
      <c r="L22" s="622">
        <f t="shared" ref="L22:M22" si="17">SUM(L23:L25)</f>
        <v>11514</v>
      </c>
      <c r="M22" s="622">
        <f t="shared" si="17"/>
        <v>951</v>
      </c>
      <c r="N22" s="622">
        <f>SUM(O22:Q22)</f>
        <v>19493</v>
      </c>
      <c r="O22" s="622">
        <f>SUM(O23:O25)</f>
        <v>1768</v>
      </c>
      <c r="P22" s="622">
        <f t="shared" ref="P22:Q22" si="18">SUM(P23:P25)</f>
        <v>8917</v>
      </c>
      <c r="Q22" s="622">
        <f t="shared" si="18"/>
        <v>8808</v>
      </c>
      <c r="R22" s="622">
        <f>SUM(S22:U22)</f>
        <v>19562</v>
      </c>
      <c r="S22" s="622">
        <f>SUM(S23:S25)</f>
        <v>517</v>
      </c>
      <c r="T22" s="622">
        <f t="shared" ref="T22:U22" si="19">SUM(T23:T25)</f>
        <v>9838</v>
      </c>
      <c r="U22" s="622">
        <f t="shared" si="19"/>
        <v>9207</v>
      </c>
    </row>
    <row r="23" spans="1:21" x14ac:dyDescent="0.2">
      <c r="A23" s="2" t="s">
        <v>1773</v>
      </c>
      <c r="B23" s="315">
        <f t="shared" si="5"/>
        <v>14964</v>
      </c>
      <c r="C23" s="315">
        <v>1685</v>
      </c>
      <c r="D23" s="315">
        <v>13022</v>
      </c>
      <c r="E23" s="315">
        <v>257</v>
      </c>
      <c r="F23" s="315">
        <f t="shared" si="6"/>
        <v>22539</v>
      </c>
      <c r="G23" s="315">
        <v>3544</v>
      </c>
      <c r="H23" s="315">
        <v>18178</v>
      </c>
      <c r="I23" s="315">
        <v>817</v>
      </c>
      <c r="J23" s="315">
        <f t="shared" si="7"/>
        <v>12788</v>
      </c>
      <c r="K23" s="315">
        <v>3010</v>
      </c>
      <c r="L23" s="315">
        <v>8827</v>
      </c>
      <c r="M23" s="315">
        <v>951</v>
      </c>
      <c r="N23" s="315">
        <f t="shared" si="8"/>
        <v>15206</v>
      </c>
      <c r="O23" s="315">
        <v>1748</v>
      </c>
      <c r="P23" s="315">
        <v>6678</v>
      </c>
      <c r="Q23" s="315">
        <v>6780</v>
      </c>
      <c r="R23" s="315">
        <f t="shared" si="9"/>
        <v>14503</v>
      </c>
      <c r="S23" s="315">
        <v>516</v>
      </c>
      <c r="T23" s="315">
        <v>7258</v>
      </c>
      <c r="U23" s="315">
        <v>6729</v>
      </c>
    </row>
    <row r="24" spans="1:21" x14ac:dyDescent="0.2">
      <c r="A24" s="2" t="s">
        <v>1774</v>
      </c>
      <c r="B24" s="315">
        <f t="shared" si="5"/>
        <v>2386</v>
      </c>
      <c r="C24" s="315">
        <v>411</v>
      </c>
      <c r="D24" s="315">
        <v>1975</v>
      </c>
      <c r="E24" s="315">
        <v>0</v>
      </c>
      <c r="F24" s="315">
        <f t="shared" si="6"/>
        <v>2010</v>
      </c>
      <c r="G24" s="315">
        <v>438</v>
      </c>
      <c r="H24" s="315">
        <v>1572</v>
      </c>
      <c r="I24" s="315">
        <v>0</v>
      </c>
      <c r="J24" s="315">
        <f t="shared" si="7"/>
        <v>3283</v>
      </c>
      <c r="K24" s="315">
        <v>996</v>
      </c>
      <c r="L24" s="315">
        <v>2287</v>
      </c>
      <c r="M24" s="315">
        <v>0</v>
      </c>
      <c r="N24" s="315">
        <f t="shared" si="8"/>
        <v>3781</v>
      </c>
      <c r="O24" s="315">
        <v>20</v>
      </c>
      <c r="P24" s="315">
        <v>1930</v>
      </c>
      <c r="Q24" s="315">
        <v>1831</v>
      </c>
      <c r="R24" s="315">
        <f t="shared" si="9"/>
        <v>4472</v>
      </c>
      <c r="S24" s="315">
        <v>1</v>
      </c>
      <c r="T24" s="315">
        <v>2223</v>
      </c>
      <c r="U24" s="315">
        <v>2248</v>
      </c>
    </row>
    <row r="25" spans="1:21" x14ac:dyDescent="0.2">
      <c r="A25" s="2" t="s">
        <v>1885</v>
      </c>
      <c r="B25" s="315">
        <f t="shared" si="5"/>
        <v>297</v>
      </c>
      <c r="C25" s="315">
        <v>5</v>
      </c>
      <c r="D25" s="315">
        <v>292</v>
      </c>
      <c r="E25" s="315">
        <v>0</v>
      </c>
      <c r="F25" s="315">
        <f t="shared" si="6"/>
        <v>324</v>
      </c>
      <c r="G25" s="315">
        <v>0</v>
      </c>
      <c r="H25" s="315">
        <v>324</v>
      </c>
      <c r="I25" s="315">
        <v>0</v>
      </c>
      <c r="J25" s="315">
        <f t="shared" si="7"/>
        <v>403</v>
      </c>
      <c r="K25" s="315">
        <v>3</v>
      </c>
      <c r="L25" s="315">
        <v>400</v>
      </c>
      <c r="M25" s="315">
        <v>0</v>
      </c>
      <c r="N25" s="315">
        <f t="shared" si="8"/>
        <v>506</v>
      </c>
      <c r="O25" s="315">
        <v>0</v>
      </c>
      <c r="P25" s="315">
        <v>309</v>
      </c>
      <c r="Q25" s="315">
        <v>197</v>
      </c>
      <c r="R25" s="315">
        <f t="shared" si="9"/>
        <v>587</v>
      </c>
      <c r="S25" s="315">
        <v>0</v>
      </c>
      <c r="T25" s="315">
        <v>357</v>
      </c>
      <c r="U25" s="315">
        <v>230</v>
      </c>
    </row>
    <row r="26" spans="1:21" s="24" customFormat="1" x14ac:dyDescent="0.2">
      <c r="A26" s="24" t="s">
        <v>8</v>
      </c>
      <c r="B26" s="622">
        <f>SUM(C26:E26)</f>
        <v>51524</v>
      </c>
      <c r="C26" s="622">
        <f>SUM(C27:C30)</f>
        <v>9416</v>
      </c>
      <c r="D26" s="622">
        <f t="shared" ref="D26:E26" si="20">SUM(D27:D30)</f>
        <v>41690</v>
      </c>
      <c r="E26" s="622">
        <f t="shared" si="20"/>
        <v>418</v>
      </c>
      <c r="F26" s="622">
        <f>SUM(G26:I26)</f>
        <v>57234</v>
      </c>
      <c r="G26" s="622">
        <f>SUM(G27:G30)</f>
        <v>12181</v>
      </c>
      <c r="H26" s="622">
        <f t="shared" ref="H26:I26" si="21">SUM(H27:H30)</f>
        <v>44514</v>
      </c>
      <c r="I26" s="622">
        <f t="shared" si="21"/>
        <v>539</v>
      </c>
      <c r="J26" s="622">
        <f>SUM(K26:M26)</f>
        <v>47833</v>
      </c>
      <c r="K26" s="622">
        <f>SUM(K27:K30)</f>
        <v>10079</v>
      </c>
      <c r="L26" s="622">
        <f t="shared" ref="L26:M26" si="22">SUM(L27:L30)</f>
        <v>36698</v>
      </c>
      <c r="M26" s="622">
        <f t="shared" si="22"/>
        <v>1056</v>
      </c>
      <c r="N26" s="622">
        <f>SUM(O26:Q26)</f>
        <v>71344</v>
      </c>
      <c r="O26" s="622">
        <f>SUM(O27:O30)</f>
        <v>851</v>
      </c>
      <c r="P26" s="622">
        <f t="shared" ref="P26:Q26" si="23">SUM(P27:P30)</f>
        <v>32274</v>
      </c>
      <c r="Q26" s="622">
        <f t="shared" si="23"/>
        <v>38219</v>
      </c>
      <c r="R26" s="622">
        <f>SUM(S26:U26)</f>
        <v>70191</v>
      </c>
      <c r="S26" s="622">
        <f>SUM(S27:S30)</f>
        <v>1704</v>
      </c>
      <c r="T26" s="622">
        <f t="shared" ref="T26:U26" si="24">SUM(T27:T30)</f>
        <v>31472</v>
      </c>
      <c r="U26" s="622">
        <f t="shared" si="24"/>
        <v>37015</v>
      </c>
    </row>
    <row r="27" spans="1:21" x14ac:dyDescent="0.2">
      <c r="A27" s="2" t="s">
        <v>1776</v>
      </c>
      <c r="B27" s="315">
        <f t="shared" si="5"/>
        <v>15361</v>
      </c>
      <c r="C27" s="315">
        <v>3020</v>
      </c>
      <c r="D27" s="315">
        <v>12073</v>
      </c>
      <c r="E27" s="315">
        <v>268</v>
      </c>
      <c r="F27" s="315">
        <f t="shared" si="6"/>
        <v>15767</v>
      </c>
      <c r="G27" s="315">
        <v>3648</v>
      </c>
      <c r="H27" s="315">
        <v>12031</v>
      </c>
      <c r="I27" s="315">
        <v>88</v>
      </c>
      <c r="J27" s="315">
        <f t="shared" si="7"/>
        <v>16776</v>
      </c>
      <c r="K27" s="315">
        <v>4435</v>
      </c>
      <c r="L27" s="315">
        <v>12205</v>
      </c>
      <c r="M27" s="315">
        <v>136</v>
      </c>
      <c r="N27" s="315">
        <f t="shared" si="8"/>
        <v>17662</v>
      </c>
      <c r="O27" s="315">
        <v>290</v>
      </c>
      <c r="P27" s="315">
        <v>8416</v>
      </c>
      <c r="Q27" s="315">
        <v>8956</v>
      </c>
      <c r="R27" s="315">
        <f t="shared" si="9"/>
        <v>16203</v>
      </c>
      <c r="S27" s="315">
        <v>527</v>
      </c>
      <c r="T27" s="315">
        <v>7844</v>
      </c>
      <c r="U27" s="315">
        <v>7832</v>
      </c>
    </row>
    <row r="28" spans="1:21" x14ac:dyDescent="0.2">
      <c r="A28" s="2" t="s">
        <v>1777</v>
      </c>
      <c r="B28" s="315">
        <f t="shared" si="5"/>
        <v>29310</v>
      </c>
      <c r="C28" s="315">
        <v>4365</v>
      </c>
      <c r="D28" s="315">
        <v>24857</v>
      </c>
      <c r="E28" s="315">
        <v>88</v>
      </c>
      <c r="F28" s="315">
        <f t="shared" si="6"/>
        <v>33481</v>
      </c>
      <c r="G28" s="315">
        <v>6082</v>
      </c>
      <c r="H28" s="315">
        <v>27017</v>
      </c>
      <c r="I28" s="315">
        <v>382</v>
      </c>
      <c r="J28" s="315">
        <f t="shared" si="7"/>
        <v>22993</v>
      </c>
      <c r="K28" s="315">
        <v>3179</v>
      </c>
      <c r="L28" s="315">
        <v>19036</v>
      </c>
      <c r="M28" s="315">
        <v>778</v>
      </c>
      <c r="N28" s="315">
        <f t="shared" si="8"/>
        <v>44880</v>
      </c>
      <c r="O28" s="315">
        <v>323</v>
      </c>
      <c r="P28" s="315">
        <v>19667</v>
      </c>
      <c r="Q28" s="315">
        <v>24890</v>
      </c>
      <c r="R28" s="315">
        <f t="shared" si="9"/>
        <v>46050</v>
      </c>
      <c r="S28" s="315">
        <v>926</v>
      </c>
      <c r="T28" s="315">
        <v>19695</v>
      </c>
      <c r="U28" s="315">
        <v>25429</v>
      </c>
    </row>
    <row r="29" spans="1:21" x14ac:dyDescent="0.2">
      <c r="A29" s="2" t="s">
        <v>1886</v>
      </c>
      <c r="B29" s="315">
        <f t="shared" si="5"/>
        <v>3068</v>
      </c>
      <c r="C29" s="315">
        <v>923</v>
      </c>
      <c r="D29" s="315">
        <v>2145</v>
      </c>
      <c r="E29" s="315">
        <v>0</v>
      </c>
      <c r="F29" s="315">
        <f t="shared" si="6"/>
        <v>3540</v>
      </c>
      <c r="G29" s="315">
        <v>1220</v>
      </c>
      <c r="H29" s="315">
        <v>2320</v>
      </c>
      <c r="I29" s="315">
        <v>0</v>
      </c>
      <c r="J29" s="315">
        <f t="shared" si="7"/>
        <v>3048</v>
      </c>
      <c r="K29" s="315">
        <v>1122</v>
      </c>
      <c r="L29" s="315">
        <v>1913</v>
      </c>
      <c r="M29" s="315">
        <v>13</v>
      </c>
      <c r="N29" s="315">
        <f t="shared" si="8"/>
        <v>3621</v>
      </c>
      <c r="O29" s="315">
        <v>0</v>
      </c>
      <c r="P29" s="315">
        <v>1828</v>
      </c>
      <c r="Q29" s="315">
        <v>1793</v>
      </c>
      <c r="R29" s="315">
        <f t="shared" si="9"/>
        <v>2850</v>
      </c>
      <c r="S29" s="315">
        <v>0</v>
      </c>
      <c r="T29" s="315">
        <v>1458</v>
      </c>
      <c r="U29" s="315">
        <v>1392</v>
      </c>
    </row>
    <row r="30" spans="1:21" x14ac:dyDescent="0.2">
      <c r="A30" s="2" t="s">
        <v>1779</v>
      </c>
      <c r="B30" s="315">
        <f t="shared" si="5"/>
        <v>3785</v>
      </c>
      <c r="C30" s="315">
        <v>1108</v>
      </c>
      <c r="D30" s="315">
        <v>2615</v>
      </c>
      <c r="E30" s="315">
        <v>62</v>
      </c>
      <c r="F30" s="315">
        <f t="shared" si="6"/>
        <v>4446</v>
      </c>
      <c r="G30" s="315">
        <v>1231</v>
      </c>
      <c r="H30" s="315">
        <v>3146</v>
      </c>
      <c r="I30" s="315">
        <v>69</v>
      </c>
      <c r="J30" s="315">
        <f t="shared" si="7"/>
        <v>5016</v>
      </c>
      <c r="K30" s="315">
        <v>1343</v>
      </c>
      <c r="L30" s="315">
        <v>3544</v>
      </c>
      <c r="M30" s="315">
        <v>129</v>
      </c>
      <c r="N30" s="315">
        <f t="shared" si="8"/>
        <v>5181</v>
      </c>
      <c r="O30" s="315">
        <v>238</v>
      </c>
      <c r="P30" s="315">
        <v>2363</v>
      </c>
      <c r="Q30" s="315">
        <v>2580</v>
      </c>
      <c r="R30" s="315">
        <f t="shared" si="9"/>
        <v>5088</v>
      </c>
      <c r="S30" s="315">
        <v>251</v>
      </c>
      <c r="T30" s="315">
        <v>2475</v>
      </c>
      <c r="U30" s="315">
        <v>2362</v>
      </c>
    </row>
    <row r="31" spans="1:21" s="24" customFormat="1" x14ac:dyDescent="0.2">
      <c r="A31" s="24" t="s">
        <v>9</v>
      </c>
      <c r="B31" s="622">
        <f>SUM(C31:E31)</f>
        <v>141978</v>
      </c>
      <c r="C31" s="622">
        <f>SUM(C32:C39)</f>
        <v>28796</v>
      </c>
      <c r="D31" s="622">
        <f t="shared" ref="D31:E31" si="25">SUM(D32:D39)</f>
        <v>98880</v>
      </c>
      <c r="E31" s="622">
        <f t="shared" si="25"/>
        <v>14302</v>
      </c>
      <c r="F31" s="622">
        <f>SUM(G31:I31)</f>
        <v>146161</v>
      </c>
      <c r="G31" s="622">
        <f>SUM(G32:G39)</f>
        <v>29876</v>
      </c>
      <c r="H31" s="622">
        <f t="shared" ref="H31:I31" si="26">SUM(H32:H39)</f>
        <v>103286</v>
      </c>
      <c r="I31" s="622">
        <f t="shared" si="26"/>
        <v>12999</v>
      </c>
      <c r="J31" s="622">
        <f>SUM(K31:M31)</f>
        <v>134892</v>
      </c>
      <c r="K31" s="622">
        <f>SUM(K32:K39)</f>
        <v>25507</v>
      </c>
      <c r="L31" s="622">
        <f t="shared" ref="L31:M31" si="27">SUM(L32:L39)</f>
        <v>97798</v>
      </c>
      <c r="M31" s="622">
        <f t="shared" si="27"/>
        <v>11587</v>
      </c>
      <c r="N31" s="622">
        <f>SUM(O31:Q31)</f>
        <v>170766</v>
      </c>
      <c r="O31" s="622">
        <f>SUM(O32:O39)</f>
        <v>12161</v>
      </c>
      <c r="P31" s="622">
        <f t="shared" ref="P31:Q31" si="28">SUM(P32:P39)</f>
        <v>87356</v>
      </c>
      <c r="Q31" s="622">
        <f t="shared" si="28"/>
        <v>71249</v>
      </c>
      <c r="R31" s="622">
        <f>SUM(S31:U31)</f>
        <v>207433</v>
      </c>
      <c r="S31" s="622">
        <f>SUM(S32:S39)</f>
        <v>14315</v>
      </c>
      <c r="T31" s="622">
        <f t="shared" ref="T31:U31" si="29">SUM(T32:T39)</f>
        <v>105691</v>
      </c>
      <c r="U31" s="622">
        <f t="shared" si="29"/>
        <v>87427</v>
      </c>
    </row>
    <row r="32" spans="1:21" x14ac:dyDescent="0.2">
      <c r="A32" s="2" t="s">
        <v>1780</v>
      </c>
      <c r="B32" s="315">
        <f t="shared" si="5"/>
        <v>39764</v>
      </c>
      <c r="C32" s="315">
        <v>13689</v>
      </c>
      <c r="D32" s="315">
        <v>23645</v>
      </c>
      <c r="E32" s="315">
        <v>2430</v>
      </c>
      <c r="F32" s="315">
        <f t="shared" si="6"/>
        <v>41204</v>
      </c>
      <c r="G32" s="315">
        <v>13586</v>
      </c>
      <c r="H32" s="315">
        <v>25413</v>
      </c>
      <c r="I32" s="315">
        <v>2205</v>
      </c>
      <c r="J32" s="315"/>
      <c r="K32" s="315">
        <v>12375</v>
      </c>
      <c r="L32" s="315">
        <v>30339</v>
      </c>
      <c r="M32" s="315">
        <v>1800</v>
      </c>
      <c r="N32" s="315">
        <f t="shared" si="8"/>
        <v>54326</v>
      </c>
      <c r="O32" s="315">
        <v>1937</v>
      </c>
      <c r="P32" s="315">
        <v>29104</v>
      </c>
      <c r="Q32" s="315">
        <v>23285</v>
      </c>
      <c r="R32" s="315">
        <f t="shared" si="9"/>
        <v>60430</v>
      </c>
      <c r="S32" s="315">
        <v>2318</v>
      </c>
      <c r="T32" s="315">
        <v>32108</v>
      </c>
      <c r="U32" s="315">
        <v>26004</v>
      </c>
    </row>
    <row r="33" spans="1:21" x14ac:dyDescent="0.2">
      <c r="A33" s="2" t="s">
        <v>1781</v>
      </c>
      <c r="B33" s="315">
        <f t="shared" si="5"/>
        <v>1222</v>
      </c>
      <c r="C33" s="315">
        <v>144</v>
      </c>
      <c r="D33" s="315">
        <v>1046</v>
      </c>
      <c r="E33" s="315">
        <v>32</v>
      </c>
      <c r="F33" s="315">
        <f t="shared" si="6"/>
        <v>1708</v>
      </c>
      <c r="G33" s="315">
        <v>52</v>
      </c>
      <c r="H33" s="315">
        <v>1614</v>
      </c>
      <c r="I33" s="315">
        <v>42</v>
      </c>
      <c r="J33" s="315">
        <f t="shared" si="7"/>
        <v>1048</v>
      </c>
      <c r="K33" s="315">
        <v>139</v>
      </c>
      <c r="L33" s="315">
        <v>898</v>
      </c>
      <c r="M33" s="315">
        <v>11</v>
      </c>
      <c r="N33" s="315">
        <f t="shared" si="8"/>
        <v>1525</v>
      </c>
      <c r="O33" s="315">
        <v>109</v>
      </c>
      <c r="P33" s="315">
        <v>865</v>
      </c>
      <c r="Q33" s="315">
        <v>551</v>
      </c>
      <c r="R33" s="315">
        <f t="shared" si="9"/>
        <v>1219</v>
      </c>
      <c r="S33" s="315">
        <v>77</v>
      </c>
      <c r="T33" s="315">
        <v>691</v>
      </c>
      <c r="U33" s="315">
        <v>451</v>
      </c>
    </row>
    <row r="34" spans="1:21" x14ac:dyDescent="0.2">
      <c r="A34" s="2" t="s">
        <v>1782</v>
      </c>
      <c r="B34" s="315">
        <f t="shared" si="5"/>
        <v>0</v>
      </c>
      <c r="C34" s="315">
        <v>0</v>
      </c>
      <c r="D34" s="315">
        <v>0</v>
      </c>
      <c r="E34" s="315">
        <v>0</v>
      </c>
      <c r="F34" s="315">
        <f t="shared" si="6"/>
        <v>0</v>
      </c>
      <c r="G34" s="315">
        <v>0</v>
      </c>
      <c r="H34" s="315">
        <v>0</v>
      </c>
      <c r="I34" s="315">
        <v>0</v>
      </c>
      <c r="J34" s="315">
        <f t="shared" si="7"/>
        <v>0</v>
      </c>
      <c r="K34" s="315">
        <v>0</v>
      </c>
      <c r="L34" s="315">
        <v>0</v>
      </c>
      <c r="M34" s="315">
        <v>0</v>
      </c>
      <c r="N34" s="315">
        <f t="shared" si="8"/>
        <v>0</v>
      </c>
      <c r="O34" s="315">
        <v>0</v>
      </c>
      <c r="P34" s="315">
        <v>0</v>
      </c>
      <c r="Q34" s="315">
        <v>0</v>
      </c>
      <c r="R34" s="315">
        <f t="shared" si="9"/>
        <v>0</v>
      </c>
      <c r="S34" s="315">
        <v>0</v>
      </c>
      <c r="T34" s="315">
        <v>0</v>
      </c>
      <c r="U34" s="315">
        <v>0</v>
      </c>
    </row>
    <row r="35" spans="1:21" x14ac:dyDescent="0.2">
      <c r="A35" s="2" t="s">
        <v>1783</v>
      </c>
      <c r="B35" s="315">
        <f t="shared" si="5"/>
        <v>43315</v>
      </c>
      <c r="C35" s="315">
        <v>8945</v>
      </c>
      <c r="D35" s="315">
        <v>28272</v>
      </c>
      <c r="E35" s="315">
        <v>6098</v>
      </c>
      <c r="F35" s="315">
        <f t="shared" si="6"/>
        <v>41989</v>
      </c>
      <c r="G35" s="315">
        <v>9901</v>
      </c>
      <c r="H35" s="315">
        <v>25959</v>
      </c>
      <c r="I35" s="315">
        <v>6129</v>
      </c>
      <c r="J35" s="315">
        <f t="shared" si="7"/>
        <v>20638</v>
      </c>
      <c r="K35" s="315">
        <v>5684</v>
      </c>
      <c r="L35" s="315">
        <v>12738</v>
      </c>
      <c r="M35" s="315">
        <v>2216</v>
      </c>
      <c r="N35" s="315">
        <f t="shared" si="8"/>
        <v>37852</v>
      </c>
      <c r="O35" s="315">
        <v>4640</v>
      </c>
      <c r="P35" s="315">
        <v>22940</v>
      </c>
      <c r="Q35" s="315">
        <v>10272</v>
      </c>
      <c r="R35" s="315">
        <f t="shared" si="9"/>
        <v>58133</v>
      </c>
      <c r="S35" s="315">
        <v>6925</v>
      </c>
      <c r="T35" s="315">
        <v>34561</v>
      </c>
      <c r="U35" s="315">
        <v>16647</v>
      </c>
    </row>
    <row r="36" spans="1:21" x14ac:dyDescent="0.2">
      <c r="A36" s="2" t="s">
        <v>1784</v>
      </c>
      <c r="B36" s="315">
        <f t="shared" si="5"/>
        <v>1904</v>
      </c>
      <c r="C36" s="315">
        <v>747</v>
      </c>
      <c r="D36" s="315">
        <v>1067</v>
      </c>
      <c r="E36" s="315">
        <v>90</v>
      </c>
      <c r="F36" s="315">
        <f t="shared" si="6"/>
        <v>1747</v>
      </c>
      <c r="G36" s="315">
        <v>650</v>
      </c>
      <c r="H36" s="315">
        <v>962</v>
      </c>
      <c r="I36" s="315">
        <v>135</v>
      </c>
      <c r="J36" s="315">
        <f t="shared" si="7"/>
        <v>1569</v>
      </c>
      <c r="K36" s="315">
        <v>762</v>
      </c>
      <c r="L36" s="315">
        <v>747</v>
      </c>
      <c r="M36" s="315">
        <v>60</v>
      </c>
      <c r="N36" s="315">
        <f t="shared" si="8"/>
        <v>1930</v>
      </c>
      <c r="O36" s="315">
        <v>85</v>
      </c>
      <c r="P36" s="315">
        <v>872</v>
      </c>
      <c r="Q36" s="315">
        <v>973</v>
      </c>
      <c r="R36" s="315">
        <f t="shared" si="9"/>
        <v>2079</v>
      </c>
      <c r="S36" s="315">
        <v>115</v>
      </c>
      <c r="T36" s="315">
        <v>1053</v>
      </c>
      <c r="U36" s="315">
        <v>911</v>
      </c>
    </row>
    <row r="37" spans="1:21" x14ac:dyDescent="0.2">
      <c r="A37" s="2" t="s">
        <v>1785</v>
      </c>
      <c r="B37" s="315">
        <f t="shared" si="5"/>
        <v>0</v>
      </c>
      <c r="C37" s="315">
        <v>0</v>
      </c>
      <c r="D37" s="315">
        <v>0</v>
      </c>
      <c r="E37" s="315">
        <v>0</v>
      </c>
      <c r="F37" s="315">
        <f t="shared" si="6"/>
        <v>0</v>
      </c>
      <c r="G37" s="315">
        <v>0</v>
      </c>
      <c r="H37" s="315">
        <v>0</v>
      </c>
      <c r="I37" s="315">
        <v>0</v>
      </c>
      <c r="J37" s="315">
        <f t="shared" si="7"/>
        <v>0</v>
      </c>
      <c r="K37" s="315">
        <v>0</v>
      </c>
      <c r="L37" s="315">
        <v>0</v>
      </c>
      <c r="M37" s="315">
        <v>0</v>
      </c>
      <c r="N37" s="315">
        <f t="shared" si="8"/>
        <v>0</v>
      </c>
      <c r="O37" s="315">
        <v>0</v>
      </c>
      <c r="P37" s="315">
        <v>0</v>
      </c>
      <c r="Q37" s="315">
        <v>0</v>
      </c>
      <c r="R37" s="315">
        <f t="shared" si="9"/>
        <v>0</v>
      </c>
      <c r="S37" s="315">
        <v>0</v>
      </c>
      <c r="T37" s="315">
        <v>0</v>
      </c>
      <c r="U37" s="315">
        <v>0</v>
      </c>
    </row>
    <row r="38" spans="1:21" ht="12" x14ac:dyDescent="0.2">
      <c r="A38" s="2" t="s">
        <v>1786</v>
      </c>
      <c r="B38" s="315">
        <f t="shared" si="5"/>
        <v>11904</v>
      </c>
      <c r="C38" s="315">
        <v>3557</v>
      </c>
      <c r="D38" s="315">
        <v>7715</v>
      </c>
      <c r="E38" s="315">
        <v>632</v>
      </c>
      <c r="F38" s="315">
        <f t="shared" si="6"/>
        <v>12627</v>
      </c>
      <c r="G38" s="315">
        <v>3687</v>
      </c>
      <c r="H38" s="315">
        <v>8074</v>
      </c>
      <c r="I38" s="315">
        <v>866</v>
      </c>
      <c r="J38" s="315">
        <f t="shared" si="7"/>
        <v>17811</v>
      </c>
      <c r="K38" s="315">
        <v>4903</v>
      </c>
      <c r="L38" s="315">
        <v>10444</v>
      </c>
      <c r="M38" s="315">
        <v>2464</v>
      </c>
      <c r="N38" s="315">
        <f t="shared" si="8"/>
        <v>19228</v>
      </c>
      <c r="O38" s="315">
        <v>1687</v>
      </c>
      <c r="P38" s="315">
        <v>8329</v>
      </c>
      <c r="Q38" s="315">
        <v>9212</v>
      </c>
      <c r="R38" s="315">
        <f t="shared" si="9"/>
        <v>23617</v>
      </c>
      <c r="S38" s="315">
        <v>1384</v>
      </c>
      <c r="T38" s="315">
        <v>10452</v>
      </c>
      <c r="U38" s="315">
        <v>11781</v>
      </c>
    </row>
    <row r="39" spans="1:21" x14ac:dyDescent="0.2">
      <c r="A39" s="2" t="s">
        <v>1787</v>
      </c>
      <c r="B39" s="315">
        <f>SUM(C39:E39)</f>
        <v>43869</v>
      </c>
      <c r="C39" s="315">
        <v>1714</v>
      </c>
      <c r="D39" s="315">
        <v>37135</v>
      </c>
      <c r="E39" s="315">
        <v>5020</v>
      </c>
      <c r="F39" s="315">
        <f t="shared" si="6"/>
        <v>46886</v>
      </c>
      <c r="G39" s="315">
        <v>2000</v>
      </c>
      <c r="H39" s="315">
        <v>41264</v>
      </c>
      <c r="I39" s="315">
        <v>3622</v>
      </c>
      <c r="J39" s="315">
        <f t="shared" si="7"/>
        <v>49312</v>
      </c>
      <c r="K39" s="315">
        <v>1644</v>
      </c>
      <c r="L39" s="315">
        <v>42632</v>
      </c>
      <c r="M39" s="315">
        <v>5036</v>
      </c>
      <c r="N39" s="315">
        <f t="shared" si="8"/>
        <v>55905</v>
      </c>
      <c r="O39" s="315">
        <v>3703</v>
      </c>
      <c r="P39" s="315">
        <v>25246</v>
      </c>
      <c r="Q39" s="315">
        <v>26956</v>
      </c>
      <c r="R39" s="315">
        <f t="shared" si="9"/>
        <v>61955</v>
      </c>
      <c r="S39" s="315">
        <v>3496</v>
      </c>
      <c r="T39" s="315">
        <v>26826</v>
      </c>
      <c r="U39" s="315">
        <v>31633</v>
      </c>
    </row>
    <row r="40" spans="1:21" s="24" customFormat="1" x14ac:dyDescent="0.2">
      <c r="A40" s="24" t="s">
        <v>10</v>
      </c>
      <c r="B40" s="622">
        <f>SUM(C40:E40)</f>
        <v>82293</v>
      </c>
      <c r="C40" s="622">
        <f>SUM(C41:C42)</f>
        <v>28234</v>
      </c>
      <c r="D40" s="622">
        <f t="shared" ref="D40:E40" si="30">SUM(D41:D42)</f>
        <v>50843</v>
      </c>
      <c r="E40" s="622">
        <f t="shared" si="30"/>
        <v>3216</v>
      </c>
      <c r="F40" s="622">
        <f>SUM(G40:I40)</f>
        <v>83459</v>
      </c>
      <c r="G40" s="622">
        <f>SUM(G41:G42)</f>
        <v>28966</v>
      </c>
      <c r="H40" s="622">
        <f t="shared" ref="H40:I40" si="31">SUM(H41:H42)</f>
        <v>50349</v>
      </c>
      <c r="I40" s="622">
        <f t="shared" si="31"/>
        <v>4144</v>
      </c>
      <c r="J40" s="622">
        <f>SUM(K40:M40)</f>
        <v>93129</v>
      </c>
      <c r="K40" s="622">
        <f>SUM(K41:K42)</f>
        <v>26826</v>
      </c>
      <c r="L40" s="622">
        <f t="shared" ref="L40:M40" si="32">SUM(L41:L42)</f>
        <v>58322</v>
      </c>
      <c r="M40" s="622">
        <f t="shared" si="32"/>
        <v>7981</v>
      </c>
      <c r="N40" s="622">
        <f>SUM(O40:Q40)</f>
        <v>103182</v>
      </c>
      <c r="O40" s="622">
        <f>SUM(O41:O42)</f>
        <v>6697</v>
      </c>
      <c r="P40" s="622">
        <f t="shared" ref="P40:Q40" si="33">SUM(P41:P42)</f>
        <v>43910</v>
      </c>
      <c r="Q40" s="622">
        <f t="shared" si="33"/>
        <v>52575</v>
      </c>
      <c r="R40" s="622">
        <f>SUM(S40:U40)</f>
        <v>105331</v>
      </c>
      <c r="S40" s="622">
        <f>SUM(S41:S42)</f>
        <v>6802</v>
      </c>
      <c r="T40" s="622">
        <f t="shared" ref="T40:U40" si="34">SUM(T41:T42)</f>
        <v>42413</v>
      </c>
      <c r="U40" s="622">
        <f t="shared" si="34"/>
        <v>56116</v>
      </c>
    </row>
    <row r="41" spans="1:21" x14ac:dyDescent="0.2">
      <c r="A41" s="2" t="s">
        <v>1788</v>
      </c>
      <c r="B41" s="315">
        <f>SUM(C41:E41)</f>
        <v>69135</v>
      </c>
      <c r="C41" s="315">
        <v>25466</v>
      </c>
      <c r="D41" s="315">
        <v>40491</v>
      </c>
      <c r="E41" s="315">
        <v>3178</v>
      </c>
      <c r="F41" s="315">
        <f>SUM(G41:I41)</f>
        <v>73909</v>
      </c>
      <c r="G41" s="315">
        <v>27176</v>
      </c>
      <c r="H41" s="315">
        <v>42595</v>
      </c>
      <c r="I41" s="315">
        <v>4138</v>
      </c>
      <c r="J41" s="315">
        <f>SUM(K41:M41)</f>
        <v>80382</v>
      </c>
      <c r="K41" s="315">
        <v>24671</v>
      </c>
      <c r="L41" s="315">
        <v>49213</v>
      </c>
      <c r="M41" s="315">
        <v>6498</v>
      </c>
      <c r="N41" s="315">
        <f>SUM(O41:Q41)</f>
        <v>91130</v>
      </c>
      <c r="O41" s="315">
        <v>6670</v>
      </c>
      <c r="P41" s="315">
        <v>37009</v>
      </c>
      <c r="Q41" s="315">
        <v>47451</v>
      </c>
      <c r="R41" s="315">
        <f>SUM(S41:U41)</f>
        <v>91895</v>
      </c>
      <c r="S41" s="315">
        <v>6726</v>
      </c>
      <c r="T41" s="315">
        <v>34693</v>
      </c>
      <c r="U41" s="315">
        <v>50476</v>
      </c>
    </row>
    <row r="42" spans="1:21" x14ac:dyDescent="0.2">
      <c r="A42" s="2" t="s">
        <v>1789</v>
      </c>
      <c r="B42" s="315">
        <f>SUM(C42:E42)</f>
        <v>13158</v>
      </c>
      <c r="C42" s="315">
        <v>2768</v>
      </c>
      <c r="D42" s="315">
        <v>10352</v>
      </c>
      <c r="E42" s="315">
        <v>38</v>
      </c>
      <c r="F42" s="315">
        <f>SUM(G42:I42)</f>
        <v>9550</v>
      </c>
      <c r="G42" s="315">
        <v>1790</v>
      </c>
      <c r="H42" s="315">
        <v>7754</v>
      </c>
      <c r="I42" s="315">
        <v>6</v>
      </c>
      <c r="J42" s="315">
        <f>SUM(K42:M42)</f>
        <v>12747</v>
      </c>
      <c r="K42" s="315">
        <v>2155</v>
      </c>
      <c r="L42" s="315">
        <v>9109</v>
      </c>
      <c r="M42" s="315">
        <v>1483</v>
      </c>
      <c r="N42" s="315">
        <f>SUM(O42:Q42)</f>
        <v>12052</v>
      </c>
      <c r="O42" s="315">
        <v>27</v>
      </c>
      <c r="P42" s="315">
        <v>6901</v>
      </c>
      <c r="Q42" s="315">
        <v>5124</v>
      </c>
      <c r="R42" s="315">
        <f>SUM(S42:U42)</f>
        <v>13436</v>
      </c>
      <c r="S42" s="315">
        <v>76</v>
      </c>
      <c r="T42" s="315">
        <v>7720</v>
      </c>
      <c r="U42" s="315">
        <v>5640</v>
      </c>
    </row>
    <row r="43" spans="1:21" s="24" customFormat="1" x14ac:dyDescent="0.2">
      <c r="A43" s="24" t="s">
        <v>134</v>
      </c>
      <c r="B43" s="622">
        <f>SUM(C43:E43)</f>
        <v>11856</v>
      </c>
      <c r="C43" s="622">
        <f>SUM(C44:C46)</f>
        <v>3792</v>
      </c>
      <c r="D43" s="622">
        <f t="shared" ref="D43:E43" si="35">SUM(D44:D46)</f>
        <v>7811</v>
      </c>
      <c r="E43" s="622">
        <f t="shared" si="35"/>
        <v>253</v>
      </c>
      <c r="F43" s="622">
        <f>SUM(G43:I43)</f>
        <v>11073</v>
      </c>
      <c r="G43" s="622">
        <f>SUM(G44:G46)</f>
        <v>2940</v>
      </c>
      <c r="H43" s="622">
        <f t="shared" ref="H43:I43" si="36">SUM(H44:H46)</f>
        <v>7697</v>
      </c>
      <c r="I43" s="622">
        <f t="shared" si="36"/>
        <v>436</v>
      </c>
      <c r="J43" s="622">
        <f>SUM(K43:M43)</f>
        <v>12824</v>
      </c>
      <c r="K43" s="622">
        <f>SUM(K44:K46)</f>
        <v>3610</v>
      </c>
      <c r="L43" s="622">
        <f t="shared" ref="L43:M43" si="37">SUM(L44:L46)</f>
        <v>8610</v>
      </c>
      <c r="M43" s="622">
        <f t="shared" si="37"/>
        <v>604</v>
      </c>
      <c r="N43" s="622">
        <f>SUM(O43:Q43)</f>
        <v>13835</v>
      </c>
      <c r="O43" s="622">
        <f>SUM(O44:O46)</f>
        <v>432</v>
      </c>
      <c r="P43" s="622">
        <f t="shared" ref="P43:Q43" si="38">SUM(P44:P46)</f>
        <v>7337</v>
      </c>
      <c r="Q43" s="622">
        <f t="shared" si="38"/>
        <v>6066</v>
      </c>
      <c r="R43" s="622">
        <f>SUM(S43:U43)</f>
        <v>21497</v>
      </c>
      <c r="S43" s="622">
        <f>SUM(S44:S46)</f>
        <v>841</v>
      </c>
      <c r="T43" s="622">
        <f t="shared" ref="T43:U43" si="39">SUM(T44:T46)</f>
        <v>10994</v>
      </c>
      <c r="U43" s="622">
        <f t="shared" si="39"/>
        <v>9662</v>
      </c>
    </row>
    <row r="44" spans="1:21" x14ac:dyDescent="0.2">
      <c r="A44" s="2" t="s">
        <v>1791</v>
      </c>
      <c r="B44" s="315">
        <f t="shared" si="5"/>
        <v>0</v>
      </c>
      <c r="C44" s="315">
        <v>0</v>
      </c>
      <c r="D44" s="315">
        <v>0</v>
      </c>
      <c r="E44" s="315">
        <v>0</v>
      </c>
      <c r="F44" s="315">
        <f t="shared" si="6"/>
        <v>0</v>
      </c>
      <c r="G44" s="315">
        <v>0</v>
      </c>
      <c r="H44" s="315">
        <v>0</v>
      </c>
      <c r="I44" s="315">
        <v>0</v>
      </c>
      <c r="J44" s="315">
        <f t="shared" si="7"/>
        <v>0</v>
      </c>
      <c r="K44" s="315">
        <v>0</v>
      </c>
      <c r="L44" s="315">
        <v>0</v>
      </c>
      <c r="M44" s="315">
        <v>0</v>
      </c>
      <c r="N44" s="315">
        <f t="shared" si="8"/>
        <v>0</v>
      </c>
      <c r="O44" s="315">
        <v>0</v>
      </c>
      <c r="P44" s="315">
        <v>0</v>
      </c>
      <c r="Q44" s="315">
        <v>0</v>
      </c>
      <c r="R44" s="315">
        <f t="shared" si="9"/>
        <v>0</v>
      </c>
      <c r="S44" s="315">
        <v>0</v>
      </c>
      <c r="T44" s="315">
        <v>0</v>
      </c>
      <c r="U44" s="315">
        <v>0</v>
      </c>
    </row>
    <row r="45" spans="1:21" x14ac:dyDescent="0.2">
      <c r="A45" s="2" t="s">
        <v>1792</v>
      </c>
      <c r="B45" s="315">
        <f t="shared" si="5"/>
        <v>11223</v>
      </c>
      <c r="C45" s="315">
        <v>3711</v>
      </c>
      <c r="D45" s="315">
        <v>7259</v>
      </c>
      <c r="E45" s="315">
        <v>253</v>
      </c>
      <c r="F45" s="315">
        <f t="shared" si="6"/>
        <v>10647</v>
      </c>
      <c r="G45" s="315">
        <v>2880</v>
      </c>
      <c r="H45" s="315">
        <v>7331</v>
      </c>
      <c r="I45" s="315">
        <v>436</v>
      </c>
      <c r="J45" s="315">
        <f t="shared" si="7"/>
        <v>12378</v>
      </c>
      <c r="K45" s="315">
        <v>3550</v>
      </c>
      <c r="L45" s="315">
        <v>8224</v>
      </c>
      <c r="M45" s="315">
        <v>604</v>
      </c>
      <c r="N45" s="315">
        <f t="shared" si="8"/>
        <v>13321</v>
      </c>
      <c r="O45" s="315">
        <v>432</v>
      </c>
      <c r="P45" s="315">
        <v>6934</v>
      </c>
      <c r="Q45" s="315">
        <v>5955</v>
      </c>
      <c r="R45" s="315">
        <f t="shared" si="9"/>
        <v>20929</v>
      </c>
      <c r="S45" s="315">
        <v>841</v>
      </c>
      <c r="T45" s="315">
        <v>10532</v>
      </c>
      <c r="U45" s="315">
        <v>9556</v>
      </c>
    </row>
    <row r="46" spans="1:21" x14ac:dyDescent="0.2">
      <c r="A46" s="2" t="s">
        <v>1793</v>
      </c>
      <c r="B46" s="315">
        <f t="shared" si="5"/>
        <v>633</v>
      </c>
      <c r="C46" s="315">
        <v>81</v>
      </c>
      <c r="D46" s="315">
        <v>552</v>
      </c>
      <c r="E46" s="315">
        <v>0</v>
      </c>
      <c r="F46" s="315">
        <f t="shared" si="6"/>
        <v>426</v>
      </c>
      <c r="G46" s="315">
        <v>60</v>
      </c>
      <c r="H46" s="315">
        <v>366</v>
      </c>
      <c r="I46" s="315">
        <v>0</v>
      </c>
      <c r="J46" s="315">
        <f t="shared" si="7"/>
        <v>446</v>
      </c>
      <c r="K46" s="315">
        <v>60</v>
      </c>
      <c r="L46" s="315">
        <v>386</v>
      </c>
      <c r="M46" s="315">
        <v>0</v>
      </c>
      <c r="N46" s="315">
        <f t="shared" si="8"/>
        <v>514</v>
      </c>
      <c r="O46" s="315">
        <v>0</v>
      </c>
      <c r="P46" s="315">
        <v>403</v>
      </c>
      <c r="Q46" s="315">
        <v>111</v>
      </c>
      <c r="R46" s="315">
        <f t="shared" si="9"/>
        <v>568</v>
      </c>
      <c r="S46" s="315">
        <v>0</v>
      </c>
      <c r="T46" s="315">
        <v>462</v>
      </c>
      <c r="U46" s="315">
        <v>106</v>
      </c>
    </row>
    <row r="47" spans="1:21" s="24" customFormat="1" x14ac:dyDescent="0.2">
      <c r="A47" s="24" t="s">
        <v>12</v>
      </c>
      <c r="B47" s="622">
        <f>SUM(C47:E47)</f>
        <v>87509</v>
      </c>
      <c r="C47" s="622">
        <f>SUM(C48:C55)</f>
        <v>19962</v>
      </c>
      <c r="D47" s="622">
        <f t="shared" ref="D47:E47" si="40">SUM(D48:D55)</f>
        <v>63329</v>
      </c>
      <c r="E47" s="622">
        <f t="shared" si="40"/>
        <v>4218</v>
      </c>
      <c r="F47" s="622">
        <f>SUM(G47:I47)</f>
        <v>64500</v>
      </c>
      <c r="G47" s="622">
        <f>SUM(G48:G55)</f>
        <v>13557</v>
      </c>
      <c r="H47" s="622">
        <f t="shared" ref="H47:I47" si="41">SUM(H48:H55)</f>
        <v>48483</v>
      </c>
      <c r="I47" s="622">
        <f t="shared" si="41"/>
        <v>2460</v>
      </c>
      <c r="J47" s="622">
        <f>SUM(K47:M47)</f>
        <v>61074</v>
      </c>
      <c r="K47" s="622">
        <f>SUM(K48:K55)</f>
        <v>12376</v>
      </c>
      <c r="L47" s="622">
        <f t="shared" ref="L47:M47" si="42">SUM(L48:L55)</f>
        <v>45282</v>
      </c>
      <c r="M47" s="622">
        <f t="shared" si="42"/>
        <v>3416</v>
      </c>
      <c r="N47" s="622">
        <f>SUM(O47:Q47)</f>
        <v>69916</v>
      </c>
      <c r="O47" s="622">
        <f>SUM(O48:O55)</f>
        <v>2591</v>
      </c>
      <c r="P47" s="622">
        <f t="shared" ref="P47:Q47" si="43">SUM(P48:P55)</f>
        <v>34046</v>
      </c>
      <c r="Q47" s="622">
        <f t="shared" si="43"/>
        <v>33279</v>
      </c>
      <c r="R47" s="622">
        <f>SUM(S47:U47)</f>
        <v>81981</v>
      </c>
      <c r="S47" s="622">
        <f>SUM(S48:S55)</f>
        <v>3605</v>
      </c>
      <c r="T47" s="622">
        <f t="shared" ref="T47:U47" si="44">SUM(T48:T55)</f>
        <v>41263</v>
      </c>
      <c r="U47" s="622">
        <f t="shared" si="44"/>
        <v>37113</v>
      </c>
    </row>
    <row r="48" spans="1:21" x14ac:dyDescent="0.2">
      <c r="A48" s="2" t="s">
        <v>1794</v>
      </c>
      <c r="B48" s="315">
        <f t="shared" si="5"/>
        <v>24200</v>
      </c>
      <c r="C48" s="315">
        <v>6175</v>
      </c>
      <c r="D48" s="315">
        <v>16307</v>
      </c>
      <c r="E48" s="315">
        <v>1718</v>
      </c>
      <c r="F48" s="315">
        <f t="shared" si="6"/>
        <v>9076</v>
      </c>
      <c r="G48" s="315">
        <v>2419</v>
      </c>
      <c r="H48" s="315">
        <v>6179</v>
      </c>
      <c r="I48" s="315">
        <v>478</v>
      </c>
      <c r="J48" s="315">
        <f t="shared" si="7"/>
        <v>5873</v>
      </c>
      <c r="K48" s="315">
        <v>2520</v>
      </c>
      <c r="L48" s="315">
        <v>2904</v>
      </c>
      <c r="M48" s="315">
        <v>449</v>
      </c>
      <c r="N48" s="315">
        <f t="shared" si="8"/>
        <v>6503</v>
      </c>
      <c r="O48" s="315">
        <v>724</v>
      </c>
      <c r="P48" s="315">
        <v>2903</v>
      </c>
      <c r="Q48" s="315">
        <v>2876</v>
      </c>
      <c r="R48" s="315">
        <f t="shared" si="9"/>
        <v>7977</v>
      </c>
      <c r="S48" s="315">
        <v>623</v>
      </c>
      <c r="T48" s="315">
        <v>3668</v>
      </c>
      <c r="U48" s="315">
        <v>3686</v>
      </c>
    </row>
    <row r="49" spans="1:21" x14ac:dyDescent="0.2">
      <c r="A49" s="2" t="s">
        <v>1795</v>
      </c>
      <c r="B49" s="315">
        <f t="shared" si="5"/>
        <v>11806</v>
      </c>
      <c r="C49" s="315">
        <v>2199</v>
      </c>
      <c r="D49" s="315">
        <v>8871</v>
      </c>
      <c r="E49" s="315">
        <v>736</v>
      </c>
      <c r="F49" s="315">
        <f t="shared" si="6"/>
        <v>7723</v>
      </c>
      <c r="G49" s="315">
        <v>996</v>
      </c>
      <c r="H49" s="315">
        <v>6549</v>
      </c>
      <c r="I49" s="315">
        <v>178</v>
      </c>
      <c r="J49" s="315">
        <f t="shared" si="7"/>
        <v>7190</v>
      </c>
      <c r="K49" s="315">
        <v>1691</v>
      </c>
      <c r="L49" s="315">
        <v>4902</v>
      </c>
      <c r="M49" s="315">
        <v>597</v>
      </c>
      <c r="N49" s="315">
        <f t="shared" si="8"/>
        <v>11957</v>
      </c>
      <c r="O49" s="315">
        <v>1010</v>
      </c>
      <c r="P49" s="315">
        <v>5454</v>
      </c>
      <c r="Q49" s="315">
        <v>5493</v>
      </c>
      <c r="R49" s="315">
        <f t="shared" si="9"/>
        <v>14887</v>
      </c>
      <c r="S49" s="315">
        <v>1596</v>
      </c>
      <c r="T49" s="315">
        <v>7004</v>
      </c>
      <c r="U49" s="315">
        <v>6287</v>
      </c>
    </row>
    <row r="50" spans="1:21" x14ac:dyDescent="0.2">
      <c r="A50" s="2" t="s">
        <v>1796</v>
      </c>
      <c r="B50" s="315">
        <f t="shared" si="5"/>
        <v>2821</v>
      </c>
      <c r="C50" s="315">
        <v>987</v>
      </c>
      <c r="D50" s="315">
        <v>1727</v>
      </c>
      <c r="E50" s="315">
        <v>107</v>
      </c>
      <c r="F50" s="315">
        <f t="shared" si="6"/>
        <v>3027</v>
      </c>
      <c r="G50" s="315">
        <v>793</v>
      </c>
      <c r="H50" s="315">
        <v>2016</v>
      </c>
      <c r="I50" s="315">
        <v>218</v>
      </c>
      <c r="J50" s="315">
        <f t="shared" si="7"/>
        <v>2985</v>
      </c>
      <c r="K50" s="315">
        <v>904</v>
      </c>
      <c r="L50" s="315">
        <v>1831</v>
      </c>
      <c r="M50" s="315">
        <v>250</v>
      </c>
      <c r="N50" s="315">
        <f t="shared" si="8"/>
        <v>2986</v>
      </c>
      <c r="O50" s="315">
        <v>41</v>
      </c>
      <c r="P50" s="315">
        <v>1474</v>
      </c>
      <c r="Q50" s="315">
        <v>1471</v>
      </c>
      <c r="R50" s="315">
        <f t="shared" si="9"/>
        <v>3427</v>
      </c>
      <c r="S50" s="315">
        <v>14</v>
      </c>
      <c r="T50" s="315">
        <v>1716</v>
      </c>
      <c r="U50" s="315">
        <v>1697</v>
      </c>
    </row>
    <row r="51" spans="1:21" x14ac:dyDescent="0.2">
      <c r="A51" s="2" t="s">
        <v>1797</v>
      </c>
      <c r="B51" s="315">
        <f t="shared" si="5"/>
        <v>308</v>
      </c>
      <c r="C51" s="315">
        <v>6</v>
      </c>
      <c r="D51" s="315">
        <v>302</v>
      </c>
      <c r="E51" s="315">
        <v>0</v>
      </c>
      <c r="F51" s="315">
        <f t="shared" si="6"/>
        <v>283</v>
      </c>
      <c r="G51" s="315">
        <v>5</v>
      </c>
      <c r="H51" s="315">
        <v>278</v>
      </c>
      <c r="I51" s="315">
        <v>0</v>
      </c>
      <c r="J51" s="315">
        <f t="shared" si="7"/>
        <v>285</v>
      </c>
      <c r="K51" s="315">
        <v>5</v>
      </c>
      <c r="L51" s="315">
        <v>280</v>
      </c>
      <c r="M51" s="315">
        <v>0</v>
      </c>
      <c r="N51" s="315">
        <f t="shared" si="8"/>
        <v>339</v>
      </c>
      <c r="O51" s="315">
        <v>3</v>
      </c>
      <c r="P51" s="315">
        <v>318</v>
      </c>
      <c r="Q51" s="315">
        <v>18</v>
      </c>
      <c r="R51" s="315">
        <f t="shared" si="9"/>
        <v>360</v>
      </c>
      <c r="S51" s="315">
        <v>0</v>
      </c>
      <c r="T51" s="315">
        <v>310</v>
      </c>
      <c r="U51" s="315">
        <v>50</v>
      </c>
    </row>
    <row r="52" spans="1:21" x14ac:dyDescent="0.2">
      <c r="A52" s="2" t="s">
        <v>1798</v>
      </c>
      <c r="B52" s="315">
        <f t="shared" si="5"/>
        <v>126</v>
      </c>
      <c r="C52" s="315">
        <v>30</v>
      </c>
      <c r="D52" s="315">
        <v>96</v>
      </c>
      <c r="E52" s="315">
        <v>0</v>
      </c>
      <c r="F52" s="315">
        <f t="shared" si="6"/>
        <v>327</v>
      </c>
      <c r="G52" s="315">
        <v>82</v>
      </c>
      <c r="H52" s="315">
        <v>242</v>
      </c>
      <c r="I52" s="315">
        <v>3</v>
      </c>
      <c r="J52" s="315">
        <f t="shared" si="7"/>
        <v>442</v>
      </c>
      <c r="K52" s="315">
        <v>138</v>
      </c>
      <c r="L52" s="315">
        <v>298</v>
      </c>
      <c r="M52" s="315">
        <v>6</v>
      </c>
      <c r="N52" s="315">
        <f t="shared" si="8"/>
        <v>313</v>
      </c>
      <c r="O52" s="315">
        <v>3</v>
      </c>
      <c r="P52" s="315">
        <v>170</v>
      </c>
      <c r="Q52" s="315">
        <v>140</v>
      </c>
      <c r="R52" s="315">
        <f t="shared" si="9"/>
        <v>232</v>
      </c>
      <c r="S52" s="315">
        <v>4</v>
      </c>
      <c r="T52" s="315">
        <v>140</v>
      </c>
      <c r="U52" s="315">
        <v>88</v>
      </c>
    </row>
    <row r="53" spans="1:21" x14ac:dyDescent="0.2">
      <c r="A53" s="2" t="s">
        <v>1799</v>
      </c>
      <c r="B53" s="315">
        <f t="shared" si="5"/>
        <v>12616</v>
      </c>
      <c r="C53" s="315">
        <v>2868</v>
      </c>
      <c r="D53" s="315">
        <v>9421</v>
      </c>
      <c r="E53" s="315">
        <v>327</v>
      </c>
      <c r="F53" s="315">
        <f t="shared" si="6"/>
        <v>11576</v>
      </c>
      <c r="G53" s="315">
        <v>2221</v>
      </c>
      <c r="H53" s="315">
        <v>9265</v>
      </c>
      <c r="I53" s="315">
        <v>90</v>
      </c>
      <c r="J53" s="315">
        <f t="shared" si="7"/>
        <v>9017</v>
      </c>
      <c r="K53" s="315">
        <v>668</v>
      </c>
      <c r="L53" s="315">
        <v>8306</v>
      </c>
      <c r="M53" s="315">
        <v>43</v>
      </c>
      <c r="N53" s="315">
        <f t="shared" si="8"/>
        <v>10412</v>
      </c>
      <c r="O53" s="315">
        <v>58</v>
      </c>
      <c r="P53" s="315">
        <v>6512</v>
      </c>
      <c r="Q53" s="315">
        <v>3842</v>
      </c>
      <c r="R53" s="315">
        <f t="shared" si="9"/>
        <v>11032</v>
      </c>
      <c r="S53" s="315">
        <v>78</v>
      </c>
      <c r="T53" s="315">
        <v>6567</v>
      </c>
      <c r="U53" s="315">
        <v>4387</v>
      </c>
    </row>
    <row r="54" spans="1:21" x14ac:dyDescent="0.2">
      <c r="A54" s="2" t="s">
        <v>1800</v>
      </c>
      <c r="B54" s="315">
        <f t="shared" si="5"/>
        <v>0</v>
      </c>
      <c r="C54" s="315">
        <v>0</v>
      </c>
      <c r="D54" s="315">
        <v>0</v>
      </c>
      <c r="E54" s="315">
        <v>0</v>
      </c>
      <c r="F54" s="315">
        <f t="shared" si="6"/>
        <v>0</v>
      </c>
      <c r="G54" s="315">
        <v>0</v>
      </c>
      <c r="H54" s="315">
        <v>0</v>
      </c>
      <c r="I54" s="315">
        <v>0</v>
      </c>
      <c r="J54" s="315">
        <f t="shared" si="7"/>
        <v>0</v>
      </c>
      <c r="K54" s="315">
        <v>0</v>
      </c>
      <c r="L54" s="315">
        <v>0</v>
      </c>
      <c r="M54" s="315">
        <v>0</v>
      </c>
      <c r="N54" s="315">
        <f t="shared" si="8"/>
        <v>0</v>
      </c>
      <c r="O54" s="315">
        <v>0</v>
      </c>
      <c r="P54" s="315">
        <v>0</v>
      </c>
      <c r="Q54" s="315">
        <v>0</v>
      </c>
      <c r="R54" s="315">
        <f t="shared" si="9"/>
        <v>0</v>
      </c>
      <c r="S54" s="315">
        <v>0</v>
      </c>
      <c r="T54" s="315">
        <v>0</v>
      </c>
      <c r="U54" s="315">
        <v>0</v>
      </c>
    </row>
    <row r="55" spans="1:21" x14ac:dyDescent="0.2">
      <c r="A55" s="2" t="s">
        <v>1873</v>
      </c>
      <c r="B55" s="315">
        <f t="shared" si="5"/>
        <v>35632</v>
      </c>
      <c r="C55" s="315">
        <v>7697</v>
      </c>
      <c r="D55" s="315">
        <v>26605</v>
      </c>
      <c r="E55" s="315">
        <v>1330</v>
      </c>
      <c r="F55" s="315">
        <f t="shared" si="6"/>
        <v>32488</v>
      </c>
      <c r="G55" s="315">
        <v>7041</v>
      </c>
      <c r="H55" s="315">
        <v>23954</v>
      </c>
      <c r="I55" s="315">
        <v>1493</v>
      </c>
      <c r="J55" s="315">
        <f t="shared" si="7"/>
        <v>35282</v>
      </c>
      <c r="K55" s="315">
        <v>6450</v>
      </c>
      <c r="L55" s="315">
        <v>26761</v>
      </c>
      <c r="M55" s="315">
        <v>2071</v>
      </c>
      <c r="N55" s="315">
        <f t="shared" si="8"/>
        <v>37406</v>
      </c>
      <c r="O55" s="315">
        <v>752</v>
      </c>
      <c r="P55" s="315">
        <v>17215</v>
      </c>
      <c r="Q55" s="315">
        <v>19439</v>
      </c>
      <c r="R55" s="315">
        <f t="shared" si="9"/>
        <v>44066</v>
      </c>
      <c r="S55" s="315">
        <v>1290</v>
      </c>
      <c r="T55" s="315">
        <v>21858</v>
      </c>
      <c r="U55" s="315">
        <v>20918</v>
      </c>
    </row>
    <row r="56" spans="1:21" s="24" customFormat="1" x14ac:dyDescent="0.2">
      <c r="A56" s="24" t="s">
        <v>13</v>
      </c>
      <c r="B56" s="622">
        <f>SUM(C56:E56)</f>
        <v>46221</v>
      </c>
      <c r="C56" s="622">
        <f>SUM(C57:C63)</f>
        <v>15337</v>
      </c>
      <c r="D56" s="622">
        <f t="shared" ref="D56:E56" si="45">SUM(D57:D63)</f>
        <v>30882</v>
      </c>
      <c r="E56" s="622">
        <f t="shared" si="45"/>
        <v>2</v>
      </c>
      <c r="F56" s="622">
        <f>SUM(G56:I56)</f>
        <v>49841</v>
      </c>
      <c r="G56" s="622">
        <f>SUM(G57:G63)</f>
        <v>16943</v>
      </c>
      <c r="H56" s="622">
        <f t="shared" ref="H56:I56" si="46">SUM(H57:H63)</f>
        <v>32838</v>
      </c>
      <c r="I56" s="622">
        <f t="shared" si="46"/>
        <v>60</v>
      </c>
      <c r="J56" s="622">
        <f>SUM(K56:M56)</f>
        <v>58769</v>
      </c>
      <c r="K56" s="622">
        <f>SUM(K57:K63)</f>
        <v>17889</v>
      </c>
      <c r="L56" s="622">
        <f t="shared" ref="L56:M56" si="47">SUM(L57:L63)</f>
        <v>40646</v>
      </c>
      <c r="M56" s="622">
        <f t="shared" si="47"/>
        <v>234</v>
      </c>
      <c r="N56" s="622">
        <f>SUM(O56:Q56)</f>
        <v>62104</v>
      </c>
      <c r="O56" s="622">
        <f>SUM(O57:O63)</f>
        <v>240</v>
      </c>
      <c r="P56" s="622">
        <f t="shared" ref="P56:Q56" si="48">SUM(P57:P63)</f>
        <v>33118</v>
      </c>
      <c r="Q56" s="622">
        <f t="shared" si="48"/>
        <v>28746</v>
      </c>
      <c r="R56" s="622">
        <f>SUM(S56:U56)</f>
        <v>86418</v>
      </c>
      <c r="S56" s="622">
        <f>SUM(S57:S63)</f>
        <v>144</v>
      </c>
      <c r="T56" s="622">
        <f t="shared" ref="T56:U56" si="49">SUM(T57:T63)</f>
        <v>45716</v>
      </c>
      <c r="U56" s="622">
        <f t="shared" si="49"/>
        <v>40558</v>
      </c>
    </row>
    <row r="57" spans="1:21" x14ac:dyDescent="0.2">
      <c r="A57" s="2" t="s">
        <v>1802</v>
      </c>
      <c r="B57" s="315">
        <f t="shared" si="5"/>
        <v>42349</v>
      </c>
      <c r="C57" s="315">
        <v>14411</v>
      </c>
      <c r="D57" s="315">
        <v>27936</v>
      </c>
      <c r="E57" s="315">
        <v>2</v>
      </c>
      <c r="F57" s="315">
        <f t="shared" si="6"/>
        <v>43713</v>
      </c>
      <c r="G57" s="315">
        <v>15261</v>
      </c>
      <c r="H57" s="315">
        <v>28452</v>
      </c>
      <c r="I57" s="315">
        <v>0</v>
      </c>
      <c r="J57" s="315">
        <f t="shared" si="7"/>
        <v>48271</v>
      </c>
      <c r="K57" s="315">
        <v>15325</v>
      </c>
      <c r="L57" s="315">
        <v>32946</v>
      </c>
      <c r="M57" s="315">
        <v>0</v>
      </c>
      <c r="N57" s="315">
        <f t="shared" si="8"/>
        <v>48837</v>
      </c>
      <c r="O57" s="315">
        <v>0</v>
      </c>
      <c r="P57" s="315">
        <v>26180</v>
      </c>
      <c r="Q57" s="315">
        <v>22657</v>
      </c>
      <c r="R57" s="315">
        <f t="shared" si="9"/>
        <v>68492</v>
      </c>
      <c r="S57" s="315">
        <v>12</v>
      </c>
      <c r="T57" s="315">
        <v>36335</v>
      </c>
      <c r="U57" s="315">
        <v>32145</v>
      </c>
    </row>
    <row r="58" spans="1:21" x14ac:dyDescent="0.2">
      <c r="A58" s="2" t="s">
        <v>1803</v>
      </c>
      <c r="B58" s="315">
        <f t="shared" si="5"/>
        <v>1245</v>
      </c>
      <c r="C58" s="315">
        <v>250</v>
      </c>
      <c r="D58" s="315">
        <v>995</v>
      </c>
      <c r="E58" s="315">
        <v>0</v>
      </c>
      <c r="F58" s="315">
        <f t="shared" si="6"/>
        <v>1076</v>
      </c>
      <c r="G58" s="315">
        <v>252</v>
      </c>
      <c r="H58" s="315">
        <v>824</v>
      </c>
      <c r="I58" s="315">
        <v>0</v>
      </c>
      <c r="J58" s="315">
        <f t="shared" si="7"/>
        <v>1377</v>
      </c>
      <c r="K58" s="315">
        <v>314</v>
      </c>
      <c r="L58" s="315">
        <v>1061</v>
      </c>
      <c r="M58" s="315">
        <v>2</v>
      </c>
      <c r="N58" s="315">
        <f t="shared" si="8"/>
        <v>1722</v>
      </c>
      <c r="O58" s="315">
        <v>0</v>
      </c>
      <c r="P58" s="315">
        <v>1153</v>
      </c>
      <c r="Q58" s="315">
        <v>569</v>
      </c>
      <c r="R58" s="315">
        <f t="shared" si="9"/>
        <v>2074</v>
      </c>
      <c r="S58" s="315">
        <v>0</v>
      </c>
      <c r="T58" s="315">
        <v>1391</v>
      </c>
      <c r="U58" s="315">
        <v>683</v>
      </c>
    </row>
    <row r="59" spans="1:21" x14ac:dyDescent="0.2">
      <c r="A59" s="2" t="s">
        <v>1874</v>
      </c>
      <c r="B59" s="315">
        <f t="shared" si="5"/>
        <v>386</v>
      </c>
      <c r="C59" s="315">
        <v>51</v>
      </c>
      <c r="D59" s="315">
        <v>335</v>
      </c>
      <c r="E59" s="315">
        <v>0</v>
      </c>
      <c r="F59" s="315">
        <f t="shared" si="6"/>
        <v>183</v>
      </c>
      <c r="G59" s="315">
        <v>5</v>
      </c>
      <c r="H59" s="315">
        <v>178</v>
      </c>
      <c r="I59" s="315">
        <v>0</v>
      </c>
      <c r="J59" s="315">
        <f t="shared" si="7"/>
        <v>558</v>
      </c>
      <c r="K59" s="315">
        <v>104</v>
      </c>
      <c r="L59" s="315">
        <v>454</v>
      </c>
      <c r="M59" s="315">
        <v>0</v>
      </c>
      <c r="N59" s="315">
        <f t="shared" si="8"/>
        <v>716</v>
      </c>
      <c r="O59" s="315">
        <v>0</v>
      </c>
      <c r="P59" s="315">
        <v>363</v>
      </c>
      <c r="Q59" s="315">
        <v>353</v>
      </c>
      <c r="R59" s="315">
        <f t="shared" si="9"/>
        <v>1364</v>
      </c>
      <c r="S59" s="315">
        <v>0</v>
      </c>
      <c r="T59" s="315">
        <v>701</v>
      </c>
      <c r="U59" s="315">
        <v>663</v>
      </c>
    </row>
    <row r="60" spans="1:21" x14ac:dyDescent="0.2">
      <c r="A60" s="2" t="s">
        <v>1805</v>
      </c>
      <c r="B60" s="315">
        <f t="shared" si="5"/>
        <v>330</v>
      </c>
      <c r="C60" s="315">
        <v>61</v>
      </c>
      <c r="D60" s="315">
        <v>269</v>
      </c>
      <c r="E60" s="315">
        <v>0</v>
      </c>
      <c r="F60" s="315">
        <f t="shared" si="6"/>
        <v>290</v>
      </c>
      <c r="G60" s="315">
        <v>41</v>
      </c>
      <c r="H60" s="315">
        <v>249</v>
      </c>
      <c r="I60" s="315">
        <v>0</v>
      </c>
      <c r="J60" s="315">
        <f t="shared" si="7"/>
        <v>468</v>
      </c>
      <c r="K60" s="315">
        <v>61</v>
      </c>
      <c r="L60" s="315">
        <v>392</v>
      </c>
      <c r="M60" s="315">
        <v>15</v>
      </c>
      <c r="N60" s="315">
        <f t="shared" si="8"/>
        <v>427</v>
      </c>
      <c r="O60" s="315">
        <v>0</v>
      </c>
      <c r="P60" s="315">
        <v>314</v>
      </c>
      <c r="Q60" s="315">
        <v>113</v>
      </c>
      <c r="R60" s="315">
        <f t="shared" si="9"/>
        <v>486</v>
      </c>
      <c r="S60" s="315">
        <v>14</v>
      </c>
      <c r="T60" s="315">
        <v>334</v>
      </c>
      <c r="U60" s="315">
        <v>138</v>
      </c>
    </row>
    <row r="61" spans="1:21" x14ac:dyDescent="0.2">
      <c r="A61" s="2" t="s">
        <v>1806</v>
      </c>
      <c r="B61" s="315">
        <f t="shared" si="5"/>
        <v>605</v>
      </c>
      <c r="C61" s="315">
        <v>138</v>
      </c>
      <c r="D61" s="315">
        <v>467</v>
      </c>
      <c r="E61" s="315">
        <v>0</v>
      </c>
      <c r="F61" s="315">
        <f t="shared" si="6"/>
        <v>534</v>
      </c>
      <c r="G61" s="315">
        <v>125</v>
      </c>
      <c r="H61" s="315">
        <v>406</v>
      </c>
      <c r="I61" s="315">
        <v>3</v>
      </c>
      <c r="J61" s="315">
        <f t="shared" si="7"/>
        <v>643</v>
      </c>
      <c r="K61" s="315">
        <v>149</v>
      </c>
      <c r="L61" s="315">
        <v>493</v>
      </c>
      <c r="M61" s="315">
        <v>1</v>
      </c>
      <c r="N61" s="315">
        <f t="shared" si="8"/>
        <v>676</v>
      </c>
      <c r="O61" s="315">
        <v>4</v>
      </c>
      <c r="P61" s="315">
        <v>417</v>
      </c>
      <c r="Q61" s="315">
        <v>255</v>
      </c>
      <c r="R61" s="315">
        <f t="shared" si="9"/>
        <v>872</v>
      </c>
      <c r="S61" s="315">
        <v>1</v>
      </c>
      <c r="T61" s="315">
        <v>503</v>
      </c>
      <c r="U61" s="315">
        <v>368</v>
      </c>
    </row>
    <row r="62" spans="1:21" x14ac:dyDescent="0.2">
      <c r="A62" s="2" t="s">
        <v>1807</v>
      </c>
      <c r="B62" s="315">
        <f t="shared" si="5"/>
        <v>1306</v>
      </c>
      <c r="C62" s="315">
        <v>426</v>
      </c>
      <c r="D62" s="315">
        <v>880</v>
      </c>
      <c r="E62" s="315">
        <v>0</v>
      </c>
      <c r="F62" s="315">
        <f t="shared" si="6"/>
        <v>4045</v>
      </c>
      <c r="G62" s="315">
        <v>1259</v>
      </c>
      <c r="H62" s="315">
        <v>2729</v>
      </c>
      <c r="I62" s="315">
        <v>57</v>
      </c>
      <c r="J62" s="315">
        <f t="shared" si="7"/>
        <v>7452</v>
      </c>
      <c r="K62" s="315">
        <v>1936</v>
      </c>
      <c r="L62" s="315">
        <v>5300</v>
      </c>
      <c r="M62" s="315">
        <v>216</v>
      </c>
      <c r="N62" s="315">
        <f t="shared" si="8"/>
        <v>9726</v>
      </c>
      <c r="O62" s="315">
        <v>236</v>
      </c>
      <c r="P62" s="315">
        <v>4691</v>
      </c>
      <c r="Q62" s="315">
        <v>4799</v>
      </c>
      <c r="R62" s="315">
        <f t="shared" si="9"/>
        <v>12956</v>
      </c>
      <c r="S62" s="315">
        <v>117</v>
      </c>
      <c r="T62" s="315">
        <v>6308</v>
      </c>
      <c r="U62" s="315">
        <v>6531</v>
      </c>
    </row>
    <row r="63" spans="1:21" x14ac:dyDescent="0.2">
      <c r="A63" s="2" t="s">
        <v>1808</v>
      </c>
      <c r="B63" s="315">
        <f t="shared" si="5"/>
        <v>0</v>
      </c>
      <c r="C63" s="315">
        <v>0</v>
      </c>
      <c r="D63" s="315">
        <v>0</v>
      </c>
      <c r="E63" s="315">
        <v>0</v>
      </c>
      <c r="F63" s="315">
        <f t="shared" si="6"/>
        <v>0</v>
      </c>
      <c r="G63" s="315">
        <v>0</v>
      </c>
      <c r="H63" s="315">
        <v>0</v>
      </c>
      <c r="I63" s="315">
        <v>0</v>
      </c>
      <c r="J63" s="315">
        <f t="shared" si="7"/>
        <v>0</v>
      </c>
      <c r="K63" s="315">
        <v>0</v>
      </c>
      <c r="L63" s="315">
        <v>0</v>
      </c>
      <c r="M63" s="315">
        <v>0</v>
      </c>
      <c r="N63" s="315">
        <f t="shared" si="8"/>
        <v>0</v>
      </c>
      <c r="O63" s="315">
        <v>0</v>
      </c>
      <c r="P63" s="315">
        <v>0</v>
      </c>
      <c r="Q63" s="315">
        <v>0</v>
      </c>
      <c r="R63" s="315">
        <f t="shared" si="9"/>
        <v>174</v>
      </c>
      <c r="S63" s="315">
        <v>0</v>
      </c>
      <c r="T63" s="315">
        <v>144</v>
      </c>
      <c r="U63" s="315">
        <v>30</v>
      </c>
    </row>
    <row r="64" spans="1:21" s="24" customFormat="1" x14ac:dyDescent="0.2">
      <c r="A64" s="24" t="s">
        <v>47</v>
      </c>
      <c r="B64" s="622">
        <f>SUM(C64:E64)</f>
        <v>197695</v>
      </c>
      <c r="C64" s="622">
        <f>SUM(C65:C77)</f>
        <v>42709</v>
      </c>
      <c r="D64" s="622">
        <f t="shared" ref="D64:E64" si="50">SUM(D65:D77)</f>
        <v>143617</v>
      </c>
      <c r="E64" s="622">
        <f t="shared" si="50"/>
        <v>11369</v>
      </c>
      <c r="F64" s="622">
        <f>SUM(G64:I64)</f>
        <v>228921</v>
      </c>
      <c r="G64" s="622">
        <f>SUM(G65:G77)</f>
        <v>48164</v>
      </c>
      <c r="H64" s="622">
        <f t="shared" ref="H64:I64" si="51">SUM(H65:H77)</f>
        <v>169654</v>
      </c>
      <c r="I64" s="622">
        <f t="shared" si="51"/>
        <v>11103</v>
      </c>
      <c r="J64" s="622">
        <f>SUM(K64:M64)</f>
        <v>262021</v>
      </c>
      <c r="K64" s="622">
        <f>SUM(K65:K77)</f>
        <v>58533</v>
      </c>
      <c r="L64" s="622">
        <f t="shared" ref="L64:M64" si="52">SUM(L65:L77)</f>
        <v>185081</v>
      </c>
      <c r="M64" s="622">
        <f t="shared" si="52"/>
        <v>18407</v>
      </c>
      <c r="N64" s="622">
        <f>SUM(O64:Q64)</f>
        <v>394130</v>
      </c>
      <c r="O64" s="622">
        <f>SUM(O65:O77)</f>
        <v>22247</v>
      </c>
      <c r="P64" s="622">
        <f t="shared" ref="P64:Q64" si="53">SUM(P65:P77)</f>
        <v>200400</v>
      </c>
      <c r="Q64" s="622">
        <f t="shared" si="53"/>
        <v>171483</v>
      </c>
      <c r="R64" s="622">
        <f>SUM(S64:U64)</f>
        <v>483745</v>
      </c>
      <c r="S64" s="622">
        <f>SUM(S65:S77)</f>
        <v>21396</v>
      </c>
      <c r="T64" s="622">
        <f t="shared" ref="T64:U64" si="54">SUM(T65:T77)</f>
        <v>253199</v>
      </c>
      <c r="U64" s="622">
        <f t="shared" si="54"/>
        <v>209150</v>
      </c>
    </row>
    <row r="65" spans="1:21" x14ac:dyDescent="0.2">
      <c r="A65" s="2" t="s">
        <v>1809</v>
      </c>
      <c r="B65" s="315">
        <f t="shared" si="5"/>
        <v>36194</v>
      </c>
      <c r="C65" s="315">
        <v>10626</v>
      </c>
      <c r="D65" s="315">
        <v>23298</v>
      </c>
      <c r="E65" s="315">
        <v>2270</v>
      </c>
      <c r="F65" s="315">
        <f t="shared" si="6"/>
        <v>31129</v>
      </c>
      <c r="G65" s="315">
        <v>8826</v>
      </c>
      <c r="H65" s="315">
        <v>20446</v>
      </c>
      <c r="I65" s="315">
        <v>1857</v>
      </c>
      <c r="J65" s="315">
        <f t="shared" si="7"/>
        <v>37593</v>
      </c>
      <c r="K65" s="315">
        <v>9773</v>
      </c>
      <c r="L65" s="315">
        <v>24704</v>
      </c>
      <c r="M65" s="315">
        <v>3116</v>
      </c>
      <c r="N65" s="315">
        <f t="shared" si="8"/>
        <v>66311</v>
      </c>
      <c r="O65" s="315">
        <v>6488</v>
      </c>
      <c r="P65" s="315">
        <v>31423</v>
      </c>
      <c r="Q65" s="315">
        <v>28400</v>
      </c>
      <c r="R65" s="315">
        <f t="shared" si="9"/>
        <v>86177</v>
      </c>
      <c r="S65" s="315">
        <v>4438</v>
      </c>
      <c r="T65" s="315">
        <v>42408</v>
      </c>
      <c r="U65" s="315">
        <v>39331</v>
      </c>
    </row>
    <row r="66" spans="1:21" x14ac:dyDescent="0.2">
      <c r="A66" s="2" t="s">
        <v>1810</v>
      </c>
      <c r="B66" s="315">
        <f t="shared" si="5"/>
        <v>23790</v>
      </c>
      <c r="C66" s="315">
        <v>3142</v>
      </c>
      <c r="D66" s="315">
        <v>18505</v>
      </c>
      <c r="E66" s="315">
        <v>2143</v>
      </c>
      <c r="F66" s="315">
        <f t="shared" si="6"/>
        <v>22533</v>
      </c>
      <c r="G66" s="315">
        <v>2330</v>
      </c>
      <c r="H66" s="315">
        <v>18082</v>
      </c>
      <c r="I66" s="315">
        <v>2121</v>
      </c>
      <c r="J66" s="315">
        <f t="shared" si="7"/>
        <v>23614</v>
      </c>
      <c r="K66" s="315">
        <v>2338</v>
      </c>
      <c r="L66" s="315">
        <v>20045</v>
      </c>
      <c r="M66" s="315">
        <v>1231</v>
      </c>
      <c r="N66" s="315">
        <f t="shared" si="8"/>
        <v>34104</v>
      </c>
      <c r="O66" s="315">
        <v>2001</v>
      </c>
      <c r="P66" s="315">
        <v>16159</v>
      </c>
      <c r="Q66" s="315">
        <v>15944</v>
      </c>
      <c r="R66" s="315">
        <f t="shared" si="9"/>
        <v>37376</v>
      </c>
      <c r="S66" s="315">
        <v>2350</v>
      </c>
      <c r="T66" s="315">
        <v>17773</v>
      </c>
      <c r="U66" s="315">
        <v>17253</v>
      </c>
    </row>
    <row r="67" spans="1:21" x14ac:dyDescent="0.2">
      <c r="A67" s="2" t="s">
        <v>1811</v>
      </c>
      <c r="B67" s="315">
        <f>SUM(C67:E67)</f>
        <v>7500</v>
      </c>
      <c r="C67" s="315">
        <v>1544</v>
      </c>
      <c r="D67" s="315">
        <v>5609</v>
      </c>
      <c r="E67" s="315">
        <v>347</v>
      </c>
      <c r="F67" s="315">
        <f t="shared" si="6"/>
        <v>7626</v>
      </c>
      <c r="G67" s="315">
        <v>1319</v>
      </c>
      <c r="H67" s="315">
        <v>5972</v>
      </c>
      <c r="I67" s="315">
        <v>335</v>
      </c>
      <c r="J67" s="315">
        <f t="shared" si="7"/>
        <v>9061</v>
      </c>
      <c r="K67" s="315">
        <v>1953</v>
      </c>
      <c r="L67" s="315">
        <v>6484</v>
      </c>
      <c r="M67" s="315">
        <v>624</v>
      </c>
      <c r="N67" s="315">
        <f t="shared" si="8"/>
        <v>12992</v>
      </c>
      <c r="O67" s="315">
        <v>1160</v>
      </c>
      <c r="P67" s="315">
        <v>6383</v>
      </c>
      <c r="Q67" s="315">
        <v>5449</v>
      </c>
      <c r="R67" s="315">
        <f t="shared" si="9"/>
        <v>15545</v>
      </c>
      <c r="S67" s="315">
        <v>876</v>
      </c>
      <c r="T67" s="315">
        <v>7751</v>
      </c>
      <c r="U67" s="315">
        <v>6918</v>
      </c>
    </row>
    <row r="68" spans="1:21" x14ac:dyDescent="0.2">
      <c r="A68" s="2" t="s">
        <v>1812</v>
      </c>
      <c r="B68" s="315">
        <f t="shared" si="5"/>
        <v>2021</v>
      </c>
      <c r="C68" s="315">
        <v>465</v>
      </c>
      <c r="D68" s="315">
        <v>1556</v>
      </c>
      <c r="E68" s="315">
        <v>0</v>
      </c>
      <c r="F68" s="315">
        <f t="shared" si="6"/>
        <v>1674</v>
      </c>
      <c r="G68" s="315">
        <v>252</v>
      </c>
      <c r="H68" s="315">
        <v>1394</v>
      </c>
      <c r="I68" s="315">
        <v>28</v>
      </c>
      <c r="J68" s="315">
        <f t="shared" si="7"/>
        <v>4799</v>
      </c>
      <c r="K68" s="315">
        <v>1464</v>
      </c>
      <c r="L68" s="315">
        <v>3146</v>
      </c>
      <c r="M68" s="315">
        <v>189</v>
      </c>
      <c r="N68" s="315">
        <f t="shared" si="8"/>
        <v>4664</v>
      </c>
      <c r="O68" s="315">
        <v>70</v>
      </c>
      <c r="P68" s="315">
        <v>2575</v>
      </c>
      <c r="Q68" s="315">
        <v>2019</v>
      </c>
      <c r="R68" s="315">
        <f t="shared" si="9"/>
        <v>7305</v>
      </c>
      <c r="S68" s="315">
        <v>349</v>
      </c>
      <c r="T68" s="315">
        <v>3709</v>
      </c>
      <c r="U68" s="315">
        <v>3247</v>
      </c>
    </row>
    <row r="69" spans="1:21" x14ac:dyDescent="0.2">
      <c r="A69" s="2" t="s">
        <v>1813</v>
      </c>
      <c r="B69" s="315">
        <f t="shared" si="5"/>
        <v>49109</v>
      </c>
      <c r="C69" s="315">
        <v>8863</v>
      </c>
      <c r="D69" s="315">
        <v>37988</v>
      </c>
      <c r="E69" s="315">
        <v>2258</v>
      </c>
      <c r="F69" s="315">
        <f t="shared" si="6"/>
        <v>80669</v>
      </c>
      <c r="G69" s="315">
        <v>16523</v>
      </c>
      <c r="H69" s="315">
        <v>61293</v>
      </c>
      <c r="I69" s="315">
        <v>2853</v>
      </c>
      <c r="J69" s="315">
        <f t="shared" si="7"/>
        <v>85602</v>
      </c>
      <c r="K69" s="315">
        <v>19784</v>
      </c>
      <c r="L69" s="315">
        <v>60811</v>
      </c>
      <c r="M69" s="315">
        <v>5007</v>
      </c>
      <c r="N69" s="315">
        <f t="shared" si="8"/>
        <v>121609</v>
      </c>
      <c r="O69" s="315">
        <v>5848</v>
      </c>
      <c r="P69" s="315">
        <v>61661</v>
      </c>
      <c r="Q69" s="315">
        <v>54100</v>
      </c>
      <c r="R69" s="315">
        <f t="shared" si="9"/>
        <v>141781</v>
      </c>
      <c r="S69" s="315">
        <v>5767</v>
      </c>
      <c r="T69" s="315">
        <v>74705</v>
      </c>
      <c r="U69" s="315">
        <v>61309</v>
      </c>
    </row>
    <row r="70" spans="1:21" x14ac:dyDescent="0.2">
      <c r="A70" s="2" t="s">
        <v>1814</v>
      </c>
      <c r="B70" s="315">
        <f t="shared" si="5"/>
        <v>6</v>
      </c>
      <c r="C70" s="315">
        <v>0</v>
      </c>
      <c r="D70" s="315">
        <v>6</v>
      </c>
      <c r="E70" s="315">
        <v>0</v>
      </c>
      <c r="F70" s="315">
        <f t="shared" si="6"/>
        <v>20</v>
      </c>
      <c r="G70" s="315">
        <v>0</v>
      </c>
      <c r="H70" s="315">
        <v>20</v>
      </c>
      <c r="I70" s="315">
        <v>0</v>
      </c>
      <c r="J70" s="315">
        <f t="shared" si="7"/>
        <v>16</v>
      </c>
      <c r="K70" s="315">
        <v>4</v>
      </c>
      <c r="L70" s="315">
        <v>12</v>
      </c>
      <c r="M70" s="315">
        <v>0</v>
      </c>
      <c r="N70" s="315">
        <f t="shared" si="8"/>
        <v>50</v>
      </c>
      <c r="O70" s="315">
        <v>0</v>
      </c>
      <c r="P70" s="315">
        <v>26</v>
      </c>
      <c r="Q70" s="315">
        <v>24</v>
      </c>
      <c r="R70" s="315">
        <f t="shared" si="9"/>
        <v>64</v>
      </c>
      <c r="S70" s="315">
        <v>0</v>
      </c>
      <c r="T70" s="315">
        <v>35</v>
      </c>
      <c r="U70" s="315">
        <v>29</v>
      </c>
    </row>
    <row r="71" spans="1:21" x14ac:dyDescent="0.2">
      <c r="A71" s="2" t="s">
        <v>1815</v>
      </c>
      <c r="B71" s="315">
        <f t="shared" si="5"/>
        <v>0</v>
      </c>
      <c r="C71" s="315">
        <v>0</v>
      </c>
      <c r="D71" s="315">
        <v>0</v>
      </c>
      <c r="E71" s="315">
        <v>0</v>
      </c>
      <c r="F71" s="315">
        <f t="shared" si="6"/>
        <v>0</v>
      </c>
      <c r="G71" s="315">
        <v>0</v>
      </c>
      <c r="H71" s="315">
        <v>0</v>
      </c>
      <c r="I71" s="315">
        <v>0</v>
      </c>
      <c r="J71" s="315">
        <f t="shared" si="7"/>
        <v>0</v>
      </c>
      <c r="K71" s="315">
        <v>0</v>
      </c>
      <c r="L71" s="315">
        <v>0</v>
      </c>
      <c r="M71" s="315">
        <v>0</v>
      </c>
      <c r="N71" s="315">
        <f t="shared" si="8"/>
        <v>0</v>
      </c>
      <c r="O71" s="315">
        <v>0</v>
      </c>
      <c r="P71" s="315">
        <v>0</v>
      </c>
      <c r="Q71" s="315">
        <v>0</v>
      </c>
      <c r="R71" s="315">
        <f t="shared" si="9"/>
        <v>0</v>
      </c>
      <c r="S71" s="315">
        <v>0</v>
      </c>
      <c r="T71" s="315">
        <v>0</v>
      </c>
      <c r="U71" s="315">
        <v>0</v>
      </c>
    </row>
    <row r="72" spans="1:21" x14ac:dyDescent="0.2">
      <c r="A72" s="2" t="s">
        <v>1816</v>
      </c>
      <c r="B72" s="315">
        <f t="shared" si="5"/>
        <v>22651</v>
      </c>
      <c r="C72" s="315">
        <v>7767</v>
      </c>
      <c r="D72" s="315">
        <v>14872</v>
      </c>
      <c r="E72" s="315">
        <v>12</v>
      </c>
      <c r="F72" s="315">
        <f t="shared" si="6"/>
        <v>24796</v>
      </c>
      <c r="G72" s="315">
        <v>6872</v>
      </c>
      <c r="H72" s="315">
        <v>17828</v>
      </c>
      <c r="I72" s="315">
        <v>96</v>
      </c>
      <c r="J72" s="315">
        <f t="shared" si="7"/>
        <v>29447</v>
      </c>
      <c r="K72" s="315">
        <v>8106</v>
      </c>
      <c r="L72" s="315">
        <v>21288</v>
      </c>
      <c r="M72" s="315">
        <v>53</v>
      </c>
      <c r="N72" s="315">
        <f t="shared" si="8"/>
        <v>55649</v>
      </c>
      <c r="O72" s="315">
        <v>8</v>
      </c>
      <c r="P72" s="315">
        <v>31854</v>
      </c>
      <c r="Q72" s="315">
        <v>23787</v>
      </c>
      <c r="R72" s="315">
        <f t="shared" si="9"/>
        <v>84569</v>
      </c>
      <c r="S72" s="315">
        <v>30</v>
      </c>
      <c r="T72" s="315">
        <v>48309</v>
      </c>
      <c r="U72" s="315">
        <v>36230</v>
      </c>
    </row>
    <row r="73" spans="1:21" x14ac:dyDescent="0.2">
      <c r="A73" s="2" t="s">
        <v>1817</v>
      </c>
      <c r="B73" s="315">
        <f>SUM(C73:E73)</f>
        <v>23</v>
      </c>
      <c r="C73" s="315">
        <v>0</v>
      </c>
      <c r="D73" s="315">
        <v>23</v>
      </c>
      <c r="E73" s="315">
        <v>0</v>
      </c>
      <c r="F73" s="315">
        <f t="shared" si="6"/>
        <v>0</v>
      </c>
      <c r="G73" s="315">
        <v>0</v>
      </c>
      <c r="H73" s="315">
        <v>0</v>
      </c>
      <c r="I73" s="315">
        <v>0</v>
      </c>
      <c r="J73" s="315">
        <f t="shared" si="7"/>
        <v>0</v>
      </c>
      <c r="K73" s="315">
        <v>0</v>
      </c>
      <c r="L73" s="315">
        <v>0</v>
      </c>
      <c r="M73" s="315">
        <v>0</v>
      </c>
      <c r="N73" s="315">
        <f t="shared" si="8"/>
        <v>350</v>
      </c>
      <c r="O73" s="315">
        <v>9</v>
      </c>
      <c r="P73" s="315">
        <v>180</v>
      </c>
      <c r="Q73" s="315">
        <v>161</v>
      </c>
      <c r="R73" s="315">
        <f t="shared" si="9"/>
        <v>637</v>
      </c>
      <c r="S73" s="315">
        <v>13</v>
      </c>
      <c r="T73" s="315">
        <v>302</v>
      </c>
      <c r="U73" s="315">
        <v>322</v>
      </c>
    </row>
    <row r="74" spans="1:21" x14ac:dyDescent="0.2">
      <c r="A74" s="2" t="s">
        <v>1818</v>
      </c>
      <c r="B74" s="315">
        <f t="shared" si="5"/>
        <v>0</v>
      </c>
      <c r="C74" s="315">
        <v>0</v>
      </c>
      <c r="D74" s="315">
        <v>0</v>
      </c>
      <c r="E74" s="315">
        <v>0</v>
      </c>
      <c r="F74" s="315">
        <f t="shared" si="6"/>
        <v>0</v>
      </c>
      <c r="G74" s="315">
        <v>0</v>
      </c>
      <c r="H74" s="315">
        <v>0</v>
      </c>
      <c r="I74" s="315">
        <v>0</v>
      </c>
      <c r="J74" s="315">
        <f t="shared" si="7"/>
        <v>60</v>
      </c>
      <c r="K74" s="315">
        <v>2</v>
      </c>
      <c r="L74" s="315">
        <v>58</v>
      </c>
      <c r="M74" s="315">
        <v>0</v>
      </c>
      <c r="N74" s="315">
        <f t="shared" si="8"/>
        <v>0</v>
      </c>
      <c r="O74" s="315">
        <v>0</v>
      </c>
      <c r="P74" s="315">
        <v>0</v>
      </c>
      <c r="Q74" s="315">
        <v>0</v>
      </c>
      <c r="R74" s="315">
        <f t="shared" si="9"/>
        <v>0</v>
      </c>
      <c r="S74" s="315">
        <v>0</v>
      </c>
      <c r="T74" s="315">
        <v>0</v>
      </c>
      <c r="U74" s="315">
        <v>0</v>
      </c>
    </row>
    <row r="75" spans="1:21" x14ac:dyDescent="0.2">
      <c r="A75" s="2" t="s">
        <v>1819</v>
      </c>
      <c r="B75" s="315">
        <f t="shared" si="5"/>
        <v>158</v>
      </c>
      <c r="C75" s="315">
        <v>0</v>
      </c>
      <c r="D75" s="315">
        <v>158</v>
      </c>
      <c r="E75" s="315">
        <v>0</v>
      </c>
      <c r="F75" s="315">
        <f t="shared" si="6"/>
        <v>531</v>
      </c>
      <c r="G75" s="315">
        <v>94</v>
      </c>
      <c r="H75" s="315">
        <v>436</v>
      </c>
      <c r="I75" s="315">
        <v>1</v>
      </c>
      <c r="J75" s="315">
        <f t="shared" si="7"/>
        <v>31</v>
      </c>
      <c r="K75" s="315">
        <v>0</v>
      </c>
      <c r="L75" s="315">
        <v>31</v>
      </c>
      <c r="M75" s="315">
        <v>0</v>
      </c>
      <c r="N75" s="315">
        <f t="shared" si="8"/>
        <v>4084</v>
      </c>
      <c r="O75" s="315">
        <v>130</v>
      </c>
      <c r="P75" s="315">
        <v>2802</v>
      </c>
      <c r="Q75" s="315">
        <v>1152</v>
      </c>
      <c r="R75" s="315">
        <f t="shared" si="9"/>
        <v>11400</v>
      </c>
      <c r="S75" s="315">
        <v>193</v>
      </c>
      <c r="T75" s="315">
        <v>8358</v>
      </c>
      <c r="U75" s="315">
        <v>2849</v>
      </c>
    </row>
    <row r="76" spans="1:21" x14ac:dyDescent="0.2">
      <c r="A76" s="2" t="s">
        <v>1820</v>
      </c>
      <c r="B76" s="315">
        <f>SUM(C76:E76)</f>
        <v>1273</v>
      </c>
      <c r="C76" s="315">
        <v>394</v>
      </c>
      <c r="D76" s="315">
        <v>690</v>
      </c>
      <c r="E76" s="315">
        <v>189</v>
      </c>
      <c r="F76" s="315">
        <f t="shared" ref="F76:F124" si="55">SUM(G76:I76)</f>
        <v>1339</v>
      </c>
      <c r="G76" s="315">
        <v>407</v>
      </c>
      <c r="H76" s="315">
        <v>796</v>
      </c>
      <c r="I76" s="315">
        <v>136</v>
      </c>
      <c r="J76" s="315">
        <f t="shared" ref="J76:J124" si="56">SUM(K76:M76)</f>
        <v>2335</v>
      </c>
      <c r="K76" s="315">
        <v>836</v>
      </c>
      <c r="L76" s="315">
        <v>1325</v>
      </c>
      <c r="M76" s="315">
        <v>174</v>
      </c>
      <c r="N76" s="315">
        <f t="shared" ref="N76:N124" si="57">SUM(O76:Q76)</f>
        <v>3185</v>
      </c>
      <c r="O76" s="315">
        <v>454</v>
      </c>
      <c r="P76" s="315">
        <v>1257</v>
      </c>
      <c r="Q76" s="315">
        <v>1474</v>
      </c>
      <c r="R76" s="315">
        <f t="shared" ref="R76:R124" si="58">SUM(S76:U76)</f>
        <v>6125</v>
      </c>
      <c r="S76" s="315">
        <v>469</v>
      </c>
      <c r="T76" s="315">
        <v>2836</v>
      </c>
      <c r="U76" s="315">
        <v>2820</v>
      </c>
    </row>
    <row r="77" spans="1:21" x14ac:dyDescent="0.2">
      <c r="A77" s="2" t="s">
        <v>1821</v>
      </c>
      <c r="B77" s="315">
        <f>SUM(C77:E77)</f>
        <v>54970</v>
      </c>
      <c r="C77" s="315">
        <v>9908</v>
      </c>
      <c r="D77" s="315">
        <v>40912</v>
      </c>
      <c r="E77" s="315">
        <v>4150</v>
      </c>
      <c r="F77" s="315">
        <f t="shared" si="55"/>
        <v>58604</v>
      </c>
      <c r="G77" s="315">
        <v>11541</v>
      </c>
      <c r="H77" s="315">
        <v>43387</v>
      </c>
      <c r="I77" s="315">
        <v>3676</v>
      </c>
      <c r="J77" s="315">
        <f t="shared" si="56"/>
        <v>69463</v>
      </c>
      <c r="K77" s="315">
        <v>14273</v>
      </c>
      <c r="L77" s="315">
        <v>47177</v>
      </c>
      <c r="M77" s="315">
        <v>8013</v>
      </c>
      <c r="N77" s="315">
        <f t="shared" si="57"/>
        <v>91132</v>
      </c>
      <c r="O77" s="315">
        <v>6079</v>
      </c>
      <c r="P77" s="315">
        <v>46080</v>
      </c>
      <c r="Q77" s="315">
        <v>38973</v>
      </c>
      <c r="R77" s="315">
        <f t="shared" si="58"/>
        <v>92766</v>
      </c>
      <c r="S77" s="315">
        <v>6911</v>
      </c>
      <c r="T77" s="315">
        <v>47013</v>
      </c>
      <c r="U77" s="315">
        <v>38842</v>
      </c>
    </row>
    <row r="78" spans="1:21" s="24" customFormat="1" x14ac:dyDescent="0.2">
      <c r="A78" s="24" t="s">
        <v>135</v>
      </c>
      <c r="B78" s="622">
        <f>SUM(C78:E78)</f>
        <v>345</v>
      </c>
      <c r="C78" s="622">
        <f>SUM(C79:C80)</f>
        <v>90</v>
      </c>
      <c r="D78" s="622">
        <f t="shared" ref="D78:E78" si="59">SUM(D79:D80)</f>
        <v>217</v>
      </c>
      <c r="E78" s="622">
        <f t="shared" si="59"/>
        <v>38</v>
      </c>
      <c r="F78" s="622">
        <f>SUM(G78:I78)</f>
        <v>376</v>
      </c>
      <c r="G78" s="622">
        <f>SUM(G79:G80)</f>
        <v>37</v>
      </c>
      <c r="H78" s="622">
        <f t="shared" ref="H78:I78" si="60">SUM(H79:H80)</f>
        <v>317</v>
      </c>
      <c r="I78" s="622">
        <f t="shared" si="60"/>
        <v>22</v>
      </c>
      <c r="J78" s="622">
        <f>SUM(K78:M78)</f>
        <v>1159</v>
      </c>
      <c r="K78" s="622">
        <f>SUM(K79:K80)</f>
        <v>102</v>
      </c>
      <c r="L78" s="622">
        <f t="shared" ref="L78:M78" si="61">SUM(L79:L80)</f>
        <v>1048</v>
      </c>
      <c r="M78" s="622">
        <f t="shared" si="61"/>
        <v>9</v>
      </c>
      <c r="N78" s="622">
        <f>SUM(O78:Q78)</f>
        <v>1243</v>
      </c>
      <c r="O78" s="622">
        <f>SUM(O79:O80)</f>
        <v>22</v>
      </c>
      <c r="P78" s="622">
        <f t="shared" ref="P78:Q78" si="62">SUM(P79:P80)</f>
        <v>687</v>
      </c>
      <c r="Q78" s="622">
        <f t="shared" si="62"/>
        <v>534</v>
      </c>
      <c r="R78" s="622">
        <f>SUM(S78:U78)</f>
        <v>2401</v>
      </c>
      <c r="S78" s="622">
        <f>SUM(S79:S80)</f>
        <v>79</v>
      </c>
      <c r="T78" s="622">
        <f t="shared" ref="T78:U78" si="63">SUM(T79:T80)</f>
        <v>1344</v>
      </c>
      <c r="U78" s="622">
        <f t="shared" si="63"/>
        <v>978</v>
      </c>
    </row>
    <row r="79" spans="1:21" x14ac:dyDescent="0.2">
      <c r="A79" s="2" t="s">
        <v>1822</v>
      </c>
      <c r="B79" s="315">
        <f t="shared" ref="B79:B124" si="64">SUM(C79:E79)</f>
        <v>0</v>
      </c>
      <c r="C79" s="315">
        <v>0</v>
      </c>
      <c r="D79" s="315">
        <v>0</v>
      </c>
      <c r="E79" s="315">
        <v>0</v>
      </c>
      <c r="F79" s="315">
        <f t="shared" si="55"/>
        <v>0</v>
      </c>
      <c r="G79" s="315">
        <v>0</v>
      </c>
      <c r="H79" s="315">
        <v>0</v>
      </c>
      <c r="I79" s="315">
        <v>0</v>
      </c>
      <c r="J79" s="315">
        <f t="shared" si="56"/>
        <v>869</v>
      </c>
      <c r="K79" s="315">
        <v>67</v>
      </c>
      <c r="L79" s="315">
        <v>800</v>
      </c>
      <c r="M79" s="315">
        <v>2</v>
      </c>
      <c r="N79" s="315">
        <f t="shared" si="57"/>
        <v>538</v>
      </c>
      <c r="O79" s="315">
        <v>10</v>
      </c>
      <c r="P79" s="315">
        <v>268</v>
      </c>
      <c r="Q79" s="315">
        <v>260</v>
      </c>
      <c r="R79" s="315">
        <f t="shared" si="58"/>
        <v>1217</v>
      </c>
      <c r="S79" s="315">
        <v>19</v>
      </c>
      <c r="T79" s="315">
        <v>733</v>
      </c>
      <c r="U79" s="315">
        <v>465</v>
      </c>
    </row>
    <row r="80" spans="1:21" x14ac:dyDescent="0.2">
      <c r="A80" s="2" t="s">
        <v>1823</v>
      </c>
      <c r="B80" s="315">
        <f t="shared" si="64"/>
        <v>345</v>
      </c>
      <c r="C80" s="315">
        <v>90</v>
      </c>
      <c r="D80" s="315">
        <v>217</v>
      </c>
      <c r="E80" s="315">
        <v>38</v>
      </c>
      <c r="F80" s="315">
        <f t="shared" si="55"/>
        <v>376</v>
      </c>
      <c r="G80" s="315">
        <v>37</v>
      </c>
      <c r="H80" s="315">
        <v>317</v>
      </c>
      <c r="I80" s="315">
        <v>22</v>
      </c>
      <c r="J80" s="315">
        <f t="shared" si="56"/>
        <v>290</v>
      </c>
      <c r="K80" s="315">
        <v>35</v>
      </c>
      <c r="L80" s="315">
        <v>248</v>
      </c>
      <c r="M80" s="315">
        <v>7</v>
      </c>
      <c r="N80" s="315">
        <f t="shared" si="57"/>
        <v>705</v>
      </c>
      <c r="O80" s="315">
        <v>12</v>
      </c>
      <c r="P80" s="315">
        <v>419</v>
      </c>
      <c r="Q80" s="315">
        <v>274</v>
      </c>
      <c r="R80" s="315">
        <f t="shared" si="58"/>
        <v>1184</v>
      </c>
      <c r="S80" s="315">
        <v>60</v>
      </c>
      <c r="T80" s="315">
        <v>611</v>
      </c>
      <c r="U80" s="315">
        <v>513</v>
      </c>
    </row>
    <row r="81" spans="1:21" s="24" customFormat="1" x14ac:dyDescent="0.2">
      <c r="A81" s="24" t="s">
        <v>136</v>
      </c>
      <c r="B81" s="622">
        <f>SUM(C81:E81)</f>
        <v>794363</v>
      </c>
      <c r="C81" s="622">
        <f>SUM(C82:C92)</f>
        <v>148355</v>
      </c>
      <c r="D81" s="622">
        <f t="shared" ref="D81:E81" si="65">SUM(D82:D92)</f>
        <v>633185</v>
      </c>
      <c r="E81" s="622">
        <f t="shared" si="65"/>
        <v>12823</v>
      </c>
      <c r="F81" s="622">
        <f>SUM(G81:I81)</f>
        <v>486725</v>
      </c>
      <c r="G81" s="622">
        <f>SUM(G82:G92)</f>
        <v>42676</v>
      </c>
      <c r="H81" s="622">
        <f t="shared" ref="H81:I81" si="66">SUM(H82:H92)</f>
        <v>402024</v>
      </c>
      <c r="I81" s="622">
        <f t="shared" si="66"/>
        <v>42025</v>
      </c>
      <c r="J81" s="622">
        <f>SUM(K81:M81)</f>
        <v>430663</v>
      </c>
      <c r="K81" s="622">
        <f>SUM(K82:K92)</f>
        <v>61866</v>
      </c>
      <c r="L81" s="622">
        <f t="shared" ref="L81:M81" si="67">SUM(L82:L92)</f>
        <v>329050</v>
      </c>
      <c r="M81" s="622">
        <f t="shared" si="67"/>
        <v>39747</v>
      </c>
      <c r="N81" s="622">
        <f>SUM(O81:Q81)</f>
        <v>561638</v>
      </c>
      <c r="O81" s="622">
        <f>SUM(O82:O92)</f>
        <v>47390</v>
      </c>
      <c r="P81" s="622">
        <f t="shared" ref="P81:Q81" si="68">SUM(P82:P92)</f>
        <v>253561</v>
      </c>
      <c r="Q81" s="622">
        <f t="shared" si="68"/>
        <v>260687</v>
      </c>
      <c r="R81" s="622">
        <f>SUM(S81:U81)</f>
        <v>639760</v>
      </c>
      <c r="S81" s="622">
        <f>SUM(S82:S92)</f>
        <v>71369</v>
      </c>
      <c r="T81" s="622">
        <f t="shared" ref="T81:U81" si="69">SUM(T82:T92)</f>
        <v>275349</v>
      </c>
      <c r="U81" s="622">
        <f t="shared" si="69"/>
        <v>293042</v>
      </c>
    </row>
    <row r="82" spans="1:21" x14ac:dyDescent="0.2">
      <c r="A82" s="2" t="s">
        <v>1824</v>
      </c>
      <c r="B82" s="315">
        <f t="shared" si="64"/>
        <v>17107</v>
      </c>
      <c r="C82" s="315">
        <v>2667</v>
      </c>
      <c r="D82" s="315">
        <v>14111</v>
      </c>
      <c r="E82" s="315">
        <v>329</v>
      </c>
      <c r="F82" s="315">
        <f t="shared" si="55"/>
        <v>14761</v>
      </c>
      <c r="G82" s="315">
        <v>2470</v>
      </c>
      <c r="H82" s="315">
        <v>11822</v>
      </c>
      <c r="I82" s="315">
        <v>469</v>
      </c>
      <c r="J82" s="315">
        <f t="shared" si="56"/>
        <v>20950</v>
      </c>
      <c r="K82" s="315">
        <v>3369</v>
      </c>
      <c r="L82" s="315">
        <v>16967</v>
      </c>
      <c r="M82" s="315">
        <v>614</v>
      </c>
      <c r="N82" s="315">
        <f t="shared" si="57"/>
        <v>27976</v>
      </c>
      <c r="O82" s="315">
        <v>927</v>
      </c>
      <c r="P82" s="315">
        <v>12548</v>
      </c>
      <c r="Q82" s="315">
        <v>14501</v>
      </c>
      <c r="R82" s="315">
        <f t="shared" si="58"/>
        <v>33849</v>
      </c>
      <c r="S82" s="315">
        <v>2707</v>
      </c>
      <c r="T82" s="315">
        <v>14110</v>
      </c>
      <c r="U82" s="315">
        <v>17032</v>
      </c>
    </row>
    <row r="83" spans="1:21" x14ac:dyDescent="0.2">
      <c r="A83" s="2" t="s">
        <v>1825</v>
      </c>
      <c r="B83" s="315">
        <f t="shared" si="64"/>
        <v>499129</v>
      </c>
      <c r="C83" s="315">
        <v>124782</v>
      </c>
      <c r="D83" s="315">
        <v>374347</v>
      </c>
      <c r="E83" s="315">
        <v>0</v>
      </c>
      <c r="F83" s="315">
        <f t="shared" si="55"/>
        <v>250415</v>
      </c>
      <c r="G83" s="315">
        <v>19983</v>
      </c>
      <c r="H83" s="315">
        <v>219541</v>
      </c>
      <c r="I83" s="315">
        <v>10891</v>
      </c>
      <c r="J83" s="315">
        <f t="shared" si="56"/>
        <v>95062</v>
      </c>
      <c r="K83" s="315">
        <v>21181</v>
      </c>
      <c r="L83" s="315">
        <v>65539</v>
      </c>
      <c r="M83" s="315">
        <v>8342</v>
      </c>
      <c r="N83" s="315">
        <f t="shared" si="57"/>
        <v>149877</v>
      </c>
      <c r="O83" s="315">
        <v>16840</v>
      </c>
      <c r="P83" s="315">
        <v>64681</v>
      </c>
      <c r="Q83" s="315">
        <v>68356</v>
      </c>
      <c r="R83" s="315">
        <f t="shared" si="58"/>
        <v>148061</v>
      </c>
      <c r="S83" s="315">
        <v>23789</v>
      </c>
      <c r="T83" s="315">
        <v>60506</v>
      </c>
      <c r="U83" s="315">
        <v>63766</v>
      </c>
    </row>
    <row r="84" spans="1:21" x14ac:dyDescent="0.2">
      <c r="A84" s="2" t="s">
        <v>1826</v>
      </c>
      <c r="B84" s="315">
        <f t="shared" si="64"/>
        <v>264496</v>
      </c>
      <c r="C84" s="315">
        <v>18503</v>
      </c>
      <c r="D84" s="315">
        <v>233527</v>
      </c>
      <c r="E84" s="315">
        <v>12466</v>
      </c>
      <c r="F84" s="315">
        <f t="shared" si="55"/>
        <v>203027</v>
      </c>
      <c r="G84" s="315">
        <v>17736</v>
      </c>
      <c r="H84" s="315">
        <v>154854</v>
      </c>
      <c r="I84" s="315">
        <v>30437</v>
      </c>
      <c r="J84" s="315">
        <f t="shared" si="56"/>
        <v>293266</v>
      </c>
      <c r="K84" s="315">
        <v>32121</v>
      </c>
      <c r="L84" s="315">
        <v>230554</v>
      </c>
      <c r="M84" s="315">
        <v>30591</v>
      </c>
      <c r="N84" s="315">
        <f t="shared" si="57"/>
        <v>361769</v>
      </c>
      <c r="O84" s="315">
        <v>29435</v>
      </c>
      <c r="P84" s="315">
        <v>164755</v>
      </c>
      <c r="Q84" s="315">
        <v>167579</v>
      </c>
      <c r="R84" s="315">
        <f t="shared" si="58"/>
        <v>430080</v>
      </c>
      <c r="S84" s="315">
        <v>43793</v>
      </c>
      <c r="T84" s="315">
        <v>187131</v>
      </c>
      <c r="U84" s="315">
        <v>199156</v>
      </c>
    </row>
    <row r="85" spans="1:21" x14ac:dyDescent="0.2">
      <c r="A85" s="2" t="s">
        <v>1827</v>
      </c>
      <c r="B85" s="315">
        <f t="shared" si="64"/>
        <v>10813</v>
      </c>
      <c r="C85" s="315">
        <v>2202</v>
      </c>
      <c r="D85" s="315">
        <v>8586</v>
      </c>
      <c r="E85" s="315">
        <v>25</v>
      </c>
      <c r="F85" s="315">
        <f t="shared" si="55"/>
        <v>9250</v>
      </c>
      <c r="G85" s="315">
        <v>1778</v>
      </c>
      <c r="H85" s="315">
        <v>7469</v>
      </c>
      <c r="I85" s="315">
        <v>3</v>
      </c>
      <c r="J85" s="315">
        <f t="shared" si="56"/>
        <v>11721</v>
      </c>
      <c r="K85" s="315">
        <v>1986</v>
      </c>
      <c r="L85" s="315">
        <v>9721</v>
      </c>
      <c r="M85" s="315">
        <v>14</v>
      </c>
      <c r="N85" s="315">
        <f t="shared" si="57"/>
        <v>12191</v>
      </c>
      <c r="O85" s="315">
        <v>2</v>
      </c>
      <c r="P85" s="315">
        <v>6506</v>
      </c>
      <c r="Q85" s="315">
        <v>5683</v>
      </c>
      <c r="R85" s="315">
        <f t="shared" si="58"/>
        <v>15772</v>
      </c>
      <c r="S85" s="315">
        <v>44</v>
      </c>
      <c r="T85" s="315">
        <v>8105</v>
      </c>
      <c r="U85" s="315">
        <v>7623</v>
      </c>
    </row>
    <row r="86" spans="1:21" x14ac:dyDescent="0.2">
      <c r="A86" s="2" t="s">
        <v>1828</v>
      </c>
      <c r="B86" s="315">
        <f t="shared" si="64"/>
        <v>311</v>
      </c>
      <c r="C86" s="315">
        <v>6</v>
      </c>
      <c r="D86" s="315">
        <v>302</v>
      </c>
      <c r="E86" s="315">
        <v>3</v>
      </c>
      <c r="F86" s="315">
        <f t="shared" si="55"/>
        <v>479</v>
      </c>
      <c r="G86" s="315">
        <v>21</v>
      </c>
      <c r="H86" s="315">
        <v>458</v>
      </c>
      <c r="I86" s="315">
        <v>0</v>
      </c>
      <c r="J86" s="315">
        <f t="shared" si="56"/>
        <v>351</v>
      </c>
      <c r="K86" s="315">
        <v>22</v>
      </c>
      <c r="L86" s="315">
        <v>329</v>
      </c>
      <c r="M86" s="315">
        <v>0</v>
      </c>
      <c r="N86" s="315">
        <f t="shared" si="57"/>
        <v>0</v>
      </c>
      <c r="O86" s="315">
        <v>0</v>
      </c>
      <c r="P86" s="315">
        <v>0</v>
      </c>
      <c r="Q86" s="315">
        <v>0</v>
      </c>
      <c r="R86" s="315">
        <f t="shared" si="58"/>
        <v>621</v>
      </c>
      <c r="S86" s="315">
        <v>0</v>
      </c>
      <c r="T86" s="315">
        <v>415</v>
      </c>
      <c r="U86" s="315">
        <v>206</v>
      </c>
    </row>
    <row r="87" spans="1:21" x14ac:dyDescent="0.2">
      <c r="A87" s="2" t="s">
        <v>1829</v>
      </c>
      <c r="B87" s="315">
        <f t="shared" si="64"/>
        <v>0</v>
      </c>
      <c r="C87" s="315">
        <v>0</v>
      </c>
      <c r="D87" s="315">
        <v>0</v>
      </c>
      <c r="E87" s="315">
        <v>0</v>
      </c>
      <c r="F87" s="315">
        <f t="shared" si="55"/>
        <v>0</v>
      </c>
      <c r="G87" s="315">
        <v>0</v>
      </c>
      <c r="H87" s="315">
        <v>0</v>
      </c>
      <c r="I87" s="315">
        <v>0</v>
      </c>
      <c r="J87" s="315">
        <f t="shared" si="56"/>
        <v>0</v>
      </c>
      <c r="K87" s="315">
        <v>0</v>
      </c>
      <c r="L87" s="315">
        <v>0</v>
      </c>
      <c r="M87" s="315">
        <v>0</v>
      </c>
      <c r="N87" s="315">
        <f t="shared" si="57"/>
        <v>0</v>
      </c>
      <c r="O87" s="315">
        <v>0</v>
      </c>
      <c r="P87" s="315">
        <v>0</v>
      </c>
      <c r="Q87" s="315">
        <v>0</v>
      </c>
      <c r="R87" s="315">
        <f t="shared" si="58"/>
        <v>0</v>
      </c>
      <c r="S87" s="315">
        <v>0</v>
      </c>
      <c r="T87" s="315">
        <v>0</v>
      </c>
      <c r="U87" s="315">
        <v>0</v>
      </c>
    </row>
    <row r="88" spans="1:21" x14ac:dyDescent="0.2">
      <c r="A88" s="2" t="s">
        <v>1830</v>
      </c>
      <c r="B88" s="315">
        <f t="shared" si="64"/>
        <v>0</v>
      </c>
      <c r="C88" s="315">
        <v>0</v>
      </c>
      <c r="D88" s="315">
        <v>0</v>
      </c>
      <c r="E88" s="315">
        <v>0</v>
      </c>
      <c r="F88" s="315">
        <f t="shared" si="55"/>
        <v>0</v>
      </c>
      <c r="G88" s="315">
        <v>0</v>
      </c>
      <c r="H88" s="315">
        <v>0</v>
      </c>
      <c r="I88" s="315">
        <v>0</v>
      </c>
      <c r="J88" s="315">
        <f t="shared" si="56"/>
        <v>0</v>
      </c>
      <c r="K88" s="315">
        <v>0</v>
      </c>
      <c r="L88" s="315">
        <v>0</v>
      </c>
      <c r="M88" s="315">
        <v>0</v>
      </c>
      <c r="N88" s="315">
        <f t="shared" si="57"/>
        <v>0</v>
      </c>
      <c r="O88" s="315">
        <v>0</v>
      </c>
      <c r="P88" s="315">
        <v>0</v>
      </c>
      <c r="Q88" s="315">
        <v>0</v>
      </c>
      <c r="R88" s="315">
        <f t="shared" si="58"/>
        <v>0</v>
      </c>
      <c r="S88" s="315">
        <v>0</v>
      </c>
      <c r="T88" s="315">
        <v>0</v>
      </c>
      <c r="U88" s="315">
        <v>0</v>
      </c>
    </row>
    <row r="89" spans="1:21" x14ac:dyDescent="0.2">
      <c r="A89" s="2" t="s">
        <v>1831</v>
      </c>
      <c r="B89" s="315">
        <f t="shared" si="64"/>
        <v>2507</v>
      </c>
      <c r="C89" s="315">
        <v>195</v>
      </c>
      <c r="D89" s="315">
        <v>2312</v>
      </c>
      <c r="E89" s="315">
        <v>0</v>
      </c>
      <c r="F89" s="315">
        <f t="shared" si="55"/>
        <v>2521</v>
      </c>
      <c r="G89" s="315">
        <v>125</v>
      </c>
      <c r="H89" s="315">
        <v>2396</v>
      </c>
      <c r="I89" s="315">
        <v>0</v>
      </c>
      <c r="J89" s="315">
        <f t="shared" si="56"/>
        <v>2185</v>
      </c>
      <c r="K89" s="315">
        <v>287</v>
      </c>
      <c r="L89" s="315">
        <v>1898</v>
      </c>
      <c r="M89" s="315">
        <v>0</v>
      </c>
      <c r="N89" s="315">
        <f t="shared" si="57"/>
        <v>2988</v>
      </c>
      <c r="O89" s="315">
        <v>0</v>
      </c>
      <c r="P89" s="315">
        <v>1766</v>
      </c>
      <c r="Q89" s="315">
        <v>1222</v>
      </c>
      <c r="R89" s="315">
        <f t="shared" si="58"/>
        <v>3241</v>
      </c>
      <c r="S89" s="315">
        <v>0</v>
      </c>
      <c r="T89" s="315">
        <v>1881</v>
      </c>
      <c r="U89" s="315">
        <v>1360</v>
      </c>
    </row>
    <row r="90" spans="1:21" x14ac:dyDescent="0.2">
      <c r="A90" s="2" t="s">
        <v>1832</v>
      </c>
      <c r="B90" s="315">
        <f t="shared" si="64"/>
        <v>0</v>
      </c>
      <c r="C90" s="315">
        <v>0</v>
      </c>
      <c r="D90" s="315">
        <v>0</v>
      </c>
      <c r="E90" s="315">
        <v>0</v>
      </c>
      <c r="F90" s="315">
        <f t="shared" si="55"/>
        <v>0</v>
      </c>
      <c r="G90" s="315">
        <v>0</v>
      </c>
      <c r="H90" s="315">
        <v>0</v>
      </c>
      <c r="I90" s="315">
        <v>0</v>
      </c>
      <c r="J90" s="315">
        <f t="shared" si="56"/>
        <v>305</v>
      </c>
      <c r="K90" s="315">
        <v>62</v>
      </c>
      <c r="L90" s="315">
        <v>241</v>
      </c>
      <c r="M90" s="315">
        <v>2</v>
      </c>
      <c r="N90" s="315">
        <f t="shared" si="57"/>
        <v>477</v>
      </c>
      <c r="O90" s="315">
        <v>6</v>
      </c>
      <c r="P90" s="315">
        <v>281</v>
      </c>
      <c r="Q90" s="315">
        <v>190</v>
      </c>
      <c r="R90" s="315">
        <f t="shared" si="58"/>
        <v>567</v>
      </c>
      <c r="S90" s="315">
        <v>7</v>
      </c>
      <c r="T90" s="315">
        <v>310</v>
      </c>
      <c r="U90" s="315">
        <v>250</v>
      </c>
    </row>
    <row r="91" spans="1:21" x14ac:dyDescent="0.2">
      <c r="A91" s="2" t="s">
        <v>1833</v>
      </c>
      <c r="B91" s="315">
        <f t="shared" si="64"/>
        <v>0</v>
      </c>
      <c r="C91" s="315">
        <v>0</v>
      </c>
      <c r="D91" s="315">
        <v>0</v>
      </c>
      <c r="E91" s="315">
        <v>0</v>
      </c>
      <c r="F91" s="315">
        <f t="shared" si="55"/>
        <v>0</v>
      </c>
      <c r="G91" s="315">
        <v>0</v>
      </c>
      <c r="H91" s="315">
        <v>0</v>
      </c>
      <c r="I91" s="315">
        <v>0</v>
      </c>
      <c r="J91" s="315">
        <f t="shared" si="56"/>
        <v>2829</v>
      </c>
      <c r="K91" s="315">
        <v>790</v>
      </c>
      <c r="L91" s="315">
        <v>1876</v>
      </c>
      <c r="M91" s="315">
        <v>163</v>
      </c>
      <c r="N91" s="315">
        <f t="shared" si="57"/>
        <v>2016</v>
      </c>
      <c r="O91" s="315">
        <v>109</v>
      </c>
      <c r="P91" s="315">
        <v>851</v>
      </c>
      <c r="Q91" s="315">
        <v>1056</v>
      </c>
      <c r="R91" s="315">
        <f t="shared" si="58"/>
        <v>1989</v>
      </c>
      <c r="S91" s="315">
        <v>134</v>
      </c>
      <c r="T91" s="315">
        <v>793</v>
      </c>
      <c r="U91" s="315">
        <v>1062</v>
      </c>
    </row>
    <row r="92" spans="1:21" x14ac:dyDescent="0.2">
      <c r="A92" s="2" t="s">
        <v>1834</v>
      </c>
      <c r="B92" s="315">
        <f t="shared" si="64"/>
        <v>0</v>
      </c>
      <c r="C92" s="315">
        <v>0</v>
      </c>
      <c r="D92" s="315">
        <v>0</v>
      </c>
      <c r="E92" s="315">
        <v>0</v>
      </c>
      <c r="F92" s="315">
        <f t="shared" si="55"/>
        <v>6272</v>
      </c>
      <c r="G92" s="315">
        <v>563</v>
      </c>
      <c r="H92" s="315">
        <v>5484</v>
      </c>
      <c r="I92" s="315">
        <v>225</v>
      </c>
      <c r="J92" s="315">
        <f t="shared" si="56"/>
        <v>3994</v>
      </c>
      <c r="K92" s="315">
        <v>2048</v>
      </c>
      <c r="L92" s="315">
        <v>1925</v>
      </c>
      <c r="M92" s="315">
        <v>21</v>
      </c>
      <c r="N92" s="315">
        <f t="shared" si="57"/>
        <v>4344</v>
      </c>
      <c r="O92" s="315">
        <v>71</v>
      </c>
      <c r="P92" s="315">
        <v>2173</v>
      </c>
      <c r="Q92" s="315">
        <v>2100</v>
      </c>
      <c r="R92" s="315">
        <f t="shared" si="58"/>
        <v>5580</v>
      </c>
      <c r="S92" s="315">
        <v>895</v>
      </c>
      <c r="T92" s="315">
        <v>2098</v>
      </c>
      <c r="U92" s="315">
        <v>2587</v>
      </c>
    </row>
    <row r="93" spans="1:21" s="24" customFormat="1" x14ac:dyDescent="0.2">
      <c r="A93" s="24" t="s">
        <v>17</v>
      </c>
      <c r="B93" s="622">
        <f>SUM(C93:E93)</f>
        <v>30834</v>
      </c>
      <c r="C93" s="622">
        <f>SUM(C94:C112)</f>
        <v>3609</v>
      </c>
      <c r="D93" s="622">
        <f t="shared" ref="D93:E93" si="70">SUM(D94:D112)</f>
        <v>22293</v>
      </c>
      <c r="E93" s="622">
        <f t="shared" si="70"/>
        <v>4932</v>
      </c>
      <c r="F93" s="622">
        <f>SUM(G93:I93)</f>
        <v>32030</v>
      </c>
      <c r="G93" s="622">
        <f>SUM(G94:G112)</f>
        <v>3883</v>
      </c>
      <c r="H93" s="622">
        <f t="shared" ref="H93:I93" si="71">SUM(H94:H112)</f>
        <v>23934</v>
      </c>
      <c r="I93" s="622">
        <f t="shared" si="71"/>
        <v>4213</v>
      </c>
      <c r="J93" s="622">
        <f>SUM(K93:M93)</f>
        <v>32341</v>
      </c>
      <c r="K93" s="622">
        <f>SUM(K94:K112)</f>
        <v>4221</v>
      </c>
      <c r="L93" s="622">
        <f t="shared" ref="L93:M93" si="72">SUM(L94:L112)</f>
        <v>24128</v>
      </c>
      <c r="M93" s="622">
        <f t="shared" si="72"/>
        <v>3992</v>
      </c>
      <c r="N93" s="622">
        <f>SUM(O93:Q93)</f>
        <v>35994</v>
      </c>
      <c r="O93" s="622">
        <f>SUM(O94:O112)</f>
        <v>3450</v>
      </c>
      <c r="P93" s="622">
        <f t="shared" ref="P93:Q93" si="73">SUM(P94:P112)</f>
        <v>18632</v>
      </c>
      <c r="Q93" s="622">
        <f t="shared" si="73"/>
        <v>13912</v>
      </c>
      <c r="R93" s="622">
        <f>SUM(S93:U93)</f>
        <v>56620</v>
      </c>
      <c r="S93" s="622">
        <f>SUM(S94:S112)</f>
        <v>6612</v>
      </c>
      <c r="T93" s="622">
        <f t="shared" ref="T93:U93" si="74">SUM(T94:T112)</f>
        <v>26568</v>
      </c>
      <c r="U93" s="622">
        <f t="shared" si="74"/>
        <v>23440</v>
      </c>
    </row>
    <row r="94" spans="1:21" x14ac:dyDescent="0.2">
      <c r="A94" s="2" t="s">
        <v>1875</v>
      </c>
      <c r="B94" s="315">
        <f t="shared" si="64"/>
        <v>0</v>
      </c>
      <c r="C94" s="315">
        <v>0</v>
      </c>
      <c r="D94" s="315">
        <v>0</v>
      </c>
      <c r="E94" s="315">
        <v>0</v>
      </c>
      <c r="F94" s="315">
        <f t="shared" si="55"/>
        <v>0</v>
      </c>
      <c r="G94" s="315">
        <v>0</v>
      </c>
      <c r="H94" s="315">
        <v>0</v>
      </c>
      <c r="I94" s="315">
        <v>0</v>
      </c>
      <c r="J94" s="315">
        <f t="shared" si="56"/>
        <v>0</v>
      </c>
      <c r="K94" s="315">
        <v>0</v>
      </c>
      <c r="L94" s="315">
        <v>0</v>
      </c>
      <c r="M94" s="315">
        <v>0</v>
      </c>
      <c r="N94" s="315">
        <f t="shared" si="57"/>
        <v>0</v>
      </c>
      <c r="O94" s="315">
        <v>0</v>
      </c>
      <c r="P94" s="315">
        <v>0</v>
      </c>
      <c r="Q94" s="315">
        <v>0</v>
      </c>
      <c r="R94" s="315">
        <f t="shared" si="58"/>
        <v>0</v>
      </c>
      <c r="S94" s="315">
        <v>0</v>
      </c>
      <c r="T94" s="315">
        <v>0</v>
      </c>
      <c r="U94" s="315">
        <v>0</v>
      </c>
    </row>
    <row r="95" spans="1:21" x14ac:dyDescent="0.2">
      <c r="A95" s="2" t="s">
        <v>1876</v>
      </c>
      <c r="B95" s="315">
        <f t="shared" si="64"/>
        <v>0</v>
      </c>
      <c r="C95" s="315">
        <v>0</v>
      </c>
      <c r="D95" s="315">
        <v>0</v>
      </c>
      <c r="E95" s="315">
        <v>0</v>
      </c>
      <c r="F95" s="315">
        <f t="shared" si="55"/>
        <v>0</v>
      </c>
      <c r="G95" s="315">
        <v>0</v>
      </c>
      <c r="H95" s="315">
        <v>0</v>
      </c>
      <c r="I95" s="315">
        <v>0</v>
      </c>
      <c r="J95" s="315">
        <f t="shared" si="56"/>
        <v>0</v>
      </c>
      <c r="K95" s="315">
        <v>0</v>
      </c>
      <c r="L95" s="315">
        <v>0</v>
      </c>
      <c r="M95" s="315">
        <v>0</v>
      </c>
      <c r="N95" s="315">
        <f t="shared" si="57"/>
        <v>0</v>
      </c>
      <c r="O95" s="315">
        <v>0</v>
      </c>
      <c r="P95" s="315">
        <v>0</v>
      </c>
      <c r="Q95" s="315">
        <v>0</v>
      </c>
      <c r="R95" s="315">
        <f t="shared" si="58"/>
        <v>0</v>
      </c>
      <c r="S95" s="315">
        <v>0</v>
      </c>
      <c r="T95" s="315">
        <v>0</v>
      </c>
      <c r="U95" s="315">
        <v>0</v>
      </c>
    </row>
    <row r="96" spans="1:21" x14ac:dyDescent="0.2">
      <c r="A96" s="2" t="s">
        <v>1837</v>
      </c>
      <c r="B96" s="315">
        <f t="shared" si="64"/>
        <v>158</v>
      </c>
      <c r="C96" s="315">
        <v>0</v>
      </c>
      <c r="D96" s="315">
        <v>158</v>
      </c>
      <c r="E96" s="315">
        <v>0</v>
      </c>
      <c r="F96" s="315">
        <f t="shared" si="55"/>
        <v>187</v>
      </c>
      <c r="G96" s="315">
        <v>6</v>
      </c>
      <c r="H96" s="315">
        <v>180</v>
      </c>
      <c r="I96" s="315">
        <v>1</v>
      </c>
      <c r="J96" s="315">
        <f t="shared" si="56"/>
        <v>328</v>
      </c>
      <c r="K96" s="315">
        <v>8</v>
      </c>
      <c r="L96" s="315">
        <v>320</v>
      </c>
      <c r="M96" s="315">
        <v>0</v>
      </c>
      <c r="N96" s="315">
        <f t="shared" si="57"/>
        <v>402</v>
      </c>
      <c r="O96" s="315">
        <v>16</v>
      </c>
      <c r="P96" s="315">
        <v>238</v>
      </c>
      <c r="Q96" s="315">
        <v>148</v>
      </c>
      <c r="R96" s="315">
        <f t="shared" si="58"/>
        <v>1029</v>
      </c>
      <c r="S96" s="315">
        <v>7</v>
      </c>
      <c r="T96" s="315">
        <v>531</v>
      </c>
      <c r="U96" s="315">
        <v>491</v>
      </c>
    </row>
    <row r="97" spans="1:21" x14ac:dyDescent="0.2">
      <c r="A97" s="2" t="s">
        <v>1838</v>
      </c>
      <c r="B97" s="315">
        <f t="shared" si="64"/>
        <v>10145</v>
      </c>
      <c r="C97" s="315">
        <v>824</v>
      </c>
      <c r="D97" s="315">
        <v>9175</v>
      </c>
      <c r="E97" s="315">
        <v>146</v>
      </c>
      <c r="F97" s="315">
        <f t="shared" si="55"/>
        <v>10897</v>
      </c>
      <c r="G97" s="315">
        <v>593</v>
      </c>
      <c r="H97" s="315">
        <v>9840</v>
      </c>
      <c r="I97" s="315">
        <v>464</v>
      </c>
      <c r="J97" s="315">
        <f t="shared" si="56"/>
        <v>12595</v>
      </c>
      <c r="K97" s="315">
        <v>774</v>
      </c>
      <c r="L97" s="315">
        <v>11242</v>
      </c>
      <c r="M97" s="315">
        <v>579</v>
      </c>
      <c r="N97" s="315">
        <f t="shared" si="57"/>
        <v>11717</v>
      </c>
      <c r="O97" s="315">
        <v>312</v>
      </c>
      <c r="P97" s="315">
        <v>6621</v>
      </c>
      <c r="Q97" s="315">
        <v>4784</v>
      </c>
      <c r="R97" s="315">
        <f t="shared" si="58"/>
        <v>16510</v>
      </c>
      <c r="S97" s="315">
        <v>279</v>
      </c>
      <c r="T97" s="315">
        <v>8143</v>
      </c>
      <c r="U97" s="315">
        <v>8088</v>
      </c>
    </row>
    <row r="98" spans="1:21" x14ac:dyDescent="0.2">
      <c r="A98" s="2" t="s">
        <v>1839</v>
      </c>
      <c r="B98" s="315">
        <f t="shared" si="64"/>
        <v>1333</v>
      </c>
      <c r="C98" s="315">
        <v>212</v>
      </c>
      <c r="D98" s="315">
        <v>1119</v>
      </c>
      <c r="E98" s="315">
        <v>2</v>
      </c>
      <c r="F98" s="315">
        <f t="shared" si="55"/>
        <v>1241</v>
      </c>
      <c r="G98" s="315">
        <v>213</v>
      </c>
      <c r="H98" s="315">
        <v>1028</v>
      </c>
      <c r="I98" s="315">
        <v>0</v>
      </c>
      <c r="J98" s="315">
        <f t="shared" si="56"/>
        <v>1923</v>
      </c>
      <c r="K98" s="315">
        <v>333</v>
      </c>
      <c r="L98" s="315">
        <v>1576</v>
      </c>
      <c r="M98" s="315">
        <v>14</v>
      </c>
      <c r="N98" s="315">
        <f t="shared" si="57"/>
        <v>1633</v>
      </c>
      <c r="O98" s="315">
        <v>58</v>
      </c>
      <c r="P98" s="315">
        <v>949</v>
      </c>
      <c r="Q98" s="315">
        <v>626</v>
      </c>
      <c r="R98" s="315">
        <f t="shared" si="58"/>
        <v>2986</v>
      </c>
      <c r="S98" s="315">
        <v>93</v>
      </c>
      <c r="T98" s="315">
        <v>1604</v>
      </c>
      <c r="U98" s="315">
        <v>1289</v>
      </c>
    </row>
    <row r="99" spans="1:21" x14ac:dyDescent="0.2">
      <c r="A99" s="2" t="s">
        <v>1840</v>
      </c>
      <c r="B99" s="315">
        <f t="shared" si="64"/>
        <v>6362</v>
      </c>
      <c r="C99" s="315">
        <v>960</v>
      </c>
      <c r="D99" s="315">
        <v>5386</v>
      </c>
      <c r="E99" s="315">
        <v>16</v>
      </c>
      <c r="F99" s="315">
        <f t="shared" si="55"/>
        <v>5827</v>
      </c>
      <c r="G99" s="315">
        <v>1199</v>
      </c>
      <c r="H99" s="315">
        <v>4582</v>
      </c>
      <c r="I99" s="315">
        <v>46</v>
      </c>
      <c r="J99" s="315">
        <f t="shared" si="56"/>
        <v>8382</v>
      </c>
      <c r="K99" s="315">
        <v>1716</v>
      </c>
      <c r="L99" s="315">
        <v>6652</v>
      </c>
      <c r="M99" s="315">
        <v>14</v>
      </c>
      <c r="N99" s="315">
        <f t="shared" si="57"/>
        <v>8071</v>
      </c>
      <c r="O99" s="315">
        <v>0</v>
      </c>
      <c r="P99" s="315">
        <v>4845</v>
      </c>
      <c r="Q99" s="315">
        <v>3226</v>
      </c>
      <c r="R99" s="315">
        <f t="shared" si="58"/>
        <v>13967</v>
      </c>
      <c r="S99" s="315">
        <v>1</v>
      </c>
      <c r="T99" s="315">
        <v>8009</v>
      </c>
      <c r="U99" s="315">
        <v>5957</v>
      </c>
    </row>
    <row r="100" spans="1:21" x14ac:dyDescent="0.2">
      <c r="A100" s="2" t="s">
        <v>1841</v>
      </c>
      <c r="B100" s="315">
        <f t="shared" si="64"/>
        <v>0</v>
      </c>
      <c r="C100" s="315">
        <v>0</v>
      </c>
      <c r="D100" s="315">
        <v>0</v>
      </c>
      <c r="E100" s="315">
        <v>0</v>
      </c>
      <c r="F100" s="315">
        <f t="shared" si="55"/>
        <v>0</v>
      </c>
      <c r="G100" s="315">
        <v>0</v>
      </c>
      <c r="H100" s="315">
        <v>0</v>
      </c>
      <c r="I100" s="315">
        <v>0</v>
      </c>
      <c r="J100" s="315">
        <f t="shared" si="56"/>
        <v>0</v>
      </c>
      <c r="K100" s="315">
        <v>0</v>
      </c>
      <c r="L100" s="315">
        <v>0</v>
      </c>
      <c r="M100" s="315">
        <v>0</v>
      </c>
      <c r="N100" s="315">
        <f t="shared" si="57"/>
        <v>0</v>
      </c>
      <c r="O100" s="315">
        <v>0</v>
      </c>
      <c r="P100" s="315">
        <v>0</v>
      </c>
      <c r="Q100" s="315">
        <v>0</v>
      </c>
      <c r="R100" s="315">
        <f t="shared" si="58"/>
        <v>0</v>
      </c>
      <c r="S100" s="315">
        <v>0</v>
      </c>
      <c r="T100" s="315">
        <v>0</v>
      </c>
      <c r="U100" s="315">
        <v>0</v>
      </c>
    </row>
    <row r="101" spans="1:21" x14ac:dyDescent="0.2">
      <c r="A101" s="2" t="s">
        <v>1842</v>
      </c>
      <c r="B101" s="315">
        <f t="shared" si="64"/>
        <v>0</v>
      </c>
      <c r="C101" s="315">
        <v>0</v>
      </c>
      <c r="D101" s="315">
        <v>0</v>
      </c>
      <c r="E101" s="315">
        <v>0</v>
      </c>
      <c r="F101" s="315">
        <f t="shared" si="55"/>
        <v>0</v>
      </c>
      <c r="G101" s="315">
        <v>0</v>
      </c>
      <c r="H101" s="315">
        <v>0</v>
      </c>
      <c r="I101" s="315">
        <v>0</v>
      </c>
      <c r="J101" s="315">
        <f t="shared" si="56"/>
        <v>0</v>
      </c>
      <c r="K101" s="315">
        <v>0</v>
      </c>
      <c r="L101" s="315">
        <v>0</v>
      </c>
      <c r="M101" s="315">
        <v>0</v>
      </c>
      <c r="N101" s="315">
        <f t="shared" si="57"/>
        <v>0</v>
      </c>
      <c r="O101" s="315">
        <v>0</v>
      </c>
      <c r="P101" s="315">
        <v>0</v>
      </c>
      <c r="Q101" s="315">
        <v>0</v>
      </c>
      <c r="R101" s="315">
        <f t="shared" si="58"/>
        <v>0</v>
      </c>
      <c r="S101" s="315">
        <v>0</v>
      </c>
      <c r="T101" s="315">
        <v>0</v>
      </c>
      <c r="U101" s="315">
        <v>0</v>
      </c>
    </row>
    <row r="102" spans="1:21" x14ac:dyDescent="0.2">
      <c r="A102" s="2" t="s">
        <v>1843</v>
      </c>
      <c r="B102" s="315">
        <f t="shared" si="64"/>
        <v>1237</v>
      </c>
      <c r="C102" s="315">
        <v>125</v>
      </c>
      <c r="D102" s="315">
        <v>825</v>
      </c>
      <c r="E102" s="315">
        <v>287</v>
      </c>
      <c r="F102" s="315">
        <f t="shared" si="55"/>
        <v>1788</v>
      </c>
      <c r="G102" s="315">
        <v>234</v>
      </c>
      <c r="H102" s="315">
        <v>1431</v>
      </c>
      <c r="I102" s="315">
        <v>123</v>
      </c>
      <c r="J102" s="315">
        <f t="shared" si="56"/>
        <v>1964</v>
      </c>
      <c r="K102" s="315">
        <v>295</v>
      </c>
      <c r="L102" s="315">
        <v>1005</v>
      </c>
      <c r="M102" s="315">
        <v>664</v>
      </c>
      <c r="N102" s="315">
        <f t="shared" si="57"/>
        <v>1979</v>
      </c>
      <c r="O102" s="315">
        <v>191</v>
      </c>
      <c r="P102" s="315">
        <v>1000</v>
      </c>
      <c r="Q102" s="315">
        <v>788</v>
      </c>
      <c r="R102" s="315">
        <f t="shared" si="58"/>
        <v>1345</v>
      </c>
      <c r="S102" s="315">
        <v>94</v>
      </c>
      <c r="T102" s="315">
        <v>688</v>
      </c>
      <c r="U102" s="315">
        <v>563</v>
      </c>
    </row>
    <row r="103" spans="1:21" x14ac:dyDescent="0.2">
      <c r="A103" s="2" t="s">
        <v>1844</v>
      </c>
      <c r="B103" s="315">
        <f t="shared" si="64"/>
        <v>290</v>
      </c>
      <c r="C103" s="315">
        <v>37</v>
      </c>
      <c r="D103" s="315">
        <v>229</v>
      </c>
      <c r="E103" s="315">
        <v>24</v>
      </c>
      <c r="F103" s="315">
        <f t="shared" si="55"/>
        <v>256</v>
      </c>
      <c r="G103" s="315">
        <v>40</v>
      </c>
      <c r="H103" s="315">
        <v>210</v>
      </c>
      <c r="I103" s="315">
        <v>6</v>
      </c>
      <c r="J103" s="315">
        <f t="shared" si="56"/>
        <v>515</v>
      </c>
      <c r="K103" s="315">
        <v>59</v>
      </c>
      <c r="L103" s="315">
        <v>434</v>
      </c>
      <c r="M103" s="315">
        <v>22</v>
      </c>
      <c r="N103" s="315">
        <f t="shared" si="57"/>
        <v>691</v>
      </c>
      <c r="O103" s="315">
        <v>11</v>
      </c>
      <c r="P103" s="315">
        <v>394</v>
      </c>
      <c r="Q103" s="315">
        <v>286</v>
      </c>
      <c r="R103" s="315">
        <f t="shared" si="58"/>
        <v>1578</v>
      </c>
      <c r="S103" s="315">
        <v>78</v>
      </c>
      <c r="T103" s="315">
        <v>799</v>
      </c>
      <c r="U103" s="315">
        <v>701</v>
      </c>
    </row>
    <row r="104" spans="1:21" x14ac:dyDescent="0.2">
      <c r="A104" s="2" t="s">
        <v>1887</v>
      </c>
      <c r="B104" s="315">
        <f t="shared" si="64"/>
        <v>0</v>
      </c>
      <c r="C104" s="315">
        <v>0</v>
      </c>
      <c r="D104" s="315">
        <v>0</v>
      </c>
      <c r="E104" s="315">
        <v>0</v>
      </c>
      <c r="F104" s="315">
        <f t="shared" si="55"/>
        <v>0</v>
      </c>
      <c r="G104" s="315">
        <v>0</v>
      </c>
      <c r="H104" s="315">
        <v>0</v>
      </c>
      <c r="I104" s="315">
        <v>0</v>
      </c>
      <c r="J104" s="315">
        <f t="shared" si="56"/>
        <v>0</v>
      </c>
      <c r="K104" s="315">
        <v>0</v>
      </c>
      <c r="L104" s="315">
        <v>0</v>
      </c>
      <c r="M104" s="315">
        <v>0</v>
      </c>
      <c r="N104" s="315">
        <f t="shared" si="57"/>
        <v>0</v>
      </c>
      <c r="O104" s="315">
        <v>0</v>
      </c>
      <c r="P104" s="315">
        <v>0</v>
      </c>
      <c r="Q104" s="315">
        <v>0</v>
      </c>
      <c r="R104" s="315">
        <f t="shared" si="58"/>
        <v>0</v>
      </c>
      <c r="S104" s="315">
        <v>0</v>
      </c>
      <c r="T104" s="315">
        <v>0</v>
      </c>
      <c r="U104" s="315">
        <v>0</v>
      </c>
    </row>
    <row r="105" spans="1:21" x14ac:dyDescent="0.2">
      <c r="A105" s="2" t="s">
        <v>1846</v>
      </c>
      <c r="B105" s="315">
        <f t="shared" si="64"/>
        <v>0</v>
      </c>
      <c r="C105" s="315">
        <v>0</v>
      </c>
      <c r="D105" s="315">
        <v>0</v>
      </c>
      <c r="E105" s="315">
        <v>0</v>
      </c>
      <c r="F105" s="315">
        <f t="shared" si="55"/>
        <v>0</v>
      </c>
      <c r="G105" s="315">
        <v>0</v>
      </c>
      <c r="H105" s="315">
        <v>0</v>
      </c>
      <c r="I105" s="315">
        <v>0</v>
      </c>
      <c r="J105" s="315">
        <f t="shared" si="56"/>
        <v>0</v>
      </c>
      <c r="K105" s="315">
        <v>0</v>
      </c>
      <c r="L105" s="315">
        <v>0</v>
      </c>
      <c r="M105" s="315">
        <v>0</v>
      </c>
      <c r="N105" s="315">
        <f t="shared" si="57"/>
        <v>0</v>
      </c>
      <c r="O105" s="315">
        <v>0</v>
      </c>
      <c r="P105" s="315">
        <v>0</v>
      </c>
      <c r="Q105" s="315">
        <v>0</v>
      </c>
      <c r="R105" s="315">
        <f t="shared" si="58"/>
        <v>0</v>
      </c>
      <c r="S105" s="315">
        <v>0</v>
      </c>
      <c r="T105" s="315">
        <v>0</v>
      </c>
      <c r="U105" s="315">
        <v>0</v>
      </c>
    </row>
    <row r="106" spans="1:21" x14ac:dyDescent="0.2">
      <c r="A106" s="2" t="s">
        <v>1847</v>
      </c>
      <c r="B106" s="315">
        <f t="shared" si="64"/>
        <v>0</v>
      </c>
      <c r="C106" s="315">
        <v>0</v>
      </c>
      <c r="D106" s="315">
        <v>0</v>
      </c>
      <c r="E106" s="315">
        <v>0</v>
      </c>
      <c r="F106" s="315">
        <f t="shared" si="55"/>
        <v>0</v>
      </c>
      <c r="G106" s="315">
        <v>0</v>
      </c>
      <c r="H106" s="315">
        <v>0</v>
      </c>
      <c r="I106" s="315">
        <v>0</v>
      </c>
      <c r="J106" s="315">
        <f t="shared" si="56"/>
        <v>0</v>
      </c>
      <c r="K106" s="315">
        <v>0</v>
      </c>
      <c r="L106" s="315">
        <v>0</v>
      </c>
      <c r="M106" s="315">
        <v>0</v>
      </c>
      <c r="N106" s="315">
        <f t="shared" si="57"/>
        <v>0</v>
      </c>
      <c r="O106" s="315">
        <v>0</v>
      </c>
      <c r="P106" s="315">
        <v>0</v>
      </c>
      <c r="Q106" s="315">
        <v>0</v>
      </c>
      <c r="R106" s="315">
        <f t="shared" si="58"/>
        <v>0</v>
      </c>
      <c r="S106" s="315">
        <v>0</v>
      </c>
      <c r="T106" s="315">
        <v>0</v>
      </c>
      <c r="U106" s="315">
        <v>0</v>
      </c>
    </row>
    <row r="107" spans="1:21" x14ac:dyDescent="0.2">
      <c r="A107" s="2" t="s">
        <v>1848</v>
      </c>
      <c r="B107" s="315">
        <f t="shared" si="64"/>
        <v>0</v>
      </c>
      <c r="C107" s="315">
        <v>0</v>
      </c>
      <c r="D107" s="315">
        <v>0</v>
      </c>
      <c r="E107" s="315">
        <v>0</v>
      </c>
      <c r="F107" s="315">
        <f t="shared" si="55"/>
        <v>0</v>
      </c>
      <c r="G107" s="315">
        <v>0</v>
      </c>
      <c r="H107" s="315">
        <v>0</v>
      </c>
      <c r="I107" s="315">
        <v>0</v>
      </c>
      <c r="J107" s="315">
        <f t="shared" si="56"/>
        <v>0</v>
      </c>
      <c r="K107" s="315">
        <v>0</v>
      </c>
      <c r="L107" s="315">
        <v>0</v>
      </c>
      <c r="M107" s="315">
        <v>0</v>
      </c>
      <c r="N107" s="315">
        <f t="shared" si="57"/>
        <v>0</v>
      </c>
      <c r="O107" s="315">
        <v>0</v>
      </c>
      <c r="P107" s="315">
        <v>0</v>
      </c>
      <c r="Q107" s="315">
        <v>0</v>
      </c>
      <c r="R107" s="315">
        <f t="shared" si="58"/>
        <v>0</v>
      </c>
      <c r="S107" s="315">
        <v>0</v>
      </c>
      <c r="T107" s="315">
        <v>0</v>
      </c>
      <c r="U107" s="315">
        <v>0</v>
      </c>
    </row>
    <row r="108" spans="1:21" x14ac:dyDescent="0.2">
      <c r="A108" s="2" t="s">
        <v>1849</v>
      </c>
      <c r="B108" s="315">
        <f t="shared" si="64"/>
        <v>9124</v>
      </c>
      <c r="C108" s="315">
        <v>704</v>
      </c>
      <c r="D108" s="315">
        <v>3997</v>
      </c>
      <c r="E108" s="315">
        <v>4423</v>
      </c>
      <c r="F108" s="315">
        <f t="shared" si="55"/>
        <v>9242</v>
      </c>
      <c r="G108" s="315">
        <v>879</v>
      </c>
      <c r="H108" s="315">
        <v>4861</v>
      </c>
      <c r="I108" s="315">
        <v>3502</v>
      </c>
      <c r="J108" s="315">
        <f t="shared" si="56"/>
        <v>4281</v>
      </c>
      <c r="K108" s="315">
        <v>277</v>
      </c>
      <c r="L108" s="315">
        <v>1332</v>
      </c>
      <c r="M108" s="315">
        <v>2672</v>
      </c>
      <c r="N108" s="315">
        <f t="shared" si="57"/>
        <v>9536</v>
      </c>
      <c r="O108" s="315">
        <v>2830</v>
      </c>
      <c r="P108" s="315">
        <v>3487</v>
      </c>
      <c r="Q108" s="315">
        <v>3219</v>
      </c>
      <c r="R108" s="315">
        <f t="shared" si="58"/>
        <v>17440</v>
      </c>
      <c r="S108" s="315">
        <v>5977</v>
      </c>
      <c r="T108" s="315">
        <v>5901</v>
      </c>
      <c r="U108" s="315">
        <v>5562</v>
      </c>
    </row>
    <row r="109" spans="1:21" ht="12" x14ac:dyDescent="0.2">
      <c r="A109" s="2" t="s">
        <v>1850</v>
      </c>
      <c r="B109" s="315">
        <f t="shared" si="64"/>
        <v>1175</v>
      </c>
      <c r="C109" s="315">
        <v>472</v>
      </c>
      <c r="D109" s="315">
        <v>684</v>
      </c>
      <c r="E109" s="315">
        <v>19</v>
      </c>
      <c r="F109" s="315">
        <f t="shared" si="55"/>
        <v>0</v>
      </c>
      <c r="G109" s="315">
        <v>0</v>
      </c>
      <c r="H109" s="315">
        <v>0</v>
      </c>
      <c r="I109" s="315">
        <v>0</v>
      </c>
      <c r="J109" s="315">
        <f t="shared" si="56"/>
        <v>1043</v>
      </c>
      <c r="K109" s="315">
        <v>337</v>
      </c>
      <c r="L109" s="315">
        <v>706</v>
      </c>
      <c r="M109" s="315">
        <v>0</v>
      </c>
      <c r="N109" s="315">
        <f t="shared" si="57"/>
        <v>726</v>
      </c>
      <c r="O109" s="315">
        <v>15</v>
      </c>
      <c r="P109" s="315">
        <v>415</v>
      </c>
      <c r="Q109" s="315">
        <v>296</v>
      </c>
      <c r="R109" s="315">
        <f t="shared" si="58"/>
        <v>0</v>
      </c>
      <c r="S109" s="315">
        <v>0</v>
      </c>
      <c r="T109" s="315">
        <v>0</v>
      </c>
      <c r="U109" s="315">
        <v>0</v>
      </c>
    </row>
    <row r="110" spans="1:21" x14ac:dyDescent="0.2">
      <c r="A110" s="2" t="s">
        <v>1851</v>
      </c>
      <c r="B110" s="315">
        <f t="shared" si="64"/>
        <v>722</v>
      </c>
      <c r="C110" s="315">
        <v>230</v>
      </c>
      <c r="D110" s="315">
        <v>487</v>
      </c>
      <c r="E110" s="315">
        <v>5</v>
      </c>
      <c r="F110" s="315">
        <f t="shared" si="55"/>
        <v>1271</v>
      </c>
      <c r="G110" s="315">
        <v>330</v>
      </c>
      <c r="H110" s="315">
        <v>902</v>
      </c>
      <c r="I110" s="315">
        <v>39</v>
      </c>
      <c r="J110" s="315">
        <f t="shared" si="56"/>
        <v>1147</v>
      </c>
      <c r="K110" s="315">
        <v>405</v>
      </c>
      <c r="L110" s="315">
        <v>715</v>
      </c>
      <c r="M110" s="315">
        <v>27</v>
      </c>
      <c r="N110" s="315">
        <f t="shared" si="57"/>
        <v>1096</v>
      </c>
      <c r="O110" s="315">
        <v>17</v>
      </c>
      <c r="P110" s="315">
        <v>597</v>
      </c>
      <c r="Q110" s="315">
        <v>482</v>
      </c>
      <c r="R110" s="315">
        <f t="shared" si="58"/>
        <v>1470</v>
      </c>
      <c r="S110" s="315">
        <v>67</v>
      </c>
      <c r="T110" s="315">
        <v>705</v>
      </c>
      <c r="U110" s="315">
        <v>698</v>
      </c>
    </row>
    <row r="111" spans="1:21" x14ac:dyDescent="0.2">
      <c r="A111" s="2" t="s">
        <v>1852</v>
      </c>
      <c r="B111" s="315">
        <f t="shared" si="64"/>
        <v>0</v>
      </c>
      <c r="C111" s="315">
        <v>0</v>
      </c>
      <c r="D111" s="315">
        <v>0</v>
      </c>
      <c r="E111" s="315">
        <v>0</v>
      </c>
      <c r="F111" s="315">
        <f t="shared" si="55"/>
        <v>1019</v>
      </c>
      <c r="G111" s="315">
        <v>333</v>
      </c>
      <c r="H111" s="315">
        <v>654</v>
      </c>
      <c r="I111" s="315">
        <v>32</v>
      </c>
      <c r="J111" s="315">
        <f t="shared" si="56"/>
        <v>0</v>
      </c>
      <c r="K111" s="315">
        <v>0</v>
      </c>
      <c r="L111" s="315">
        <v>0</v>
      </c>
      <c r="M111" s="315">
        <v>0</v>
      </c>
      <c r="N111" s="315">
        <f t="shared" si="57"/>
        <v>0</v>
      </c>
      <c r="O111" s="315">
        <v>0</v>
      </c>
      <c r="P111" s="315">
        <v>0</v>
      </c>
      <c r="Q111" s="315">
        <v>0</v>
      </c>
      <c r="R111" s="315">
        <f t="shared" si="58"/>
        <v>0</v>
      </c>
      <c r="S111" s="315">
        <v>0</v>
      </c>
      <c r="T111" s="315">
        <v>0</v>
      </c>
      <c r="U111" s="315">
        <v>0</v>
      </c>
    </row>
    <row r="112" spans="1:21" ht="12" x14ac:dyDescent="0.2">
      <c r="A112" s="2" t="s">
        <v>1853</v>
      </c>
      <c r="B112" s="315">
        <f t="shared" si="64"/>
        <v>288</v>
      </c>
      <c r="C112" s="315">
        <v>45</v>
      </c>
      <c r="D112" s="315">
        <v>233</v>
      </c>
      <c r="E112" s="315">
        <v>10</v>
      </c>
      <c r="F112" s="315">
        <f t="shared" si="55"/>
        <v>302</v>
      </c>
      <c r="G112" s="315">
        <v>56</v>
      </c>
      <c r="H112" s="315">
        <v>246</v>
      </c>
      <c r="I112" s="315">
        <v>0</v>
      </c>
      <c r="J112" s="315">
        <f t="shared" si="56"/>
        <v>163</v>
      </c>
      <c r="K112" s="315">
        <v>17</v>
      </c>
      <c r="L112" s="315">
        <v>146</v>
      </c>
      <c r="M112" s="315">
        <v>0</v>
      </c>
      <c r="N112" s="315">
        <f t="shared" si="57"/>
        <v>143</v>
      </c>
      <c r="O112" s="315">
        <v>0</v>
      </c>
      <c r="P112" s="315">
        <v>86</v>
      </c>
      <c r="Q112" s="315">
        <v>57</v>
      </c>
      <c r="R112" s="315">
        <f t="shared" si="58"/>
        <v>295</v>
      </c>
      <c r="S112" s="315">
        <v>16</v>
      </c>
      <c r="T112" s="315">
        <v>188</v>
      </c>
      <c r="U112" s="315">
        <v>91</v>
      </c>
    </row>
    <row r="113" spans="1:21" s="24" customFormat="1" x14ac:dyDescent="0.2">
      <c r="A113" s="24" t="s">
        <v>18</v>
      </c>
      <c r="B113" s="622">
        <f>SUM(C113:E113)</f>
        <v>284476</v>
      </c>
      <c r="C113" s="622">
        <f>SUM(C114:C124)</f>
        <v>20856</v>
      </c>
      <c r="D113" s="622">
        <f t="shared" ref="D113:E113" si="75">SUM(D114:D124)</f>
        <v>234999</v>
      </c>
      <c r="E113" s="622">
        <f t="shared" si="75"/>
        <v>28621</v>
      </c>
      <c r="F113" s="622">
        <f>SUM(G113:I113)</f>
        <v>283629</v>
      </c>
      <c r="G113" s="622">
        <f>SUM(G114:G124)</f>
        <v>21638</v>
      </c>
      <c r="H113" s="622">
        <f t="shared" ref="H113:I113" si="76">SUM(H114:H124)</f>
        <v>232530</v>
      </c>
      <c r="I113" s="622">
        <f t="shared" si="76"/>
        <v>29461</v>
      </c>
      <c r="J113" s="622">
        <f>SUM(K113:M113)</f>
        <v>289370</v>
      </c>
      <c r="K113" s="622">
        <f>SUM(K114:K124)</f>
        <v>23602</v>
      </c>
      <c r="L113" s="622">
        <f t="shared" ref="L113:M113" si="77">SUM(L114:L124)</f>
        <v>234631</v>
      </c>
      <c r="M113" s="622">
        <f t="shared" si="77"/>
        <v>31137</v>
      </c>
      <c r="N113" s="622">
        <f>SUM(O113:Q113)</f>
        <v>337973</v>
      </c>
      <c r="O113" s="622">
        <f>SUM(O114:O124)</f>
        <v>35698</v>
      </c>
      <c r="P113" s="622">
        <f t="shared" ref="P113:Q113" si="78">SUM(P114:P124)</f>
        <v>152986</v>
      </c>
      <c r="Q113" s="622">
        <f t="shared" si="78"/>
        <v>149289</v>
      </c>
      <c r="R113" s="622">
        <f>SUM(S113:U113)</f>
        <v>382023</v>
      </c>
      <c r="S113" s="622">
        <f>SUM(S114:S124)</f>
        <v>43465</v>
      </c>
      <c r="T113" s="622">
        <f t="shared" ref="T113:U113" si="79">SUM(T114:T124)</f>
        <v>170367</v>
      </c>
      <c r="U113" s="622">
        <f t="shared" si="79"/>
        <v>168191</v>
      </c>
    </row>
    <row r="114" spans="1:21" x14ac:dyDescent="0.2">
      <c r="A114" s="2" t="s">
        <v>1854</v>
      </c>
      <c r="B114" s="315">
        <f t="shared" si="64"/>
        <v>15682</v>
      </c>
      <c r="C114" s="315">
        <v>210</v>
      </c>
      <c r="D114" s="315">
        <v>10905</v>
      </c>
      <c r="E114" s="315">
        <v>4567</v>
      </c>
      <c r="F114" s="315">
        <f t="shared" si="55"/>
        <v>13315</v>
      </c>
      <c r="G114" s="315">
        <v>275</v>
      </c>
      <c r="H114" s="315">
        <v>8338</v>
      </c>
      <c r="I114" s="315">
        <v>4702</v>
      </c>
      <c r="J114" s="315">
        <f t="shared" si="56"/>
        <v>15666</v>
      </c>
      <c r="K114" s="315">
        <v>176</v>
      </c>
      <c r="L114" s="315">
        <v>10603</v>
      </c>
      <c r="M114" s="315">
        <v>4887</v>
      </c>
      <c r="N114" s="315">
        <f t="shared" si="57"/>
        <v>28715</v>
      </c>
      <c r="O114" s="315">
        <v>6451</v>
      </c>
      <c r="P114" s="315">
        <v>11560</v>
      </c>
      <c r="Q114" s="315">
        <v>10704</v>
      </c>
      <c r="R114" s="315">
        <f t="shared" si="58"/>
        <v>29510</v>
      </c>
      <c r="S114" s="315">
        <v>6778</v>
      </c>
      <c r="T114" s="315">
        <v>11948</v>
      </c>
      <c r="U114" s="315">
        <v>10784</v>
      </c>
    </row>
    <row r="115" spans="1:21" x14ac:dyDescent="0.2">
      <c r="A115" s="2" t="s">
        <v>1855</v>
      </c>
      <c r="B115" s="315">
        <f t="shared" si="64"/>
        <v>0</v>
      </c>
      <c r="C115" s="315">
        <v>0</v>
      </c>
      <c r="D115" s="315">
        <v>0</v>
      </c>
      <c r="E115" s="315">
        <v>0</v>
      </c>
      <c r="F115" s="315">
        <f t="shared" si="55"/>
        <v>0</v>
      </c>
      <c r="G115" s="315">
        <v>0</v>
      </c>
      <c r="H115" s="315">
        <v>0</v>
      </c>
      <c r="I115" s="315">
        <v>0</v>
      </c>
      <c r="J115" s="315">
        <f t="shared" si="56"/>
        <v>0</v>
      </c>
      <c r="K115" s="315">
        <v>0</v>
      </c>
      <c r="L115" s="315">
        <v>0</v>
      </c>
      <c r="M115" s="315">
        <v>0</v>
      </c>
      <c r="N115" s="315">
        <f t="shared" si="57"/>
        <v>0</v>
      </c>
      <c r="O115" s="315">
        <v>0</v>
      </c>
      <c r="P115" s="315">
        <v>0</v>
      </c>
      <c r="Q115" s="315">
        <v>0</v>
      </c>
      <c r="R115" s="315">
        <f t="shared" si="58"/>
        <v>0</v>
      </c>
      <c r="S115" s="315">
        <v>0</v>
      </c>
      <c r="T115" s="315">
        <v>0</v>
      </c>
      <c r="U115" s="315">
        <v>0</v>
      </c>
    </row>
    <row r="116" spans="1:21" x14ac:dyDescent="0.2">
      <c r="A116" s="2" t="s">
        <v>1856</v>
      </c>
      <c r="B116" s="315">
        <f t="shared" si="64"/>
        <v>11375</v>
      </c>
      <c r="C116" s="315">
        <v>196</v>
      </c>
      <c r="D116" s="315">
        <v>7289</v>
      </c>
      <c r="E116" s="315">
        <v>3890</v>
      </c>
      <c r="F116" s="315">
        <f t="shared" si="55"/>
        <v>10327</v>
      </c>
      <c r="G116" s="315">
        <v>176</v>
      </c>
      <c r="H116" s="315">
        <v>6206</v>
      </c>
      <c r="I116" s="315">
        <v>3945</v>
      </c>
      <c r="J116" s="315">
        <f t="shared" si="56"/>
        <v>5728</v>
      </c>
      <c r="K116" s="315">
        <v>113</v>
      </c>
      <c r="L116" s="315">
        <v>3205</v>
      </c>
      <c r="M116" s="315">
        <v>2410</v>
      </c>
      <c r="N116" s="315">
        <f t="shared" si="57"/>
        <v>9344</v>
      </c>
      <c r="O116" s="315">
        <v>2739</v>
      </c>
      <c r="P116" s="315">
        <v>3365</v>
      </c>
      <c r="Q116" s="315">
        <v>3240</v>
      </c>
      <c r="R116" s="315">
        <f t="shared" si="58"/>
        <v>14102</v>
      </c>
      <c r="S116" s="315">
        <v>3943</v>
      </c>
      <c r="T116" s="315">
        <v>5121</v>
      </c>
      <c r="U116" s="315">
        <v>5038</v>
      </c>
    </row>
    <row r="117" spans="1:21" x14ac:dyDescent="0.2">
      <c r="A117" s="2" t="s">
        <v>1857</v>
      </c>
      <c r="B117" s="315">
        <f t="shared" si="64"/>
        <v>1499</v>
      </c>
      <c r="C117" s="315">
        <v>197</v>
      </c>
      <c r="D117" s="315">
        <v>1291</v>
      </c>
      <c r="E117" s="315">
        <v>11</v>
      </c>
      <c r="F117" s="315">
        <f t="shared" si="55"/>
        <v>2031</v>
      </c>
      <c r="G117" s="315">
        <v>380</v>
      </c>
      <c r="H117" s="315">
        <v>1606</v>
      </c>
      <c r="I117" s="315">
        <v>45</v>
      </c>
      <c r="J117" s="315">
        <f t="shared" si="56"/>
        <v>1604</v>
      </c>
      <c r="K117" s="315">
        <v>246</v>
      </c>
      <c r="L117" s="315">
        <v>1298</v>
      </c>
      <c r="M117" s="315">
        <v>60</v>
      </c>
      <c r="N117" s="315">
        <f t="shared" si="57"/>
        <v>1534</v>
      </c>
      <c r="O117" s="315">
        <v>39</v>
      </c>
      <c r="P117" s="315">
        <v>795</v>
      </c>
      <c r="Q117" s="315">
        <v>700</v>
      </c>
      <c r="R117" s="315">
        <f t="shared" si="58"/>
        <v>1861</v>
      </c>
      <c r="S117" s="315">
        <v>34</v>
      </c>
      <c r="T117" s="315">
        <v>957</v>
      </c>
      <c r="U117" s="315">
        <v>870</v>
      </c>
    </row>
    <row r="118" spans="1:21" x14ac:dyDescent="0.2">
      <c r="A118" s="2" t="s">
        <v>1858</v>
      </c>
      <c r="B118" s="315">
        <f t="shared" si="64"/>
        <v>140714</v>
      </c>
      <c r="C118" s="315">
        <v>6677</v>
      </c>
      <c r="D118" s="315">
        <v>130118</v>
      </c>
      <c r="E118" s="315">
        <v>3919</v>
      </c>
      <c r="F118" s="315">
        <f t="shared" si="55"/>
        <v>144109</v>
      </c>
      <c r="G118" s="315">
        <v>7795</v>
      </c>
      <c r="H118" s="315">
        <v>132696</v>
      </c>
      <c r="I118" s="315">
        <v>3618</v>
      </c>
      <c r="J118" s="315">
        <f t="shared" si="56"/>
        <v>145148</v>
      </c>
      <c r="K118" s="315">
        <v>7430</v>
      </c>
      <c r="L118" s="315">
        <v>133873</v>
      </c>
      <c r="M118" s="315">
        <v>3845</v>
      </c>
      <c r="N118" s="315">
        <f t="shared" si="57"/>
        <v>148410</v>
      </c>
      <c r="O118" s="315">
        <v>5157</v>
      </c>
      <c r="P118" s="315">
        <v>74150</v>
      </c>
      <c r="Q118" s="315">
        <v>69103</v>
      </c>
      <c r="R118" s="315">
        <f t="shared" si="58"/>
        <v>178920</v>
      </c>
      <c r="S118" s="315">
        <v>8888</v>
      </c>
      <c r="T118" s="315">
        <v>86285</v>
      </c>
      <c r="U118" s="315">
        <v>83747</v>
      </c>
    </row>
    <row r="119" spans="1:21" x14ac:dyDescent="0.2">
      <c r="A119" s="2" t="s">
        <v>1859</v>
      </c>
      <c r="B119" s="315">
        <f t="shared" si="64"/>
        <v>1105</v>
      </c>
      <c r="C119" s="315">
        <v>7</v>
      </c>
      <c r="D119" s="315">
        <v>542</v>
      </c>
      <c r="E119" s="315">
        <v>556</v>
      </c>
      <c r="F119" s="315">
        <f t="shared" si="55"/>
        <v>682</v>
      </c>
      <c r="G119" s="315">
        <v>27</v>
      </c>
      <c r="H119" s="315">
        <v>463</v>
      </c>
      <c r="I119" s="315">
        <v>192</v>
      </c>
      <c r="J119" s="315">
        <f t="shared" si="56"/>
        <v>636</v>
      </c>
      <c r="K119" s="315">
        <v>39</v>
      </c>
      <c r="L119" s="315">
        <v>452</v>
      </c>
      <c r="M119" s="315">
        <v>145</v>
      </c>
      <c r="N119" s="315">
        <f t="shared" si="57"/>
        <v>931</v>
      </c>
      <c r="O119" s="315">
        <v>151</v>
      </c>
      <c r="P119" s="315">
        <v>370</v>
      </c>
      <c r="Q119" s="315">
        <v>410</v>
      </c>
      <c r="R119" s="315">
        <f t="shared" si="58"/>
        <v>1268</v>
      </c>
      <c r="S119" s="315">
        <v>309</v>
      </c>
      <c r="T119" s="315">
        <v>440</v>
      </c>
      <c r="U119" s="315">
        <v>519</v>
      </c>
    </row>
    <row r="120" spans="1:21" x14ac:dyDescent="0.2">
      <c r="A120" s="2" t="s">
        <v>1860</v>
      </c>
      <c r="B120" s="315">
        <f t="shared" si="64"/>
        <v>7191</v>
      </c>
      <c r="C120" s="315">
        <v>1628</v>
      </c>
      <c r="D120" s="315">
        <v>5557</v>
      </c>
      <c r="E120" s="315">
        <v>6</v>
      </c>
      <c r="F120" s="315">
        <f t="shared" si="55"/>
        <v>7401</v>
      </c>
      <c r="G120" s="315">
        <v>1626</v>
      </c>
      <c r="H120" s="315">
        <v>5775</v>
      </c>
      <c r="I120" s="315">
        <v>0</v>
      </c>
      <c r="J120" s="315">
        <f t="shared" si="56"/>
        <v>7841</v>
      </c>
      <c r="K120" s="315">
        <v>2004</v>
      </c>
      <c r="L120" s="315">
        <v>5751</v>
      </c>
      <c r="M120" s="315">
        <v>86</v>
      </c>
      <c r="N120" s="315">
        <f t="shared" si="57"/>
        <v>7686</v>
      </c>
      <c r="O120" s="315">
        <v>177</v>
      </c>
      <c r="P120" s="315">
        <v>4488</v>
      </c>
      <c r="Q120" s="315">
        <v>3021</v>
      </c>
      <c r="R120" s="315">
        <f t="shared" si="58"/>
        <v>9149</v>
      </c>
      <c r="S120" s="315">
        <v>1665</v>
      </c>
      <c r="T120" s="315">
        <v>4363</v>
      </c>
      <c r="U120" s="315">
        <v>3121</v>
      </c>
    </row>
    <row r="121" spans="1:21" x14ac:dyDescent="0.2">
      <c r="A121" s="2" t="s">
        <v>1861</v>
      </c>
      <c r="B121" s="315">
        <f t="shared" si="64"/>
        <v>11563</v>
      </c>
      <c r="C121" s="315">
        <v>3340</v>
      </c>
      <c r="D121" s="315">
        <v>7979</v>
      </c>
      <c r="E121" s="315">
        <v>244</v>
      </c>
      <c r="F121" s="315">
        <f t="shared" si="55"/>
        <v>12402</v>
      </c>
      <c r="G121" s="315">
        <v>3806</v>
      </c>
      <c r="H121" s="315">
        <v>8284</v>
      </c>
      <c r="I121" s="315">
        <v>312</v>
      </c>
      <c r="J121" s="315">
        <f t="shared" si="56"/>
        <v>14281</v>
      </c>
      <c r="K121" s="315">
        <v>4867</v>
      </c>
      <c r="L121" s="315">
        <v>9120</v>
      </c>
      <c r="M121" s="315">
        <v>294</v>
      </c>
      <c r="N121" s="315">
        <f t="shared" si="57"/>
        <v>13462</v>
      </c>
      <c r="O121" s="315">
        <v>177</v>
      </c>
      <c r="P121" s="315">
        <v>7107</v>
      </c>
      <c r="Q121" s="315">
        <v>6178</v>
      </c>
      <c r="R121" s="315">
        <f t="shared" si="58"/>
        <v>11225</v>
      </c>
      <c r="S121" s="315">
        <v>160</v>
      </c>
      <c r="T121" s="315">
        <v>5935</v>
      </c>
      <c r="U121" s="315">
        <v>5130</v>
      </c>
    </row>
    <row r="122" spans="1:21" x14ac:dyDescent="0.2">
      <c r="A122" s="2" t="s">
        <v>1862</v>
      </c>
      <c r="B122" s="315">
        <f t="shared" si="64"/>
        <v>23608</v>
      </c>
      <c r="C122" s="315">
        <v>1531</v>
      </c>
      <c r="D122" s="315">
        <v>16716</v>
      </c>
      <c r="E122" s="315">
        <v>5361</v>
      </c>
      <c r="F122" s="315">
        <f t="shared" si="55"/>
        <v>21128</v>
      </c>
      <c r="G122" s="315">
        <v>889</v>
      </c>
      <c r="H122" s="315">
        <v>13927</v>
      </c>
      <c r="I122" s="315">
        <v>6312</v>
      </c>
      <c r="J122" s="315">
        <f t="shared" si="56"/>
        <v>20013</v>
      </c>
      <c r="K122" s="315">
        <v>898</v>
      </c>
      <c r="L122" s="315">
        <v>12573</v>
      </c>
      <c r="M122" s="315">
        <v>6542</v>
      </c>
      <c r="N122" s="315">
        <f t="shared" si="57"/>
        <v>29728</v>
      </c>
      <c r="O122" s="315">
        <v>7525</v>
      </c>
      <c r="P122" s="315">
        <v>11005</v>
      </c>
      <c r="Q122" s="315">
        <v>11198</v>
      </c>
      <c r="R122" s="315">
        <f t="shared" si="58"/>
        <v>31779</v>
      </c>
      <c r="S122" s="315">
        <v>7554</v>
      </c>
      <c r="T122" s="315">
        <v>11671</v>
      </c>
      <c r="U122" s="315">
        <v>12554</v>
      </c>
    </row>
    <row r="123" spans="1:21" x14ac:dyDescent="0.2">
      <c r="A123" s="2" t="s">
        <v>1863</v>
      </c>
      <c r="B123" s="315">
        <f t="shared" si="64"/>
        <v>0</v>
      </c>
      <c r="C123" s="315">
        <v>0</v>
      </c>
      <c r="D123" s="315">
        <v>0</v>
      </c>
      <c r="E123" s="315">
        <v>0</v>
      </c>
      <c r="F123" s="315">
        <f t="shared" si="55"/>
        <v>0</v>
      </c>
      <c r="G123" s="315">
        <v>0</v>
      </c>
      <c r="H123" s="315">
        <v>0</v>
      </c>
      <c r="I123" s="315">
        <v>0</v>
      </c>
      <c r="J123" s="315">
        <f t="shared" si="56"/>
        <v>0</v>
      </c>
      <c r="K123" s="315">
        <v>0</v>
      </c>
      <c r="L123" s="315">
        <v>0</v>
      </c>
      <c r="M123" s="315">
        <v>0</v>
      </c>
      <c r="N123" s="315">
        <f t="shared" si="57"/>
        <v>0</v>
      </c>
      <c r="O123" s="315">
        <v>0</v>
      </c>
      <c r="P123" s="315">
        <v>0</v>
      </c>
      <c r="Q123" s="315">
        <v>0</v>
      </c>
      <c r="R123" s="315">
        <f t="shared" si="58"/>
        <v>0</v>
      </c>
      <c r="S123" s="315">
        <v>0</v>
      </c>
      <c r="T123" s="315">
        <v>0</v>
      </c>
      <c r="U123" s="315">
        <v>0</v>
      </c>
    </row>
    <row r="124" spans="1:21" x14ac:dyDescent="0.2">
      <c r="A124" s="2" t="s">
        <v>1864</v>
      </c>
      <c r="B124" s="315">
        <f t="shared" si="64"/>
        <v>71739</v>
      </c>
      <c r="C124" s="315">
        <v>7070</v>
      </c>
      <c r="D124" s="315">
        <v>54602</v>
      </c>
      <c r="E124" s="315">
        <v>10067</v>
      </c>
      <c r="F124" s="315">
        <f t="shared" si="55"/>
        <v>72234</v>
      </c>
      <c r="G124" s="315">
        <v>6664</v>
      </c>
      <c r="H124" s="315">
        <v>55235</v>
      </c>
      <c r="I124" s="315">
        <v>10335</v>
      </c>
      <c r="J124" s="315">
        <f t="shared" si="56"/>
        <v>78453</v>
      </c>
      <c r="K124" s="315">
        <v>7829</v>
      </c>
      <c r="L124" s="315">
        <v>57756</v>
      </c>
      <c r="M124" s="315">
        <v>12868</v>
      </c>
      <c r="N124" s="315">
        <f t="shared" si="57"/>
        <v>98163</v>
      </c>
      <c r="O124" s="315">
        <v>13282</v>
      </c>
      <c r="P124" s="315">
        <v>40146</v>
      </c>
      <c r="Q124" s="315">
        <v>44735</v>
      </c>
      <c r="R124" s="315">
        <f t="shared" si="58"/>
        <v>104209</v>
      </c>
      <c r="S124" s="315">
        <v>14134</v>
      </c>
      <c r="T124" s="315">
        <v>43647</v>
      </c>
      <c r="U124" s="315">
        <v>46428</v>
      </c>
    </row>
    <row r="126" spans="1:21" ht="14.25" customHeight="1" x14ac:dyDescent="0.2">
      <c r="A126" s="651" t="s">
        <v>1888</v>
      </c>
    </row>
    <row r="127" spans="1:21" x14ac:dyDescent="0.2">
      <c r="A127" s="623" t="s">
        <v>1889</v>
      </c>
      <c r="B127" s="623"/>
      <c r="C127" s="623"/>
      <c r="D127" s="623"/>
      <c r="E127" s="623"/>
      <c r="F127" s="623"/>
      <c r="G127" s="623"/>
    </row>
    <row r="128" spans="1:21" ht="22.5" customHeight="1" x14ac:dyDescent="0.2">
      <c r="A128" s="638" t="s">
        <v>1890</v>
      </c>
      <c r="B128" s="638"/>
      <c r="C128" s="638"/>
      <c r="D128" s="638"/>
      <c r="E128" s="638"/>
      <c r="F128" s="638"/>
      <c r="G128" s="638"/>
      <c r="H128" s="638"/>
      <c r="I128" s="638"/>
      <c r="J128" s="638"/>
      <c r="K128" s="638"/>
      <c r="L128" s="638"/>
      <c r="M128" s="638"/>
      <c r="N128" s="638"/>
      <c r="O128" s="638"/>
    </row>
    <row r="129" spans="1:1" x14ac:dyDescent="0.2">
      <c r="A129" s="2" t="s">
        <v>1412</v>
      </c>
    </row>
  </sheetData>
  <mergeCells count="9">
    <mergeCell ref="A127:G127"/>
    <mergeCell ref="A128:O128"/>
    <mergeCell ref="A3:T3"/>
    <mergeCell ref="A4:A5"/>
    <mergeCell ref="B4:E4"/>
    <mergeCell ref="F4:I4"/>
    <mergeCell ref="J4:M4"/>
    <mergeCell ref="N4:Q4"/>
    <mergeCell ref="R4:U4"/>
  </mergeCells>
  <pageMargins left="0.15748031496062992" right="0.43307086614173229" top="0.3" bottom="0.74803149606299213" header="0.18" footer="0.31496062992125984"/>
  <pageSetup paperSize="14" scale="60" orientation="landscape" r:id="rId1"/>
  <rowBreaks count="1" manualBreakCount="1">
    <brk id="46" max="16383" man="1"/>
  </row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D42BB-642B-421C-9474-CFD5B47F069A}">
  <sheetPr codeName="Hoja113"/>
  <dimension ref="A2:G128"/>
  <sheetViews>
    <sheetView zoomScale="110" zoomScaleNormal="110" workbookViewId="0"/>
  </sheetViews>
  <sheetFormatPr baseColWidth="10" defaultColWidth="11.44140625" defaultRowHeight="10.199999999999999" x14ac:dyDescent="0.2"/>
  <cols>
    <col min="1" max="1" width="37.6640625" style="2" bestFit="1" customWidth="1"/>
    <col min="2" max="16384" width="11.44140625" style="2"/>
  </cols>
  <sheetData>
    <row r="2" spans="1:6" s="24" customFormat="1" ht="39" customHeight="1" x14ac:dyDescent="0.2">
      <c r="A2" s="45" t="s">
        <v>1114</v>
      </c>
      <c r="B2" s="45"/>
      <c r="C2" s="45"/>
      <c r="D2" s="45"/>
      <c r="E2" s="45"/>
      <c r="F2" s="45"/>
    </row>
    <row r="3" spans="1:6" ht="12.75" customHeight="1" x14ac:dyDescent="0.2"/>
    <row r="4" spans="1:6" ht="17.25" customHeight="1" x14ac:dyDescent="0.2">
      <c r="A4" s="298" t="s">
        <v>1760</v>
      </c>
      <c r="B4" s="298" t="s">
        <v>98</v>
      </c>
      <c r="C4" s="298"/>
      <c r="D4" s="298"/>
      <c r="E4" s="298"/>
      <c r="F4" s="298"/>
    </row>
    <row r="5" spans="1:6" ht="18" customHeight="1" x14ac:dyDescent="0.2">
      <c r="A5" s="298"/>
      <c r="B5" s="644">
        <v>2009</v>
      </c>
      <c r="C5" s="644">
        <v>2010</v>
      </c>
      <c r="D5" s="644">
        <v>2011</v>
      </c>
      <c r="E5" s="644">
        <v>2012</v>
      </c>
      <c r="F5" s="644">
        <v>2013</v>
      </c>
    </row>
    <row r="6" spans="1:6" s="24" customFormat="1" x14ac:dyDescent="0.2">
      <c r="A6" s="24" t="s">
        <v>3</v>
      </c>
      <c r="B6" s="622">
        <f>SUM(B7+B12+B16+B22+B26+B31+B40+B43+B47+B56+B64+B78+B81+B93+B113)</f>
        <v>5295</v>
      </c>
      <c r="C6" s="622">
        <f t="shared" ref="C6:F6" si="0">SUM(C7+C12+C16+C22+C26+C31+C40+C43+C47+C56+C64+C78+C81+C93+C113)</f>
        <v>2297</v>
      </c>
      <c r="D6" s="622">
        <f t="shared" si="0"/>
        <v>1871</v>
      </c>
      <c r="E6" s="622">
        <f t="shared" si="0"/>
        <v>1676</v>
      </c>
      <c r="F6" s="622">
        <f t="shared" si="0"/>
        <v>2256</v>
      </c>
    </row>
    <row r="7" spans="1:6" s="24" customFormat="1" x14ac:dyDescent="0.2">
      <c r="A7" s="24" t="s">
        <v>4</v>
      </c>
      <c r="B7" s="622">
        <f>SUM(B8:B11)</f>
        <v>0</v>
      </c>
      <c r="C7" s="622">
        <f t="shared" ref="C7:F7" si="1">SUM(C8:C11)</f>
        <v>4</v>
      </c>
      <c r="D7" s="622">
        <f t="shared" si="1"/>
        <v>0</v>
      </c>
      <c r="E7" s="622">
        <f t="shared" si="1"/>
        <v>0</v>
      </c>
      <c r="F7" s="622">
        <f t="shared" si="1"/>
        <v>0</v>
      </c>
    </row>
    <row r="8" spans="1:6" x14ac:dyDescent="0.2">
      <c r="A8" s="2" t="s">
        <v>1761</v>
      </c>
      <c r="B8" s="315">
        <v>0</v>
      </c>
      <c r="C8" s="315">
        <v>4</v>
      </c>
      <c r="D8" s="315">
        <v>0</v>
      </c>
      <c r="E8" s="315">
        <v>0</v>
      </c>
      <c r="F8" s="315">
        <v>0</v>
      </c>
    </row>
    <row r="9" spans="1:6" x14ac:dyDescent="0.2">
      <c r="A9" s="2" t="s">
        <v>1762</v>
      </c>
      <c r="B9" s="315">
        <v>0</v>
      </c>
      <c r="C9" s="315">
        <v>0</v>
      </c>
      <c r="D9" s="315">
        <v>0</v>
      </c>
      <c r="E9" s="315">
        <v>0</v>
      </c>
      <c r="F9" s="315">
        <v>0</v>
      </c>
    </row>
    <row r="10" spans="1:6" x14ac:dyDescent="0.2">
      <c r="A10" s="2" t="s">
        <v>1763</v>
      </c>
      <c r="B10" s="315">
        <v>0</v>
      </c>
      <c r="C10" s="315">
        <v>0</v>
      </c>
      <c r="D10" s="315">
        <v>0</v>
      </c>
      <c r="E10" s="315">
        <v>0</v>
      </c>
      <c r="F10" s="315">
        <v>0</v>
      </c>
    </row>
    <row r="11" spans="1:6" x14ac:dyDescent="0.2">
      <c r="A11" s="2" t="s">
        <v>1764</v>
      </c>
      <c r="B11" s="315">
        <v>0</v>
      </c>
      <c r="C11" s="315">
        <v>0</v>
      </c>
      <c r="D11" s="315">
        <v>0</v>
      </c>
      <c r="E11" s="315">
        <v>0</v>
      </c>
      <c r="F11" s="315">
        <v>0</v>
      </c>
    </row>
    <row r="12" spans="1:6" s="24" customFormat="1" x14ac:dyDescent="0.2">
      <c r="A12" s="24" t="s">
        <v>5</v>
      </c>
      <c r="B12" s="622">
        <f>SUM(B13:B15)</f>
        <v>0</v>
      </c>
      <c r="C12" s="622">
        <f t="shared" ref="C12:F12" si="2">SUM(C13:C15)</f>
        <v>5</v>
      </c>
      <c r="D12" s="622">
        <f t="shared" si="2"/>
        <v>1</v>
      </c>
      <c r="E12" s="622">
        <f t="shared" si="2"/>
        <v>0</v>
      </c>
      <c r="F12" s="622">
        <f t="shared" si="2"/>
        <v>2</v>
      </c>
    </row>
    <row r="13" spans="1:6" x14ac:dyDescent="0.2">
      <c r="A13" s="2" t="s">
        <v>1765</v>
      </c>
      <c r="B13" s="315">
        <v>0</v>
      </c>
      <c r="C13" s="315">
        <v>0</v>
      </c>
      <c r="D13" s="315">
        <v>0</v>
      </c>
      <c r="E13" s="315">
        <v>0</v>
      </c>
      <c r="F13" s="315">
        <v>0</v>
      </c>
    </row>
    <row r="14" spans="1:6" x14ac:dyDescent="0.2">
      <c r="A14" s="2" t="s">
        <v>1766</v>
      </c>
      <c r="B14" s="315">
        <v>0</v>
      </c>
      <c r="C14" s="315">
        <v>0</v>
      </c>
      <c r="D14" s="315">
        <v>0</v>
      </c>
      <c r="E14" s="315">
        <v>0</v>
      </c>
      <c r="F14" s="315">
        <v>0</v>
      </c>
    </row>
    <row r="15" spans="1:6" x14ac:dyDescent="0.2">
      <c r="A15" s="2" t="s">
        <v>1767</v>
      </c>
      <c r="B15" s="315">
        <v>0</v>
      </c>
      <c r="C15" s="315">
        <v>5</v>
      </c>
      <c r="D15" s="315">
        <v>1</v>
      </c>
      <c r="E15" s="315">
        <v>0</v>
      </c>
      <c r="F15" s="315">
        <v>2</v>
      </c>
    </row>
    <row r="16" spans="1:6" s="24" customFormat="1" x14ac:dyDescent="0.2">
      <c r="A16" s="24" t="s">
        <v>6</v>
      </c>
      <c r="B16" s="622">
        <f>SUM(B17:B21)</f>
        <v>148</v>
      </c>
      <c r="C16" s="622">
        <f t="shared" ref="C16:F16" si="3">SUM(C17:C21)</f>
        <v>200</v>
      </c>
      <c r="D16" s="622">
        <f t="shared" si="3"/>
        <v>162</v>
      </c>
      <c r="E16" s="622">
        <f t="shared" si="3"/>
        <v>135</v>
      </c>
      <c r="F16" s="622">
        <f t="shared" si="3"/>
        <v>277</v>
      </c>
    </row>
    <row r="17" spans="1:6" x14ac:dyDescent="0.2">
      <c r="A17" s="2" t="s">
        <v>1768</v>
      </c>
      <c r="B17" s="315">
        <v>0</v>
      </c>
      <c r="C17" s="315">
        <v>0</v>
      </c>
      <c r="D17" s="315">
        <v>0</v>
      </c>
      <c r="E17" s="315">
        <v>0</v>
      </c>
      <c r="F17" s="315">
        <v>0</v>
      </c>
    </row>
    <row r="18" spans="1:6" x14ac:dyDescent="0.2">
      <c r="A18" s="2" t="s">
        <v>1769</v>
      </c>
      <c r="B18" s="315">
        <v>0</v>
      </c>
      <c r="C18" s="315">
        <v>0</v>
      </c>
      <c r="D18" s="315">
        <v>0</v>
      </c>
      <c r="E18" s="315">
        <v>0</v>
      </c>
      <c r="F18" s="315">
        <v>0</v>
      </c>
    </row>
    <row r="19" spans="1:6" x14ac:dyDescent="0.2">
      <c r="A19" s="2" t="s">
        <v>1770</v>
      </c>
      <c r="B19" s="315">
        <v>8</v>
      </c>
      <c r="C19" s="315">
        <v>2</v>
      </c>
      <c r="D19" s="315">
        <v>33</v>
      </c>
      <c r="E19" s="315">
        <v>0</v>
      </c>
      <c r="F19" s="315">
        <v>0</v>
      </c>
    </row>
    <row r="20" spans="1:6" x14ac:dyDescent="0.2">
      <c r="A20" s="2" t="s">
        <v>1869</v>
      </c>
      <c r="B20" s="315">
        <v>0</v>
      </c>
      <c r="C20" s="315">
        <v>0</v>
      </c>
      <c r="D20" s="315">
        <v>0</v>
      </c>
      <c r="E20" s="315">
        <v>0</v>
      </c>
      <c r="F20" s="315">
        <v>0</v>
      </c>
    </row>
    <row r="21" spans="1:6" x14ac:dyDescent="0.2">
      <c r="A21" s="2" t="s">
        <v>1772</v>
      </c>
      <c r="B21" s="315">
        <v>140</v>
      </c>
      <c r="C21" s="315">
        <v>198</v>
      </c>
      <c r="D21" s="315">
        <v>129</v>
      </c>
      <c r="E21" s="315">
        <v>135</v>
      </c>
      <c r="F21" s="315">
        <v>277</v>
      </c>
    </row>
    <row r="22" spans="1:6" s="24" customFormat="1" x14ac:dyDescent="0.2">
      <c r="A22" s="24" t="s">
        <v>7</v>
      </c>
      <c r="B22" s="622">
        <f>SUM(B23:B25)</f>
        <v>0</v>
      </c>
      <c r="C22" s="622">
        <f t="shared" ref="C22:F22" si="4">SUM(C23:C25)</f>
        <v>0</v>
      </c>
      <c r="D22" s="622">
        <f t="shared" si="4"/>
        <v>0</v>
      </c>
      <c r="E22" s="622">
        <f t="shared" si="4"/>
        <v>0</v>
      </c>
      <c r="F22" s="622">
        <f t="shared" si="4"/>
        <v>0</v>
      </c>
    </row>
    <row r="23" spans="1:6" x14ac:dyDescent="0.2">
      <c r="A23" s="2" t="s">
        <v>1773</v>
      </c>
      <c r="B23" s="315">
        <v>0</v>
      </c>
      <c r="C23" s="315">
        <v>0</v>
      </c>
      <c r="D23" s="315">
        <v>0</v>
      </c>
      <c r="E23" s="315">
        <v>0</v>
      </c>
      <c r="F23" s="315">
        <v>0</v>
      </c>
    </row>
    <row r="24" spans="1:6" x14ac:dyDescent="0.2">
      <c r="A24" s="2" t="s">
        <v>1774</v>
      </c>
      <c r="B24" s="315">
        <v>0</v>
      </c>
      <c r="C24" s="315">
        <v>0</v>
      </c>
      <c r="D24" s="315">
        <v>0</v>
      </c>
      <c r="E24" s="315">
        <v>0</v>
      </c>
      <c r="F24" s="315">
        <v>0</v>
      </c>
    </row>
    <row r="25" spans="1:6" x14ac:dyDescent="0.2">
      <c r="A25" s="2" t="s">
        <v>1775</v>
      </c>
      <c r="B25" s="315">
        <v>0</v>
      </c>
      <c r="C25" s="315">
        <v>0</v>
      </c>
      <c r="D25" s="315">
        <v>0</v>
      </c>
      <c r="E25" s="315">
        <v>0</v>
      </c>
      <c r="F25" s="315">
        <v>0</v>
      </c>
    </row>
    <row r="26" spans="1:6" s="24" customFormat="1" x14ac:dyDescent="0.2">
      <c r="A26" s="24" t="s">
        <v>8</v>
      </c>
      <c r="B26" s="622">
        <f>SUM(B27:B30)</f>
        <v>4</v>
      </c>
      <c r="C26" s="622">
        <f t="shared" ref="C26:F26" si="5">SUM(C27:C30)</f>
        <v>2</v>
      </c>
      <c r="D26" s="622">
        <f t="shared" si="5"/>
        <v>23</v>
      </c>
      <c r="E26" s="622">
        <f t="shared" si="5"/>
        <v>0</v>
      </c>
      <c r="F26" s="622">
        <f t="shared" si="5"/>
        <v>52</v>
      </c>
    </row>
    <row r="27" spans="1:6" x14ac:dyDescent="0.2">
      <c r="A27" s="2" t="s">
        <v>1776</v>
      </c>
      <c r="B27" s="315">
        <v>4</v>
      </c>
      <c r="C27" s="315">
        <v>0</v>
      </c>
      <c r="D27" s="315">
        <v>21</v>
      </c>
      <c r="E27" s="315">
        <v>0</v>
      </c>
      <c r="F27" s="315">
        <v>0</v>
      </c>
    </row>
    <row r="28" spans="1:6" x14ac:dyDescent="0.2">
      <c r="A28" s="2" t="s">
        <v>1777</v>
      </c>
      <c r="B28" s="315">
        <v>0</v>
      </c>
      <c r="C28" s="315">
        <v>0</v>
      </c>
      <c r="D28" s="315">
        <v>0</v>
      </c>
      <c r="E28" s="315">
        <v>0</v>
      </c>
      <c r="F28" s="315">
        <v>52</v>
      </c>
    </row>
    <row r="29" spans="1:6" x14ac:dyDescent="0.2">
      <c r="A29" s="2" t="s">
        <v>1778</v>
      </c>
      <c r="B29" s="315">
        <v>0</v>
      </c>
      <c r="C29" s="315">
        <v>0</v>
      </c>
      <c r="D29" s="315">
        <v>1</v>
      </c>
      <c r="E29" s="315">
        <v>0</v>
      </c>
      <c r="F29" s="315">
        <v>0</v>
      </c>
    </row>
    <row r="30" spans="1:6" x14ac:dyDescent="0.2">
      <c r="A30" s="2" t="s">
        <v>1779</v>
      </c>
      <c r="B30" s="315">
        <v>0</v>
      </c>
      <c r="C30" s="315">
        <v>2</v>
      </c>
      <c r="D30" s="315">
        <v>1</v>
      </c>
      <c r="E30" s="315">
        <v>0</v>
      </c>
      <c r="F30" s="315">
        <v>0</v>
      </c>
    </row>
    <row r="31" spans="1:6" s="24" customFormat="1" x14ac:dyDescent="0.2">
      <c r="A31" s="24" t="s">
        <v>9</v>
      </c>
      <c r="B31" s="622">
        <f>SUM(B32:B39)</f>
        <v>109</v>
      </c>
      <c r="C31" s="622">
        <f t="shared" ref="C31:F31" si="6">SUM(C32:C39)</f>
        <v>247</v>
      </c>
      <c r="D31" s="622">
        <f t="shared" si="6"/>
        <v>144</v>
      </c>
      <c r="E31" s="622">
        <f t="shared" si="6"/>
        <v>188</v>
      </c>
      <c r="F31" s="622">
        <f t="shared" si="6"/>
        <v>223</v>
      </c>
    </row>
    <row r="32" spans="1:6" x14ac:dyDescent="0.2">
      <c r="A32" s="2" t="s">
        <v>1780</v>
      </c>
      <c r="B32" s="315">
        <v>2</v>
      </c>
      <c r="C32" s="315">
        <v>0</v>
      </c>
      <c r="D32" s="315">
        <v>5</v>
      </c>
      <c r="E32" s="315">
        <v>2</v>
      </c>
      <c r="F32" s="315">
        <v>3</v>
      </c>
    </row>
    <row r="33" spans="1:6" x14ac:dyDescent="0.2">
      <c r="A33" s="2" t="s">
        <v>1870</v>
      </c>
      <c r="B33" s="315">
        <v>0</v>
      </c>
      <c r="C33" s="315">
        <v>0</v>
      </c>
      <c r="D33" s="315">
        <v>0</v>
      </c>
      <c r="E33" s="315">
        <v>0</v>
      </c>
      <c r="F33" s="315">
        <v>0</v>
      </c>
    </row>
    <row r="34" spans="1:6" x14ac:dyDescent="0.2">
      <c r="A34" s="2" t="s">
        <v>1782</v>
      </c>
      <c r="B34" s="315">
        <v>0</v>
      </c>
      <c r="C34" s="315">
        <v>0</v>
      </c>
      <c r="D34" s="315">
        <v>0</v>
      </c>
      <c r="E34" s="315">
        <v>0</v>
      </c>
      <c r="F34" s="315">
        <v>0</v>
      </c>
    </row>
    <row r="35" spans="1:6" x14ac:dyDescent="0.2">
      <c r="A35" s="2" t="s">
        <v>1783</v>
      </c>
      <c r="B35" s="315">
        <v>19</v>
      </c>
      <c r="C35" s="315">
        <v>85</v>
      </c>
      <c r="D35" s="315">
        <v>46</v>
      </c>
      <c r="E35" s="315">
        <v>42</v>
      </c>
      <c r="F35" s="315">
        <v>48</v>
      </c>
    </row>
    <row r="36" spans="1:6" x14ac:dyDescent="0.2">
      <c r="A36" s="2" t="s">
        <v>1784</v>
      </c>
      <c r="B36" s="315">
        <v>0</v>
      </c>
      <c r="C36" s="315">
        <v>0</v>
      </c>
      <c r="D36" s="315">
        <v>0</v>
      </c>
      <c r="E36" s="315">
        <v>18</v>
      </c>
      <c r="F36" s="315">
        <v>0</v>
      </c>
    </row>
    <row r="37" spans="1:6" x14ac:dyDescent="0.2">
      <c r="A37" s="2" t="s">
        <v>1891</v>
      </c>
      <c r="B37" s="315">
        <v>0</v>
      </c>
      <c r="C37" s="315">
        <v>0</v>
      </c>
      <c r="D37" s="315">
        <v>0</v>
      </c>
      <c r="E37" s="315">
        <v>0</v>
      </c>
      <c r="F37" s="315">
        <v>0</v>
      </c>
    </row>
    <row r="38" spans="1:6" ht="12" x14ac:dyDescent="0.2">
      <c r="A38" s="2" t="s">
        <v>1871</v>
      </c>
      <c r="B38" s="315">
        <v>88</v>
      </c>
      <c r="C38" s="315">
        <v>162</v>
      </c>
      <c r="D38" s="315">
        <v>93</v>
      </c>
      <c r="E38" s="315">
        <v>125</v>
      </c>
      <c r="F38" s="315">
        <v>172</v>
      </c>
    </row>
    <row r="39" spans="1:6" x14ac:dyDescent="0.2">
      <c r="A39" s="2" t="s">
        <v>1787</v>
      </c>
      <c r="B39" s="315">
        <v>0</v>
      </c>
      <c r="C39" s="315">
        <v>0</v>
      </c>
      <c r="D39" s="315">
        <v>0</v>
      </c>
      <c r="E39" s="315">
        <v>1</v>
      </c>
      <c r="F39" s="315">
        <v>0</v>
      </c>
    </row>
    <row r="40" spans="1:6" s="24" customFormat="1" x14ac:dyDescent="0.2">
      <c r="A40" s="24" t="s">
        <v>10</v>
      </c>
      <c r="B40" s="622">
        <f>SUM(B41:B42)</f>
        <v>16</v>
      </c>
      <c r="C40" s="622">
        <f t="shared" ref="C40:F40" si="7">SUM(C41:C42)</f>
        <v>171</v>
      </c>
      <c r="D40" s="622">
        <f t="shared" si="7"/>
        <v>72</v>
      </c>
      <c r="E40" s="622">
        <f t="shared" si="7"/>
        <v>98</v>
      </c>
      <c r="F40" s="622">
        <f t="shared" si="7"/>
        <v>86</v>
      </c>
    </row>
    <row r="41" spans="1:6" x14ac:dyDescent="0.2">
      <c r="A41" s="2" t="s">
        <v>1788</v>
      </c>
      <c r="B41" s="315">
        <v>16</v>
      </c>
      <c r="C41" s="315">
        <v>171</v>
      </c>
      <c r="D41" s="315">
        <v>72</v>
      </c>
      <c r="E41" s="315">
        <v>90</v>
      </c>
      <c r="F41" s="315">
        <v>86</v>
      </c>
    </row>
    <row r="42" spans="1:6" x14ac:dyDescent="0.2">
      <c r="A42" s="2" t="s">
        <v>1789</v>
      </c>
      <c r="B42" s="315">
        <v>0</v>
      </c>
      <c r="C42" s="315">
        <v>0</v>
      </c>
      <c r="D42" s="315">
        <v>0</v>
      </c>
      <c r="E42" s="315">
        <v>8</v>
      </c>
      <c r="F42" s="315">
        <v>0</v>
      </c>
    </row>
    <row r="43" spans="1:6" s="24" customFormat="1" x14ac:dyDescent="0.2">
      <c r="A43" s="24" t="s">
        <v>134</v>
      </c>
      <c r="B43" s="622">
        <f>SUM(B44:B46)</f>
        <v>15</v>
      </c>
      <c r="C43" s="622">
        <f t="shared" ref="C43:F43" si="8">SUM(C44:C46)</f>
        <v>30</v>
      </c>
      <c r="D43" s="622">
        <f t="shared" si="8"/>
        <v>47</v>
      </c>
      <c r="E43" s="622">
        <f t="shared" si="8"/>
        <v>21</v>
      </c>
      <c r="F43" s="622">
        <f t="shared" si="8"/>
        <v>78</v>
      </c>
    </row>
    <row r="44" spans="1:6" x14ac:dyDescent="0.2">
      <c r="A44" s="2" t="s">
        <v>1791</v>
      </c>
      <c r="B44" s="315">
        <v>0</v>
      </c>
      <c r="C44" s="315">
        <v>0</v>
      </c>
      <c r="D44" s="315">
        <v>0</v>
      </c>
      <c r="E44" s="315">
        <v>0</v>
      </c>
      <c r="F44" s="315">
        <v>0</v>
      </c>
    </row>
    <row r="45" spans="1:6" x14ac:dyDescent="0.2">
      <c r="A45" s="2" t="s">
        <v>1792</v>
      </c>
      <c r="B45" s="315">
        <v>15</v>
      </c>
      <c r="C45" s="315">
        <v>30</v>
      </c>
      <c r="D45" s="315">
        <v>47</v>
      </c>
      <c r="E45" s="315">
        <v>21</v>
      </c>
      <c r="F45" s="315">
        <v>78</v>
      </c>
    </row>
    <row r="46" spans="1:6" x14ac:dyDescent="0.2">
      <c r="A46" s="2" t="s">
        <v>1793</v>
      </c>
      <c r="B46" s="315">
        <v>0</v>
      </c>
      <c r="C46" s="315">
        <v>0</v>
      </c>
      <c r="D46" s="315">
        <v>0</v>
      </c>
      <c r="E46" s="315">
        <v>0</v>
      </c>
      <c r="F46" s="315">
        <v>0</v>
      </c>
    </row>
    <row r="47" spans="1:6" s="24" customFormat="1" x14ac:dyDescent="0.2">
      <c r="A47" s="24" t="s">
        <v>12</v>
      </c>
      <c r="B47" s="622">
        <f>SUM(B48:B55)</f>
        <v>124</v>
      </c>
      <c r="C47" s="622">
        <f t="shared" ref="C47:F47" si="9">SUM(C48:C55)</f>
        <v>143</v>
      </c>
      <c r="D47" s="622">
        <f t="shared" si="9"/>
        <v>63</v>
      </c>
      <c r="E47" s="622">
        <f t="shared" si="9"/>
        <v>111</v>
      </c>
      <c r="F47" s="622">
        <f t="shared" si="9"/>
        <v>50</v>
      </c>
    </row>
    <row r="48" spans="1:6" x14ac:dyDescent="0.2">
      <c r="A48" s="2" t="s">
        <v>1794</v>
      </c>
      <c r="B48" s="315">
        <v>82</v>
      </c>
      <c r="C48" s="315">
        <v>10</v>
      </c>
      <c r="D48" s="315">
        <v>16</v>
      </c>
      <c r="E48" s="315">
        <v>25</v>
      </c>
      <c r="F48" s="315">
        <v>2</v>
      </c>
    </row>
    <row r="49" spans="1:6" x14ac:dyDescent="0.2">
      <c r="A49" s="2" t="s">
        <v>1795</v>
      </c>
      <c r="B49" s="315">
        <v>0</v>
      </c>
      <c r="C49" s="315">
        <v>0</v>
      </c>
      <c r="D49" s="315">
        <v>2</v>
      </c>
      <c r="E49" s="315">
        <v>13</v>
      </c>
      <c r="F49" s="315">
        <v>8</v>
      </c>
    </row>
    <row r="50" spans="1:6" x14ac:dyDescent="0.2">
      <c r="A50" s="2" t="s">
        <v>1796</v>
      </c>
      <c r="B50" s="315">
        <v>2</v>
      </c>
      <c r="C50" s="315">
        <v>3</v>
      </c>
      <c r="D50" s="315">
        <v>0</v>
      </c>
      <c r="E50" s="315">
        <v>0</v>
      </c>
      <c r="F50" s="315">
        <v>4</v>
      </c>
    </row>
    <row r="51" spans="1:6" x14ac:dyDescent="0.2">
      <c r="A51" s="2" t="s">
        <v>1797</v>
      </c>
      <c r="B51" s="315">
        <v>0</v>
      </c>
      <c r="C51" s="315">
        <v>0</v>
      </c>
      <c r="D51" s="315">
        <v>0</v>
      </c>
      <c r="E51" s="315">
        <v>0</v>
      </c>
      <c r="F51" s="315">
        <v>0</v>
      </c>
    </row>
    <row r="52" spans="1:6" x14ac:dyDescent="0.2">
      <c r="A52" s="2" t="s">
        <v>1798</v>
      </c>
      <c r="B52" s="315">
        <v>0</v>
      </c>
      <c r="C52" s="315">
        <v>0</v>
      </c>
      <c r="D52" s="315">
        <v>0</v>
      </c>
      <c r="E52" s="315">
        <v>0</v>
      </c>
      <c r="F52" s="315">
        <v>2</v>
      </c>
    </row>
    <row r="53" spans="1:6" x14ac:dyDescent="0.2">
      <c r="A53" s="2" t="s">
        <v>1799</v>
      </c>
      <c r="B53" s="315">
        <v>0</v>
      </c>
      <c r="C53" s="315">
        <v>17</v>
      </c>
      <c r="D53" s="315">
        <v>1</v>
      </c>
      <c r="E53" s="315">
        <v>1</v>
      </c>
      <c r="F53" s="315">
        <v>2</v>
      </c>
    </row>
    <row r="54" spans="1:6" x14ac:dyDescent="0.2">
      <c r="A54" s="2" t="s">
        <v>1800</v>
      </c>
      <c r="B54" s="315">
        <v>0</v>
      </c>
      <c r="C54" s="315">
        <v>0</v>
      </c>
      <c r="D54" s="315">
        <v>0</v>
      </c>
      <c r="E54" s="315">
        <v>0</v>
      </c>
      <c r="F54" s="315">
        <v>0</v>
      </c>
    </row>
    <row r="55" spans="1:6" x14ac:dyDescent="0.2">
      <c r="A55" s="2" t="s">
        <v>1873</v>
      </c>
      <c r="B55" s="315">
        <v>40</v>
      </c>
      <c r="C55" s="315">
        <v>113</v>
      </c>
      <c r="D55" s="315">
        <v>44</v>
      </c>
      <c r="E55" s="315">
        <v>72</v>
      </c>
      <c r="F55" s="315">
        <v>32</v>
      </c>
    </row>
    <row r="56" spans="1:6" s="24" customFormat="1" x14ac:dyDescent="0.2">
      <c r="A56" s="24" t="s">
        <v>13</v>
      </c>
      <c r="B56" s="622">
        <f>SUM(B57:B63)</f>
        <v>0</v>
      </c>
      <c r="C56" s="622">
        <f t="shared" ref="C56:F56" si="10">SUM(C57:C63)</f>
        <v>2</v>
      </c>
      <c r="D56" s="622">
        <f t="shared" si="10"/>
        <v>4</v>
      </c>
      <c r="E56" s="622">
        <f t="shared" si="10"/>
        <v>1</v>
      </c>
      <c r="F56" s="622">
        <f t="shared" si="10"/>
        <v>71</v>
      </c>
    </row>
    <row r="57" spans="1:6" x14ac:dyDescent="0.2">
      <c r="A57" s="2" t="s">
        <v>1802</v>
      </c>
      <c r="B57" s="315">
        <v>0</v>
      </c>
      <c r="C57" s="315">
        <v>0</v>
      </c>
      <c r="D57" s="315">
        <v>0</v>
      </c>
      <c r="E57" s="315">
        <v>0</v>
      </c>
      <c r="F57" s="315">
        <v>1</v>
      </c>
    </row>
    <row r="58" spans="1:6" x14ac:dyDescent="0.2">
      <c r="A58" s="2" t="s">
        <v>1803</v>
      </c>
      <c r="B58" s="315">
        <v>0</v>
      </c>
      <c r="C58" s="315">
        <v>0</v>
      </c>
      <c r="D58" s="315">
        <v>0</v>
      </c>
      <c r="E58" s="315">
        <v>0</v>
      </c>
      <c r="F58" s="315">
        <v>0</v>
      </c>
    </row>
    <row r="59" spans="1:6" x14ac:dyDescent="0.2">
      <c r="A59" s="2" t="s">
        <v>1892</v>
      </c>
      <c r="B59" s="315">
        <v>0</v>
      </c>
      <c r="C59" s="315">
        <v>0</v>
      </c>
      <c r="D59" s="315">
        <v>0</v>
      </c>
      <c r="E59" s="315">
        <v>0</v>
      </c>
      <c r="F59" s="315">
        <v>0</v>
      </c>
    </row>
    <row r="60" spans="1:6" x14ac:dyDescent="0.2">
      <c r="A60" s="2" t="s">
        <v>1805</v>
      </c>
      <c r="B60" s="315">
        <v>0</v>
      </c>
      <c r="C60" s="315">
        <v>0</v>
      </c>
      <c r="D60" s="315">
        <v>1</v>
      </c>
      <c r="E60" s="315">
        <v>0</v>
      </c>
      <c r="F60" s="315">
        <v>0</v>
      </c>
    </row>
    <row r="61" spans="1:6" x14ac:dyDescent="0.2">
      <c r="A61" s="2" t="s">
        <v>1806</v>
      </c>
      <c r="B61" s="315">
        <v>0</v>
      </c>
      <c r="C61" s="315">
        <v>0</v>
      </c>
      <c r="D61" s="315">
        <v>0</v>
      </c>
      <c r="E61" s="315">
        <v>0</v>
      </c>
      <c r="F61" s="315">
        <v>0</v>
      </c>
    </row>
    <row r="62" spans="1:6" x14ac:dyDescent="0.2">
      <c r="A62" s="2" t="s">
        <v>1807</v>
      </c>
      <c r="B62" s="315">
        <v>0</v>
      </c>
      <c r="C62" s="315">
        <v>2</v>
      </c>
      <c r="D62" s="315">
        <v>3</v>
      </c>
      <c r="E62" s="315">
        <v>1</v>
      </c>
      <c r="F62" s="315">
        <v>70</v>
      </c>
    </row>
    <row r="63" spans="1:6" x14ac:dyDescent="0.2">
      <c r="A63" s="2" t="s">
        <v>1808</v>
      </c>
      <c r="B63" s="315">
        <v>0</v>
      </c>
      <c r="C63" s="315">
        <v>0</v>
      </c>
      <c r="D63" s="315">
        <v>0</v>
      </c>
      <c r="E63" s="315">
        <v>0</v>
      </c>
      <c r="F63" s="315">
        <v>0</v>
      </c>
    </row>
    <row r="64" spans="1:6" s="24" customFormat="1" x14ac:dyDescent="0.2">
      <c r="A64" s="24" t="s">
        <v>47</v>
      </c>
      <c r="B64" s="622">
        <f>SUM(B65:B77)</f>
        <v>3866</v>
      </c>
      <c r="C64" s="622">
        <f t="shared" ref="C64:E64" si="11">SUM(C65:C77)</f>
        <v>298</v>
      </c>
      <c r="D64" s="622">
        <f t="shared" si="11"/>
        <v>244</v>
      </c>
      <c r="E64" s="622">
        <f t="shared" si="11"/>
        <v>187</v>
      </c>
      <c r="F64" s="622">
        <f>SUM(F65:F77)</f>
        <v>542</v>
      </c>
    </row>
    <row r="65" spans="1:6" x14ac:dyDescent="0.2">
      <c r="A65" s="2" t="s">
        <v>1809</v>
      </c>
      <c r="B65" s="315">
        <v>3</v>
      </c>
      <c r="C65" s="315">
        <v>2</v>
      </c>
      <c r="D65" s="315">
        <v>17</v>
      </c>
      <c r="E65" s="315">
        <v>9</v>
      </c>
      <c r="F65" s="315">
        <v>0</v>
      </c>
    </row>
    <row r="66" spans="1:6" x14ac:dyDescent="0.2">
      <c r="A66" s="2" t="s">
        <v>1810</v>
      </c>
      <c r="B66" s="315">
        <v>0</v>
      </c>
      <c r="C66" s="315">
        <v>0</v>
      </c>
      <c r="D66" s="315">
        <v>2</v>
      </c>
      <c r="E66" s="315">
        <v>6</v>
      </c>
      <c r="F66" s="315">
        <v>23</v>
      </c>
    </row>
    <row r="67" spans="1:6" x14ac:dyDescent="0.2">
      <c r="A67" s="2" t="s">
        <v>1811</v>
      </c>
      <c r="B67" s="315">
        <v>0</v>
      </c>
      <c r="C67" s="315">
        <v>0</v>
      </c>
      <c r="D67" s="315">
        <v>0</v>
      </c>
      <c r="E67" s="315">
        <v>0</v>
      </c>
      <c r="F67" s="315">
        <v>2</v>
      </c>
    </row>
    <row r="68" spans="1:6" x14ac:dyDescent="0.2">
      <c r="A68" s="2" t="s">
        <v>1812</v>
      </c>
      <c r="B68" s="315">
        <v>0</v>
      </c>
      <c r="C68" s="315">
        <v>0</v>
      </c>
      <c r="D68" s="315">
        <v>0</v>
      </c>
      <c r="E68" s="315">
        <v>0</v>
      </c>
      <c r="F68" s="315">
        <v>22</v>
      </c>
    </row>
    <row r="69" spans="1:6" x14ac:dyDescent="0.2">
      <c r="A69" s="2" t="s">
        <v>1813</v>
      </c>
      <c r="B69" s="315">
        <v>0</v>
      </c>
      <c r="C69" s="315">
        <v>0</v>
      </c>
      <c r="D69" s="315">
        <v>0</v>
      </c>
      <c r="E69" s="315">
        <v>0</v>
      </c>
      <c r="F69" s="315">
        <v>0</v>
      </c>
    </row>
    <row r="70" spans="1:6" x14ac:dyDescent="0.2">
      <c r="A70" s="2" t="s">
        <v>1814</v>
      </c>
      <c r="B70" s="315">
        <v>0</v>
      </c>
      <c r="C70" s="315">
        <v>0</v>
      </c>
      <c r="D70" s="315">
        <v>0</v>
      </c>
      <c r="E70" s="315">
        <v>0</v>
      </c>
      <c r="F70" s="315">
        <v>0</v>
      </c>
    </row>
    <row r="71" spans="1:6" x14ac:dyDescent="0.2">
      <c r="A71" s="2" t="s">
        <v>1815</v>
      </c>
      <c r="B71" s="315">
        <v>0</v>
      </c>
      <c r="C71" s="315">
        <v>0</v>
      </c>
      <c r="D71" s="315">
        <v>0</v>
      </c>
      <c r="E71" s="315">
        <v>0</v>
      </c>
      <c r="F71" s="315">
        <v>0</v>
      </c>
    </row>
    <row r="72" spans="1:6" x14ac:dyDescent="0.2">
      <c r="A72" s="2" t="s">
        <v>1816</v>
      </c>
      <c r="B72" s="315">
        <v>0</v>
      </c>
      <c r="C72" s="315">
        <v>4</v>
      </c>
      <c r="D72" s="315">
        <v>48</v>
      </c>
      <c r="E72" s="315">
        <v>0</v>
      </c>
      <c r="F72" s="315">
        <v>0</v>
      </c>
    </row>
    <row r="73" spans="1:6" x14ac:dyDescent="0.2">
      <c r="A73" s="2" t="s">
        <v>1817</v>
      </c>
      <c r="B73" s="315">
        <v>0</v>
      </c>
      <c r="C73" s="315">
        <v>0</v>
      </c>
      <c r="D73" s="315">
        <v>0</v>
      </c>
      <c r="E73" s="315">
        <v>0</v>
      </c>
      <c r="F73" s="315">
        <v>0</v>
      </c>
    </row>
    <row r="74" spans="1:6" x14ac:dyDescent="0.2">
      <c r="A74" s="2" t="s">
        <v>1818</v>
      </c>
      <c r="B74" s="315">
        <v>0</v>
      </c>
      <c r="C74" s="315">
        <v>0</v>
      </c>
      <c r="D74" s="315">
        <v>0</v>
      </c>
      <c r="E74" s="315">
        <v>0</v>
      </c>
      <c r="F74" s="315">
        <v>0</v>
      </c>
    </row>
    <row r="75" spans="1:6" x14ac:dyDescent="0.2">
      <c r="A75" s="2" t="s">
        <v>1819</v>
      </c>
      <c r="B75" s="315">
        <v>0</v>
      </c>
      <c r="C75" s="315">
        <v>0</v>
      </c>
      <c r="D75" s="315">
        <v>0</v>
      </c>
      <c r="E75" s="315">
        <v>0</v>
      </c>
      <c r="F75" s="315">
        <v>1</v>
      </c>
    </row>
    <row r="76" spans="1:6" x14ac:dyDescent="0.2">
      <c r="A76" s="2" t="s">
        <v>1820</v>
      </c>
      <c r="B76" s="315">
        <v>0</v>
      </c>
      <c r="C76" s="315">
        <v>5</v>
      </c>
      <c r="D76" s="315">
        <v>2</v>
      </c>
      <c r="E76" s="315">
        <v>7</v>
      </c>
      <c r="F76" s="315">
        <v>13</v>
      </c>
    </row>
    <row r="77" spans="1:6" x14ac:dyDescent="0.2">
      <c r="A77" s="2" t="s">
        <v>1821</v>
      </c>
      <c r="B77" s="315">
        <v>3863</v>
      </c>
      <c r="C77" s="315">
        <v>287</v>
      </c>
      <c r="D77" s="315">
        <v>175</v>
      </c>
      <c r="E77" s="315">
        <v>165</v>
      </c>
      <c r="F77" s="315">
        <v>481</v>
      </c>
    </row>
    <row r="78" spans="1:6" s="24" customFormat="1" x14ac:dyDescent="0.2">
      <c r="A78" s="24" t="s">
        <v>135</v>
      </c>
      <c r="B78" s="622">
        <f>SUM(B79:B80)</f>
        <v>1</v>
      </c>
      <c r="C78" s="622">
        <f t="shared" ref="C78:F78" si="12">SUM(C79:C80)</f>
        <v>1</v>
      </c>
      <c r="D78" s="622">
        <f t="shared" si="12"/>
        <v>0</v>
      </c>
      <c r="E78" s="622">
        <f t="shared" si="12"/>
        <v>0</v>
      </c>
      <c r="F78" s="622">
        <f t="shared" si="12"/>
        <v>1</v>
      </c>
    </row>
    <row r="79" spans="1:6" x14ac:dyDescent="0.2">
      <c r="A79" s="2" t="s">
        <v>1822</v>
      </c>
      <c r="B79" s="315">
        <v>0</v>
      </c>
      <c r="C79" s="315">
        <v>0</v>
      </c>
      <c r="D79" s="315">
        <v>0</v>
      </c>
      <c r="E79" s="315">
        <v>0</v>
      </c>
      <c r="F79" s="315">
        <v>0</v>
      </c>
    </row>
    <row r="80" spans="1:6" x14ac:dyDescent="0.2">
      <c r="A80" s="2" t="s">
        <v>1823</v>
      </c>
      <c r="B80" s="315">
        <v>1</v>
      </c>
      <c r="C80" s="315">
        <v>1</v>
      </c>
      <c r="D80" s="315">
        <v>0</v>
      </c>
      <c r="E80" s="315">
        <v>0</v>
      </c>
      <c r="F80" s="315">
        <v>1</v>
      </c>
    </row>
    <row r="81" spans="1:6" s="24" customFormat="1" x14ac:dyDescent="0.2">
      <c r="A81" s="24" t="s">
        <v>136</v>
      </c>
      <c r="B81" s="622">
        <f>SUM(B82:B92)</f>
        <v>531</v>
      </c>
      <c r="C81" s="622">
        <f t="shared" ref="C81:F81" si="13">SUM(C82:C92)</f>
        <v>844</v>
      </c>
      <c r="D81" s="622">
        <f t="shared" si="13"/>
        <v>488</v>
      </c>
      <c r="E81" s="622">
        <f t="shared" si="13"/>
        <v>439</v>
      </c>
      <c r="F81" s="622">
        <f t="shared" si="13"/>
        <v>193</v>
      </c>
    </row>
    <row r="82" spans="1:6" x14ac:dyDescent="0.2">
      <c r="A82" s="2" t="s">
        <v>1824</v>
      </c>
      <c r="B82" s="315">
        <v>20</v>
      </c>
      <c r="C82" s="315">
        <v>32</v>
      </c>
      <c r="D82" s="315">
        <v>0</v>
      </c>
      <c r="E82" s="315">
        <v>53</v>
      </c>
      <c r="F82" s="315">
        <v>8</v>
      </c>
    </row>
    <row r="83" spans="1:6" x14ac:dyDescent="0.2">
      <c r="A83" s="2" t="s">
        <v>1825</v>
      </c>
      <c r="B83" s="315">
        <v>0</v>
      </c>
      <c r="C83" s="315">
        <v>425</v>
      </c>
      <c r="D83" s="315">
        <v>61</v>
      </c>
      <c r="E83" s="315">
        <v>18</v>
      </c>
      <c r="F83" s="315">
        <v>1</v>
      </c>
    </row>
    <row r="84" spans="1:6" x14ac:dyDescent="0.2">
      <c r="A84" s="2" t="s">
        <v>1826</v>
      </c>
      <c r="B84" s="315">
        <v>511</v>
      </c>
      <c r="C84" s="315">
        <v>377</v>
      </c>
      <c r="D84" s="315">
        <v>427</v>
      </c>
      <c r="E84" s="315">
        <v>367</v>
      </c>
      <c r="F84" s="315">
        <v>184</v>
      </c>
    </row>
    <row r="85" spans="1:6" x14ac:dyDescent="0.2">
      <c r="A85" s="2" t="s">
        <v>1827</v>
      </c>
      <c r="B85" s="315">
        <v>0</v>
      </c>
      <c r="C85" s="315">
        <v>1</v>
      </c>
      <c r="D85" s="315">
        <v>0</v>
      </c>
      <c r="E85" s="315">
        <v>0</v>
      </c>
      <c r="F85" s="315">
        <v>0</v>
      </c>
    </row>
    <row r="86" spans="1:6" x14ac:dyDescent="0.2">
      <c r="A86" s="2" t="s">
        <v>1828</v>
      </c>
      <c r="B86" s="315">
        <v>0</v>
      </c>
      <c r="C86" s="315">
        <v>0</v>
      </c>
      <c r="D86" s="315">
        <v>0</v>
      </c>
      <c r="E86" s="315">
        <v>0</v>
      </c>
      <c r="F86" s="315">
        <v>0</v>
      </c>
    </row>
    <row r="87" spans="1:6" x14ac:dyDescent="0.2">
      <c r="A87" s="2" t="s">
        <v>1829</v>
      </c>
      <c r="B87" s="315">
        <v>0</v>
      </c>
      <c r="C87" s="315">
        <v>0</v>
      </c>
      <c r="D87" s="315">
        <v>0</v>
      </c>
      <c r="E87" s="315">
        <v>0</v>
      </c>
      <c r="F87" s="315">
        <v>0</v>
      </c>
    </row>
    <row r="88" spans="1:6" x14ac:dyDescent="0.2">
      <c r="A88" s="2" t="s">
        <v>1830</v>
      </c>
      <c r="B88" s="315">
        <v>0</v>
      </c>
      <c r="C88" s="315">
        <v>0</v>
      </c>
      <c r="D88" s="315">
        <v>0</v>
      </c>
      <c r="E88" s="315">
        <v>0</v>
      </c>
      <c r="F88" s="315">
        <v>0</v>
      </c>
    </row>
    <row r="89" spans="1:6" x14ac:dyDescent="0.2">
      <c r="A89" s="2" t="s">
        <v>1831</v>
      </c>
      <c r="B89" s="315">
        <v>0</v>
      </c>
      <c r="C89" s="315">
        <v>0</v>
      </c>
      <c r="D89" s="315">
        <v>0</v>
      </c>
      <c r="E89" s="315">
        <v>0</v>
      </c>
      <c r="F89" s="315">
        <v>0</v>
      </c>
    </row>
    <row r="90" spans="1:6" x14ac:dyDescent="0.2">
      <c r="A90" s="2" t="s">
        <v>1832</v>
      </c>
      <c r="B90" s="315">
        <v>0</v>
      </c>
      <c r="C90" s="315">
        <v>0</v>
      </c>
      <c r="D90" s="315">
        <v>0</v>
      </c>
      <c r="E90" s="315">
        <v>1</v>
      </c>
      <c r="F90" s="315">
        <v>0</v>
      </c>
    </row>
    <row r="91" spans="1:6" x14ac:dyDescent="0.2">
      <c r="A91" s="2" t="s">
        <v>1833</v>
      </c>
      <c r="B91" s="315">
        <v>0</v>
      </c>
      <c r="C91" s="315">
        <v>0</v>
      </c>
      <c r="D91" s="315">
        <v>0</v>
      </c>
      <c r="E91" s="315">
        <v>0</v>
      </c>
      <c r="F91" s="315">
        <v>0</v>
      </c>
    </row>
    <row r="92" spans="1:6" x14ac:dyDescent="0.2">
      <c r="A92" s="2" t="s">
        <v>1834</v>
      </c>
      <c r="B92" s="315">
        <v>0</v>
      </c>
      <c r="C92" s="315">
        <v>9</v>
      </c>
      <c r="D92" s="315">
        <v>0</v>
      </c>
      <c r="E92" s="315">
        <v>0</v>
      </c>
      <c r="F92" s="315">
        <v>0</v>
      </c>
    </row>
    <row r="93" spans="1:6" s="24" customFormat="1" x14ac:dyDescent="0.2">
      <c r="A93" s="24" t="s">
        <v>17</v>
      </c>
      <c r="B93" s="622">
        <f>SUM(B94:B112)</f>
        <v>44</v>
      </c>
      <c r="C93" s="622">
        <f t="shared" ref="C93:F93" si="14">SUM(C94:C112)</f>
        <v>16</v>
      </c>
      <c r="D93" s="622">
        <f t="shared" si="14"/>
        <v>19</v>
      </c>
      <c r="E93" s="622">
        <f t="shared" si="14"/>
        <v>10</v>
      </c>
      <c r="F93" s="622">
        <f t="shared" si="14"/>
        <v>84</v>
      </c>
    </row>
    <row r="94" spans="1:6" x14ac:dyDescent="0.2">
      <c r="A94" s="2" t="s">
        <v>1893</v>
      </c>
      <c r="B94" s="315">
        <v>0</v>
      </c>
      <c r="C94" s="315">
        <v>0</v>
      </c>
      <c r="D94" s="315">
        <v>0</v>
      </c>
      <c r="E94" s="315">
        <v>0</v>
      </c>
      <c r="F94" s="315">
        <v>0</v>
      </c>
    </row>
    <row r="95" spans="1:6" x14ac:dyDescent="0.2">
      <c r="A95" s="2" t="s">
        <v>1894</v>
      </c>
      <c r="B95" s="315">
        <v>0</v>
      </c>
      <c r="C95" s="315">
        <v>0</v>
      </c>
      <c r="D95" s="315">
        <v>0</v>
      </c>
      <c r="E95" s="315">
        <v>0</v>
      </c>
      <c r="F95" s="315">
        <v>0</v>
      </c>
    </row>
    <row r="96" spans="1:6" x14ac:dyDescent="0.2">
      <c r="A96" s="2" t="s">
        <v>1837</v>
      </c>
      <c r="B96" s="315">
        <v>0</v>
      </c>
      <c r="C96" s="315">
        <v>0</v>
      </c>
      <c r="D96" s="315">
        <v>0</v>
      </c>
      <c r="E96" s="315">
        <v>0</v>
      </c>
      <c r="F96" s="315">
        <v>0</v>
      </c>
    </row>
    <row r="97" spans="1:6" x14ac:dyDescent="0.2">
      <c r="A97" s="2" t="s">
        <v>1838</v>
      </c>
      <c r="B97" s="315">
        <v>3</v>
      </c>
      <c r="C97" s="315">
        <v>2</v>
      </c>
      <c r="D97" s="315">
        <v>4</v>
      </c>
      <c r="E97" s="315">
        <v>0</v>
      </c>
      <c r="F97" s="315">
        <v>2</v>
      </c>
    </row>
    <row r="98" spans="1:6" x14ac:dyDescent="0.2">
      <c r="A98" s="2" t="s">
        <v>1839</v>
      </c>
      <c r="B98" s="315">
        <v>0</v>
      </c>
      <c r="C98" s="315">
        <v>0</v>
      </c>
      <c r="D98" s="315">
        <v>0</v>
      </c>
      <c r="E98" s="315">
        <v>0</v>
      </c>
      <c r="F98" s="315">
        <v>0</v>
      </c>
    </row>
    <row r="99" spans="1:6" x14ac:dyDescent="0.2">
      <c r="A99" s="2" t="s">
        <v>1840</v>
      </c>
      <c r="B99" s="315">
        <v>2</v>
      </c>
      <c r="C99" s="315">
        <v>0</v>
      </c>
      <c r="D99" s="315">
        <v>0</v>
      </c>
      <c r="E99" s="315">
        <v>10</v>
      </c>
      <c r="F99" s="315">
        <v>13</v>
      </c>
    </row>
    <row r="100" spans="1:6" x14ac:dyDescent="0.2">
      <c r="A100" s="2" t="s">
        <v>1841</v>
      </c>
      <c r="B100" s="315">
        <v>0</v>
      </c>
      <c r="C100" s="315">
        <v>0</v>
      </c>
      <c r="D100" s="315">
        <v>0</v>
      </c>
      <c r="E100" s="315">
        <v>0</v>
      </c>
      <c r="F100" s="315">
        <v>0</v>
      </c>
    </row>
    <row r="101" spans="1:6" x14ac:dyDescent="0.2">
      <c r="A101" s="2" t="s">
        <v>1842</v>
      </c>
      <c r="B101" s="315">
        <v>0</v>
      </c>
      <c r="C101" s="315">
        <v>0</v>
      </c>
      <c r="D101" s="315">
        <v>0</v>
      </c>
      <c r="E101" s="315">
        <v>0</v>
      </c>
      <c r="F101" s="315">
        <v>0</v>
      </c>
    </row>
    <row r="102" spans="1:6" x14ac:dyDescent="0.2">
      <c r="A102" s="2" t="s">
        <v>1843</v>
      </c>
      <c r="B102" s="315">
        <v>0</v>
      </c>
      <c r="C102" s="315">
        <v>0</v>
      </c>
      <c r="D102" s="315">
        <v>0</v>
      </c>
      <c r="E102" s="315">
        <v>0</v>
      </c>
      <c r="F102" s="315">
        <v>0</v>
      </c>
    </row>
    <row r="103" spans="1:6" x14ac:dyDescent="0.2">
      <c r="A103" s="2" t="s">
        <v>1844</v>
      </c>
      <c r="B103" s="315">
        <v>0</v>
      </c>
      <c r="C103" s="315">
        <v>0</v>
      </c>
      <c r="D103" s="315">
        <v>1</v>
      </c>
      <c r="E103" s="315">
        <v>0</v>
      </c>
      <c r="F103" s="315">
        <v>0</v>
      </c>
    </row>
    <row r="104" spans="1:6" x14ac:dyDescent="0.2">
      <c r="A104" s="2" t="s">
        <v>1845</v>
      </c>
      <c r="B104" s="315">
        <v>0</v>
      </c>
      <c r="C104" s="315">
        <v>0</v>
      </c>
      <c r="D104" s="315">
        <v>0</v>
      </c>
      <c r="E104" s="315">
        <v>0</v>
      </c>
      <c r="F104" s="315">
        <v>0</v>
      </c>
    </row>
    <row r="105" spans="1:6" x14ac:dyDescent="0.2">
      <c r="A105" s="2" t="s">
        <v>1846</v>
      </c>
      <c r="B105" s="315">
        <v>0</v>
      </c>
      <c r="C105" s="315">
        <v>0</v>
      </c>
      <c r="D105" s="315">
        <v>0</v>
      </c>
      <c r="E105" s="315">
        <v>0</v>
      </c>
      <c r="F105" s="315">
        <v>0</v>
      </c>
    </row>
    <row r="106" spans="1:6" x14ac:dyDescent="0.2">
      <c r="A106" s="2" t="s">
        <v>1847</v>
      </c>
      <c r="B106" s="315">
        <v>0</v>
      </c>
      <c r="C106" s="315">
        <v>0</v>
      </c>
      <c r="D106" s="315">
        <v>0</v>
      </c>
      <c r="E106" s="315">
        <v>0</v>
      </c>
      <c r="F106" s="315">
        <v>0</v>
      </c>
    </row>
    <row r="107" spans="1:6" x14ac:dyDescent="0.2">
      <c r="A107" s="2" t="s">
        <v>1848</v>
      </c>
      <c r="B107" s="315">
        <v>0</v>
      </c>
      <c r="C107" s="315">
        <v>0</v>
      </c>
      <c r="D107" s="315">
        <v>0</v>
      </c>
      <c r="E107" s="315">
        <v>0</v>
      </c>
      <c r="F107" s="315">
        <v>0</v>
      </c>
    </row>
    <row r="108" spans="1:6" x14ac:dyDescent="0.2">
      <c r="A108" s="2" t="s">
        <v>1849</v>
      </c>
      <c r="B108" s="315">
        <v>39</v>
      </c>
      <c r="C108" s="315">
        <v>11</v>
      </c>
      <c r="D108" s="315">
        <v>14</v>
      </c>
      <c r="E108" s="315">
        <v>0</v>
      </c>
      <c r="F108" s="315">
        <v>69</v>
      </c>
    </row>
    <row r="109" spans="1:6" ht="12" x14ac:dyDescent="0.2">
      <c r="A109" s="2" t="s">
        <v>1850</v>
      </c>
      <c r="B109" s="315">
        <v>0</v>
      </c>
      <c r="C109" s="315">
        <v>0</v>
      </c>
      <c r="D109" s="315">
        <v>0</v>
      </c>
      <c r="E109" s="315">
        <v>0</v>
      </c>
      <c r="F109" s="315">
        <v>0</v>
      </c>
    </row>
    <row r="110" spans="1:6" x14ac:dyDescent="0.2">
      <c r="A110" s="2" t="s">
        <v>1851</v>
      </c>
      <c r="B110" s="315">
        <v>0</v>
      </c>
      <c r="C110" s="315">
        <v>3</v>
      </c>
      <c r="D110" s="315">
        <v>0</v>
      </c>
      <c r="E110" s="315">
        <v>0</v>
      </c>
      <c r="F110" s="315">
        <v>0</v>
      </c>
    </row>
    <row r="111" spans="1:6" x14ac:dyDescent="0.2">
      <c r="A111" s="2" t="s">
        <v>1852</v>
      </c>
      <c r="B111" s="315">
        <v>0</v>
      </c>
      <c r="C111" s="315">
        <v>0</v>
      </c>
      <c r="D111" s="315">
        <v>0</v>
      </c>
      <c r="E111" s="315">
        <v>0</v>
      </c>
      <c r="F111" s="315">
        <v>0</v>
      </c>
    </row>
    <row r="112" spans="1:6" ht="12" customHeight="1" x14ac:dyDescent="0.2">
      <c r="A112" s="2" t="s">
        <v>1853</v>
      </c>
      <c r="B112" s="315">
        <v>0</v>
      </c>
      <c r="C112" s="315">
        <v>0</v>
      </c>
      <c r="D112" s="315">
        <v>0</v>
      </c>
      <c r="E112" s="315">
        <v>0</v>
      </c>
      <c r="F112" s="315">
        <v>0</v>
      </c>
    </row>
    <row r="113" spans="1:7" s="24" customFormat="1" x14ac:dyDescent="0.2">
      <c r="A113" s="24" t="s">
        <v>18</v>
      </c>
      <c r="B113" s="622">
        <f>SUM(B114:B124)</f>
        <v>437</v>
      </c>
      <c r="C113" s="622">
        <f t="shared" ref="C113:F113" si="15">SUM(C114:C124)</f>
        <v>334</v>
      </c>
      <c r="D113" s="622">
        <f t="shared" si="15"/>
        <v>604</v>
      </c>
      <c r="E113" s="622">
        <f t="shared" si="15"/>
        <v>486</v>
      </c>
      <c r="F113" s="622">
        <f t="shared" si="15"/>
        <v>597</v>
      </c>
    </row>
    <row r="114" spans="1:7" x14ac:dyDescent="0.2">
      <c r="A114" s="2" t="s">
        <v>1854</v>
      </c>
      <c r="B114" s="315">
        <v>40</v>
      </c>
      <c r="C114" s="315">
        <v>25</v>
      </c>
      <c r="D114" s="315">
        <v>34</v>
      </c>
      <c r="E114" s="315">
        <v>23</v>
      </c>
      <c r="F114" s="315">
        <v>23</v>
      </c>
    </row>
    <row r="115" spans="1:7" x14ac:dyDescent="0.2">
      <c r="A115" s="2" t="s">
        <v>1855</v>
      </c>
      <c r="B115" s="315">
        <v>0</v>
      </c>
      <c r="C115" s="315">
        <v>0</v>
      </c>
      <c r="D115" s="315">
        <v>0</v>
      </c>
      <c r="E115" s="315">
        <v>0</v>
      </c>
      <c r="F115" s="315">
        <v>0</v>
      </c>
    </row>
    <row r="116" spans="1:7" x14ac:dyDescent="0.2">
      <c r="A116" s="2" t="s">
        <v>1856</v>
      </c>
      <c r="B116" s="315">
        <v>0</v>
      </c>
      <c r="C116" s="315">
        <v>0</v>
      </c>
      <c r="D116" s="315">
        <v>0</v>
      </c>
      <c r="E116" s="315">
        <v>0</v>
      </c>
      <c r="F116" s="315">
        <v>0</v>
      </c>
    </row>
    <row r="117" spans="1:7" x14ac:dyDescent="0.2">
      <c r="A117" s="2" t="s">
        <v>1857</v>
      </c>
      <c r="B117" s="315">
        <v>0</v>
      </c>
      <c r="C117" s="315">
        <v>1</v>
      </c>
      <c r="D117" s="315">
        <v>0</v>
      </c>
      <c r="E117" s="315">
        <v>1</v>
      </c>
      <c r="F117" s="315">
        <v>0</v>
      </c>
    </row>
    <row r="118" spans="1:7" x14ac:dyDescent="0.2">
      <c r="A118" s="2" t="s">
        <v>1858</v>
      </c>
      <c r="B118" s="315">
        <v>21</v>
      </c>
      <c r="C118" s="315">
        <v>12</v>
      </c>
      <c r="D118" s="315">
        <v>30</v>
      </c>
      <c r="E118" s="315">
        <v>31</v>
      </c>
      <c r="F118" s="315">
        <v>18</v>
      </c>
    </row>
    <row r="119" spans="1:7" x14ac:dyDescent="0.2">
      <c r="A119" s="2" t="s">
        <v>1859</v>
      </c>
      <c r="B119" s="315">
        <v>0</v>
      </c>
      <c r="C119" s="315">
        <v>0</v>
      </c>
      <c r="D119" s="315">
        <v>0</v>
      </c>
      <c r="E119" s="315">
        <v>0</v>
      </c>
      <c r="F119" s="315">
        <v>0</v>
      </c>
    </row>
    <row r="120" spans="1:7" x14ac:dyDescent="0.2">
      <c r="A120" s="2" t="s">
        <v>1860</v>
      </c>
      <c r="B120" s="315">
        <v>0</v>
      </c>
      <c r="C120" s="315">
        <v>0</v>
      </c>
      <c r="D120" s="315">
        <v>0</v>
      </c>
      <c r="E120" s="315">
        <v>1</v>
      </c>
      <c r="F120" s="315">
        <v>0</v>
      </c>
    </row>
    <row r="121" spans="1:7" x14ac:dyDescent="0.2">
      <c r="A121" s="2" t="s">
        <v>1861</v>
      </c>
      <c r="B121" s="315">
        <v>16</v>
      </c>
      <c r="C121" s="315">
        <v>26</v>
      </c>
      <c r="D121" s="315">
        <v>4</v>
      </c>
      <c r="E121" s="315">
        <v>4</v>
      </c>
      <c r="F121" s="315">
        <v>0</v>
      </c>
    </row>
    <row r="122" spans="1:7" x14ac:dyDescent="0.2">
      <c r="A122" s="2" t="s">
        <v>1862</v>
      </c>
      <c r="B122" s="315">
        <v>120</v>
      </c>
      <c r="C122" s="315">
        <v>92</v>
      </c>
      <c r="D122" s="315">
        <v>84</v>
      </c>
      <c r="E122" s="315">
        <v>60</v>
      </c>
      <c r="F122" s="315">
        <v>137</v>
      </c>
    </row>
    <row r="123" spans="1:7" x14ac:dyDescent="0.2">
      <c r="A123" s="2" t="s">
        <v>1863</v>
      </c>
      <c r="B123" s="315">
        <v>0</v>
      </c>
      <c r="C123" s="315">
        <v>0</v>
      </c>
      <c r="D123" s="315">
        <v>0</v>
      </c>
      <c r="E123" s="315">
        <v>0</v>
      </c>
      <c r="F123" s="315">
        <v>0</v>
      </c>
    </row>
    <row r="124" spans="1:7" x14ac:dyDescent="0.2">
      <c r="A124" s="2" t="s">
        <v>1864</v>
      </c>
      <c r="B124" s="315">
        <v>240</v>
      </c>
      <c r="C124" s="315">
        <v>178</v>
      </c>
      <c r="D124" s="315">
        <v>452</v>
      </c>
      <c r="E124" s="315">
        <v>366</v>
      </c>
      <c r="F124" s="315">
        <v>419</v>
      </c>
    </row>
    <row r="125" spans="1:7" ht="14.25" customHeight="1" x14ac:dyDescent="0.2"/>
    <row r="126" spans="1:7" ht="14.25" customHeight="1" x14ac:dyDescent="0.2">
      <c r="A126" s="2" t="s">
        <v>1895</v>
      </c>
    </row>
    <row r="127" spans="1:7" x14ac:dyDescent="0.2">
      <c r="A127" s="675" t="s">
        <v>1878</v>
      </c>
      <c r="B127" s="623"/>
      <c r="C127" s="623"/>
      <c r="D127" s="623"/>
      <c r="E127" s="623"/>
      <c r="F127" s="623"/>
      <c r="G127" s="623"/>
    </row>
    <row r="128" spans="1:7" x14ac:dyDescent="0.2">
      <c r="A128" s="623" t="s">
        <v>1412</v>
      </c>
      <c r="B128" s="623"/>
      <c r="C128" s="623"/>
      <c r="D128" s="623"/>
      <c r="E128" s="623"/>
      <c r="F128" s="623"/>
      <c r="G128" s="623"/>
    </row>
  </sheetData>
  <mergeCells count="5">
    <mergeCell ref="A2:F2"/>
    <mergeCell ref="A4:A5"/>
    <mergeCell ref="B4:F4"/>
    <mergeCell ref="A127:G127"/>
    <mergeCell ref="A128:G128"/>
  </mergeCells>
  <pageMargins left="0.70866141732283472" right="0.70866141732283472" top="0.74803149606299213" bottom="0.74803149606299213" header="0.31496062992125984" footer="0.31496062992125984"/>
  <pageSetup paperSize="14" scale="59" orientation="portrait" r:id="rId1"/>
  <rowBreaks count="1" manualBreakCount="1">
    <brk id="128" max="6" man="1"/>
  </rowBreak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34F14-1F6A-4801-9E2F-FFEFE38A2B77}">
  <sheetPr codeName="Hoja114">
    <tabColor theme="8"/>
  </sheetPr>
  <dimension ref="A2:A14"/>
  <sheetViews>
    <sheetView workbookViewId="0">
      <selection activeCell="A14" sqref="A14"/>
    </sheetView>
  </sheetViews>
  <sheetFormatPr baseColWidth="10" defaultColWidth="11.44140625" defaultRowHeight="10.199999999999999" x14ac:dyDescent="0.2"/>
  <cols>
    <col min="1" max="16384" width="11.44140625" style="24"/>
  </cols>
  <sheetData>
    <row r="2" spans="1:1" x14ac:dyDescent="0.2">
      <c r="A2" s="24" t="s">
        <v>1115</v>
      </c>
    </row>
    <row r="3" spans="1:1" x14ac:dyDescent="0.2">
      <c r="A3" s="2"/>
    </row>
    <row r="4" spans="1:1" x14ac:dyDescent="0.2">
      <c r="A4" s="1709" t="s">
        <v>1116</v>
      </c>
    </row>
    <row r="5" spans="1:1" x14ac:dyDescent="0.2">
      <c r="A5" s="1709" t="s">
        <v>1117</v>
      </c>
    </row>
    <row r="6" spans="1:1" x14ac:dyDescent="0.2">
      <c r="A6" s="1709" t="s">
        <v>1118</v>
      </c>
    </row>
    <row r="7" spans="1:1" x14ac:dyDescent="0.2">
      <c r="A7" s="1709" t="s">
        <v>1119</v>
      </c>
    </row>
    <row r="8" spans="1:1" x14ac:dyDescent="0.2">
      <c r="A8" s="1709" t="s">
        <v>1120</v>
      </c>
    </row>
    <row r="9" spans="1:1" x14ac:dyDescent="0.2">
      <c r="A9" s="1709" t="s">
        <v>1121</v>
      </c>
    </row>
    <row r="10" spans="1:1" x14ac:dyDescent="0.2">
      <c r="A10" s="1709" t="s">
        <v>1122</v>
      </c>
    </row>
    <row r="11" spans="1:1" x14ac:dyDescent="0.2">
      <c r="A11" s="1709" t="s">
        <v>1123</v>
      </c>
    </row>
    <row r="12" spans="1:1" x14ac:dyDescent="0.2">
      <c r="A12" s="1709" t="s">
        <v>1124</v>
      </c>
    </row>
    <row r="13" spans="1:1" x14ac:dyDescent="0.2">
      <c r="A13" s="1709" t="s">
        <v>1125</v>
      </c>
    </row>
    <row r="14" spans="1:1" x14ac:dyDescent="0.2">
      <c r="A14" s="1709" t="s">
        <v>1126</v>
      </c>
    </row>
  </sheetData>
  <hyperlinks>
    <hyperlink ref="A4" location="'3.1.3-01'!A1" display="CUADRO 3.1.3-01: NÚMERO DE APREHENDIDOS POR &quot;DAÑOS O APROPIACIÓN SOBRE MONUMENTOS NACIONALES&quot;, POR SEXO Y GRUPOS DE EDAD, SEGÚN REGIÓN. 2013" xr:uid="{8B6DD383-57C7-49BD-8D36-37837013134B}"/>
    <hyperlink ref="A5" location="'3.1.3-02'!A1" display="CUADRO 3.1.3-02: NÚMERO DE DELITOS INVESTIGADOS, PERSONAS DETENIDAS POR LEY 17.288 DE DELITOS PATRIMONIALES Y NÚMERO DE INCAUTACIONES, SEGÚN REGIÓN POLICIAL. 2013" xr:uid="{7811969B-5CAE-48BD-8FBB-1181DAA1E015}"/>
    <hyperlink ref="A6" location="'3.1.3-03'!A1" display="CUADRO 3.1.3-03: CAUSAS INGRESADAS Y TERMINADAS EN JUZGADOS DE GARANTÍA Y DE LETRAS Y GARANTÍA POR INFRACCIÓN A LA LEY DE DAÑOS O APROPIACIÓN SOBRE MONUMENTOS NACIONALES, SEGÚN CORTE DE APELACIÓN. 2013" xr:uid="{C55C7B57-5430-4EAD-85E1-7487F41690DA}"/>
    <hyperlink ref="A7" location="'3.1.3-04'!A1" display="CUADRO 3.1.3-04: IMPUTADOS POR INFRACCIÓN A LA LEY 17.288, SEGÚN CORTE DE APELACIÓN. 2013" xr:uid="{F19FDF48-2E73-4645-B934-B1F54A01B3A7}"/>
    <hyperlink ref="A8" location="'3.1.3-05'!A1" display="CUADRO 3.1.3-05: DELITOS INGRESADOS AL MINISTERIO PÚBLICO EN RELACIÓN CON LA LEY DE DAÑOS O APROPIACIÓN DE MONUMENTOS NACIONALES, SEGÚN REGIÓN DE FISCALÍA. 2009-2013" xr:uid="{1A074847-5DF2-42D4-84A7-FD8F8F765EE1}"/>
    <hyperlink ref="A9" location="'3.1.3-06'!A1" display="CUADRO 3.1.3-06: DELITOS TERMINADOS EN EL MINISTERIO PÚBLICO EN RELACIÓN A LA LEY DE DAÑOS O APROPIACIÓN DE MONUMENTOS NACIONALES, SEGÚN REGIÓN DE FISCALÍA. 2009-2013" xr:uid="{7D7DAF14-4496-475C-965C-9134F1388939}"/>
    <hyperlink ref="A10" location="'3.1.3-07'!A1" display="CUADRO 3.1.3-07: SENTENCIAS DEFINITIVAS CONDENATORIAS EN RELACIÓN A LA LEY DE DAÑOS O APROPIACIÓN DE MONUMENTOS NACIONALES, SEGÚN REGIÓN DE FISCALÍA. 2009-2013" xr:uid="{98C42CE0-8432-4C04-8773-5F4B8233C0B7}"/>
    <hyperlink ref="A11" location="'3.1.3-08'!A1" display="CUADRO 3.1.3-08: NÚMERO DE PIEZAS INCAUTADAS EN EL MARCO DE LA CONVENCIÓN SOBRE EL COMERCIO INTERNACIONAL DE ESPECIES AMENAZADAS DE FAUNA Y FLORA SILVESTRE (CITES), SEGÚN ADUANAS Y AVANZADA. 2013" xr:uid="{BAA1047E-6BD3-4358-8990-634FB95A1938}"/>
    <hyperlink ref="A12" location="'3.1.1-09'!A1" display="CUADRO 3.1.3-09: NÓMINA DE PIEZAS INCAUTADAS EN EL MARCO DE LA CONVENCIÓN SOBRE EL COMERCIO INTERNACIONAL DE ESPECIES AMENAZADAS DE FAUNA Y FLORA SILVESTRE (CITES), SEGÚN ADUANA Y ESPECIES. 2013" xr:uid="{ECF4B36D-6AD4-433B-A395-1A2F86F1DC8A}"/>
    <hyperlink ref="A13" location="'3.1.3-10'!A1" display="CUADRO 3.1.3-10: NÚMERO DE PIEZAS PATRIMONIALES INCAUTADAS (LEY 17.288), SEGÚN ADUANA Y AVANZADA. 2013" xr:uid="{B44EF05A-7C33-45FB-AD79-FD9B885F2D50}"/>
    <hyperlink ref="A14" location="'3.1.3-11'!A1" display="CUADRO 3.1.3-11: NÓMINA DE PIEZAS PATRIMONIALES INCAUTADAS (LEY 17.288) SEGÚN AVANZADA. 2013" xr:uid="{B33611F1-9898-4C35-B2B5-DA1C83840698}"/>
  </hyperlinks>
  <pageMargins left="0.7" right="0.7" top="0.75" bottom="0.75" header="0.3" footer="0.3"/>
  <pageSetup paperSize="14"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C3ACC-0C71-480C-A857-F0F9BBB328FD}">
  <sheetPr codeName="Hoja115"/>
  <dimension ref="A2:J25"/>
  <sheetViews>
    <sheetView workbookViewId="0">
      <selection activeCell="D4" sqref="D4"/>
    </sheetView>
  </sheetViews>
  <sheetFormatPr baseColWidth="10" defaultColWidth="11.44140625" defaultRowHeight="10.199999999999999" x14ac:dyDescent="0.2"/>
  <cols>
    <col min="1" max="1" width="22.6640625" style="2" customWidth="1"/>
    <col min="2" max="2" width="13.88671875" style="2" customWidth="1"/>
    <col min="3" max="3" width="14.44140625" style="2" bestFit="1" customWidth="1"/>
    <col min="4" max="4" width="9.5546875" style="2" bestFit="1" customWidth="1"/>
    <col min="5" max="5" width="8" style="2" bestFit="1" customWidth="1"/>
    <col min="6" max="6" width="10" style="2" bestFit="1" customWidth="1"/>
    <col min="7" max="7" width="14" style="2" bestFit="1" customWidth="1"/>
    <col min="8" max="8" width="9.5546875" style="2" bestFit="1" customWidth="1"/>
    <col min="9" max="9" width="8" style="2" bestFit="1" customWidth="1"/>
    <col min="10" max="10" width="10" style="2" bestFit="1" customWidth="1"/>
    <col min="11" max="11" width="11.44140625" style="2"/>
    <col min="12" max="12" width="28.109375" style="2" customWidth="1"/>
    <col min="13" max="16384" width="11.44140625" style="2"/>
  </cols>
  <sheetData>
    <row r="2" spans="1:10" ht="25.5" customHeight="1" x14ac:dyDescent="0.2">
      <c r="A2" s="45" t="s">
        <v>1116</v>
      </c>
      <c r="B2" s="45"/>
      <c r="C2" s="45"/>
      <c r="D2" s="45"/>
      <c r="E2" s="45"/>
      <c r="F2" s="45"/>
      <c r="G2" s="45"/>
      <c r="H2" s="45"/>
      <c r="I2" s="45"/>
      <c r="J2" s="45"/>
    </row>
    <row r="4" spans="1:10" ht="12.75" customHeight="1" x14ac:dyDescent="0.2">
      <c r="A4" s="298" t="s">
        <v>1896</v>
      </c>
      <c r="B4" s="298" t="s">
        <v>1897</v>
      </c>
      <c r="C4" s="298" t="s">
        <v>1898</v>
      </c>
      <c r="D4" s="298"/>
      <c r="E4" s="298"/>
      <c r="F4" s="298"/>
      <c r="G4" s="298"/>
      <c r="H4" s="298"/>
      <c r="I4" s="298"/>
      <c r="J4" s="298"/>
    </row>
    <row r="5" spans="1:10" ht="12.75" customHeight="1" x14ac:dyDescent="0.2">
      <c r="A5" s="298"/>
      <c r="B5" s="298"/>
      <c r="C5" s="298" t="s">
        <v>844</v>
      </c>
      <c r="D5" s="298" t="s">
        <v>122</v>
      </c>
      <c r="E5" s="298"/>
      <c r="F5" s="298"/>
      <c r="G5" s="298" t="s">
        <v>845</v>
      </c>
      <c r="H5" s="298" t="s">
        <v>123</v>
      </c>
      <c r="I5" s="298"/>
      <c r="J5" s="298"/>
    </row>
    <row r="6" spans="1:10" ht="22.5" customHeight="1" x14ac:dyDescent="0.2">
      <c r="A6" s="298"/>
      <c r="B6" s="298"/>
      <c r="C6" s="298"/>
      <c r="D6" s="644" t="s">
        <v>1899</v>
      </c>
      <c r="E6" s="644" t="s">
        <v>1900</v>
      </c>
      <c r="F6" s="644" t="s">
        <v>1901</v>
      </c>
      <c r="G6" s="298"/>
      <c r="H6" s="644" t="s">
        <v>1899</v>
      </c>
      <c r="I6" s="644" t="s">
        <v>1900</v>
      </c>
      <c r="J6" s="644" t="s">
        <v>1901</v>
      </c>
    </row>
    <row r="7" spans="1:10" s="24" customFormat="1" x14ac:dyDescent="0.2">
      <c r="A7" s="24" t="s">
        <v>3</v>
      </c>
      <c r="B7" s="622">
        <f t="shared" ref="B7:J7" si="0">SUM(B8:B22)</f>
        <v>15</v>
      </c>
      <c r="C7" s="622">
        <f t="shared" si="0"/>
        <v>9</v>
      </c>
      <c r="D7" s="622">
        <f t="shared" si="0"/>
        <v>2</v>
      </c>
      <c r="E7" s="622">
        <f t="shared" si="0"/>
        <v>7</v>
      </c>
      <c r="F7" s="622">
        <f t="shared" si="0"/>
        <v>0</v>
      </c>
      <c r="G7" s="622">
        <f t="shared" si="0"/>
        <v>6</v>
      </c>
      <c r="H7" s="622">
        <f t="shared" si="0"/>
        <v>3</v>
      </c>
      <c r="I7" s="622">
        <f t="shared" si="0"/>
        <v>3</v>
      </c>
      <c r="J7" s="622">
        <f t="shared" si="0"/>
        <v>0</v>
      </c>
    </row>
    <row r="8" spans="1:10" x14ac:dyDescent="0.2">
      <c r="A8" s="2" t="s">
        <v>4</v>
      </c>
      <c r="B8" s="315">
        <v>0</v>
      </c>
      <c r="C8" s="315">
        <v>0</v>
      </c>
      <c r="D8" s="315">
        <v>0</v>
      </c>
      <c r="E8" s="315">
        <v>0</v>
      </c>
      <c r="F8" s="315">
        <v>0</v>
      </c>
      <c r="G8" s="315">
        <v>0</v>
      </c>
      <c r="H8" s="315">
        <v>0</v>
      </c>
      <c r="I8" s="315">
        <v>0</v>
      </c>
      <c r="J8" s="315">
        <v>0</v>
      </c>
    </row>
    <row r="9" spans="1:10" x14ac:dyDescent="0.2">
      <c r="A9" s="2" t="s">
        <v>5</v>
      </c>
      <c r="B9" s="315">
        <v>0</v>
      </c>
      <c r="C9" s="315">
        <v>0</v>
      </c>
      <c r="D9" s="315">
        <v>0</v>
      </c>
      <c r="E9" s="315">
        <v>0</v>
      </c>
      <c r="F9" s="315">
        <v>0</v>
      </c>
      <c r="G9" s="315">
        <v>0</v>
      </c>
      <c r="H9" s="315">
        <v>0</v>
      </c>
      <c r="I9" s="315">
        <v>0</v>
      </c>
      <c r="J9" s="315">
        <v>0</v>
      </c>
    </row>
    <row r="10" spans="1:10" x14ac:dyDescent="0.2">
      <c r="A10" s="2" t="s">
        <v>6</v>
      </c>
      <c r="B10" s="315">
        <v>3</v>
      </c>
      <c r="C10" s="315">
        <v>1</v>
      </c>
      <c r="D10" s="315">
        <v>0</v>
      </c>
      <c r="E10" s="315">
        <v>1</v>
      </c>
      <c r="F10" s="315">
        <v>0</v>
      </c>
      <c r="G10" s="315">
        <v>2</v>
      </c>
      <c r="H10" s="315">
        <v>2</v>
      </c>
      <c r="I10" s="315">
        <v>0</v>
      </c>
      <c r="J10" s="315">
        <v>0</v>
      </c>
    </row>
    <row r="11" spans="1:10" x14ac:dyDescent="0.2">
      <c r="A11" s="2" t="s">
        <v>7</v>
      </c>
      <c r="B11" s="315">
        <v>0</v>
      </c>
      <c r="C11" s="315">
        <v>0</v>
      </c>
      <c r="D11" s="315">
        <v>0</v>
      </c>
      <c r="E11" s="315">
        <v>0</v>
      </c>
      <c r="F11" s="315">
        <v>0</v>
      </c>
      <c r="G11" s="315">
        <v>0</v>
      </c>
      <c r="H11" s="315">
        <v>0</v>
      </c>
      <c r="I11" s="315">
        <v>0</v>
      </c>
      <c r="J11" s="315">
        <v>0</v>
      </c>
    </row>
    <row r="12" spans="1:10" x14ac:dyDescent="0.2">
      <c r="A12" s="2" t="s">
        <v>8</v>
      </c>
      <c r="B12" s="315">
        <v>1</v>
      </c>
      <c r="C12" s="315">
        <v>1</v>
      </c>
      <c r="D12" s="315">
        <v>1</v>
      </c>
      <c r="E12" s="315">
        <v>0</v>
      </c>
      <c r="F12" s="315">
        <v>0</v>
      </c>
      <c r="G12" s="315">
        <v>0</v>
      </c>
      <c r="H12" s="315">
        <v>0</v>
      </c>
      <c r="I12" s="315">
        <v>0</v>
      </c>
      <c r="J12" s="315">
        <v>0</v>
      </c>
    </row>
    <row r="13" spans="1:10" x14ac:dyDescent="0.2">
      <c r="A13" s="2" t="s">
        <v>9</v>
      </c>
      <c r="B13" s="315">
        <v>0</v>
      </c>
      <c r="C13" s="315">
        <v>0</v>
      </c>
      <c r="D13" s="315">
        <v>0</v>
      </c>
      <c r="E13" s="315">
        <v>0</v>
      </c>
      <c r="F13" s="315">
        <v>0</v>
      </c>
      <c r="G13" s="315">
        <v>0</v>
      </c>
      <c r="H13" s="315">
        <v>0</v>
      </c>
      <c r="I13" s="315">
        <v>0</v>
      </c>
      <c r="J13" s="315">
        <v>0</v>
      </c>
    </row>
    <row r="14" spans="1:10" x14ac:dyDescent="0.2">
      <c r="A14" s="2" t="s">
        <v>10</v>
      </c>
      <c r="B14" s="315">
        <v>9</v>
      </c>
      <c r="C14" s="315">
        <v>6</v>
      </c>
      <c r="D14" s="315">
        <v>0</v>
      </c>
      <c r="E14" s="315">
        <v>6</v>
      </c>
      <c r="F14" s="315">
        <v>0</v>
      </c>
      <c r="G14" s="315">
        <v>3</v>
      </c>
      <c r="H14" s="315">
        <v>0</v>
      </c>
      <c r="I14" s="315">
        <v>3</v>
      </c>
      <c r="J14" s="315">
        <v>0</v>
      </c>
    </row>
    <row r="15" spans="1:10" x14ac:dyDescent="0.2">
      <c r="A15" s="2" t="s">
        <v>134</v>
      </c>
      <c r="B15" s="315">
        <v>0</v>
      </c>
      <c r="C15" s="315">
        <v>0</v>
      </c>
      <c r="D15" s="315">
        <v>0</v>
      </c>
      <c r="E15" s="315">
        <v>0</v>
      </c>
      <c r="F15" s="315">
        <v>0</v>
      </c>
      <c r="G15" s="315">
        <v>0</v>
      </c>
      <c r="H15" s="315">
        <v>0</v>
      </c>
      <c r="I15" s="315">
        <v>0</v>
      </c>
      <c r="J15" s="315">
        <v>0</v>
      </c>
    </row>
    <row r="16" spans="1:10" x14ac:dyDescent="0.2">
      <c r="A16" s="2" t="s">
        <v>12</v>
      </c>
      <c r="B16" s="315">
        <v>0</v>
      </c>
      <c r="C16" s="315">
        <v>0</v>
      </c>
      <c r="D16" s="315">
        <v>0</v>
      </c>
      <c r="E16" s="315">
        <v>0</v>
      </c>
      <c r="F16" s="315">
        <v>0</v>
      </c>
      <c r="G16" s="315">
        <v>0</v>
      </c>
      <c r="H16" s="315">
        <v>0</v>
      </c>
      <c r="I16" s="315">
        <v>0</v>
      </c>
      <c r="J16" s="315">
        <v>0</v>
      </c>
    </row>
    <row r="17" spans="1:10" x14ac:dyDescent="0.2">
      <c r="A17" s="2" t="s">
        <v>13</v>
      </c>
      <c r="B17" s="315">
        <v>0</v>
      </c>
      <c r="C17" s="315">
        <v>0</v>
      </c>
      <c r="D17" s="315">
        <v>0</v>
      </c>
      <c r="E17" s="315">
        <v>0</v>
      </c>
      <c r="F17" s="315">
        <v>0</v>
      </c>
      <c r="G17" s="315">
        <v>0</v>
      </c>
      <c r="H17" s="315">
        <v>0</v>
      </c>
      <c r="I17" s="315">
        <v>0</v>
      </c>
      <c r="J17" s="315">
        <v>0</v>
      </c>
    </row>
    <row r="18" spans="1:10" x14ac:dyDescent="0.2">
      <c r="A18" s="2" t="s">
        <v>47</v>
      </c>
      <c r="B18" s="315">
        <v>1</v>
      </c>
      <c r="C18" s="315">
        <v>1</v>
      </c>
      <c r="D18" s="315">
        <v>1</v>
      </c>
      <c r="E18" s="315">
        <v>0</v>
      </c>
      <c r="F18" s="315">
        <v>0</v>
      </c>
      <c r="G18" s="315">
        <v>0</v>
      </c>
      <c r="H18" s="315">
        <v>0</v>
      </c>
      <c r="I18" s="315">
        <v>0</v>
      </c>
      <c r="J18" s="315">
        <v>0</v>
      </c>
    </row>
    <row r="19" spans="1:10" x14ac:dyDescent="0.2">
      <c r="A19" s="2" t="s">
        <v>135</v>
      </c>
      <c r="B19" s="315">
        <v>0</v>
      </c>
      <c r="C19" s="315">
        <v>0</v>
      </c>
      <c r="D19" s="315">
        <v>0</v>
      </c>
      <c r="E19" s="315">
        <v>0</v>
      </c>
      <c r="F19" s="315">
        <v>0</v>
      </c>
      <c r="G19" s="315">
        <v>0</v>
      </c>
      <c r="H19" s="315">
        <v>0</v>
      </c>
      <c r="I19" s="315">
        <v>0</v>
      </c>
      <c r="J19" s="315">
        <v>0</v>
      </c>
    </row>
    <row r="20" spans="1:10" x14ac:dyDescent="0.2">
      <c r="A20" s="2" t="s">
        <v>136</v>
      </c>
      <c r="B20" s="315">
        <v>0</v>
      </c>
      <c r="C20" s="315">
        <v>0</v>
      </c>
      <c r="D20" s="315">
        <v>0</v>
      </c>
      <c r="E20" s="315">
        <v>0</v>
      </c>
      <c r="F20" s="315">
        <v>0</v>
      </c>
      <c r="G20" s="315">
        <v>0</v>
      </c>
      <c r="H20" s="315">
        <v>0</v>
      </c>
      <c r="I20" s="315">
        <v>0</v>
      </c>
      <c r="J20" s="315">
        <v>0</v>
      </c>
    </row>
    <row r="21" spans="1:10" x14ac:dyDescent="0.2">
      <c r="A21" s="2" t="s">
        <v>17</v>
      </c>
      <c r="B21" s="315">
        <v>0</v>
      </c>
      <c r="C21" s="315">
        <v>0</v>
      </c>
      <c r="D21" s="315">
        <v>0</v>
      </c>
      <c r="E21" s="315">
        <v>0</v>
      </c>
      <c r="F21" s="315">
        <v>0</v>
      </c>
      <c r="G21" s="315">
        <v>0</v>
      </c>
      <c r="H21" s="315">
        <v>0</v>
      </c>
      <c r="I21" s="315">
        <v>0</v>
      </c>
      <c r="J21" s="315">
        <v>0</v>
      </c>
    </row>
    <row r="22" spans="1:10" x14ac:dyDescent="0.2">
      <c r="A22" s="2" t="s">
        <v>18</v>
      </c>
      <c r="B22" s="315">
        <v>1</v>
      </c>
      <c r="C22" s="315">
        <v>0</v>
      </c>
      <c r="D22" s="315">
        <v>0</v>
      </c>
      <c r="E22" s="315">
        <v>0</v>
      </c>
      <c r="F22" s="315">
        <v>0</v>
      </c>
      <c r="G22" s="315">
        <v>1</v>
      </c>
      <c r="H22" s="315">
        <v>1</v>
      </c>
      <c r="I22" s="315">
        <v>0</v>
      </c>
      <c r="J22" s="315">
        <v>0</v>
      </c>
    </row>
    <row r="23" spans="1:10" ht="6.75" customHeight="1" x14ac:dyDescent="0.2"/>
    <row r="24" spans="1:10" x14ac:dyDescent="0.2">
      <c r="A24" s="2" t="s">
        <v>19</v>
      </c>
    </row>
    <row r="25" spans="1:10" x14ac:dyDescent="0.2">
      <c r="A25" s="623" t="s">
        <v>849</v>
      </c>
      <c r="B25" s="623"/>
      <c r="C25" s="623"/>
      <c r="D25" s="623"/>
      <c r="E25" s="623"/>
      <c r="F25" s="623"/>
      <c r="G25" s="623"/>
      <c r="H25" s="623"/>
      <c r="I25" s="623"/>
      <c r="J25" s="623"/>
    </row>
  </sheetData>
  <mergeCells count="9">
    <mergeCell ref="A25:J25"/>
    <mergeCell ref="A2:J2"/>
    <mergeCell ref="A4:A6"/>
    <mergeCell ref="B4:B6"/>
    <mergeCell ref="C4:J4"/>
    <mergeCell ref="C5:C6"/>
    <mergeCell ref="D5:F5"/>
    <mergeCell ref="G5:G6"/>
    <mergeCell ref="H5:J5"/>
  </mergeCells>
  <pageMargins left="0.70866141732283472" right="0.70866141732283472" top="0.74803149606299213" bottom="0.74803149606299213" header="0.31496062992125984" footer="0.31496062992125984"/>
  <pageSetup paperSize="14" scale="80" orientation="landscape"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59B42-41E0-4F2D-AD8E-D0EAB18E2C99}">
  <sheetPr codeName="Hoja116"/>
  <dimension ref="A2:E49"/>
  <sheetViews>
    <sheetView zoomScale="130" zoomScaleNormal="130" workbookViewId="0">
      <selection activeCell="D4" sqref="D4"/>
    </sheetView>
  </sheetViews>
  <sheetFormatPr baseColWidth="10" defaultColWidth="11.44140625" defaultRowHeight="10.199999999999999" x14ac:dyDescent="0.2"/>
  <cols>
    <col min="1" max="1" width="27.6640625" style="2" customWidth="1"/>
    <col min="2" max="2" width="14" style="2" customWidth="1"/>
    <col min="3" max="3" width="11.44140625" style="2"/>
    <col min="4" max="5" width="14.109375" style="2" customWidth="1"/>
    <col min="6" max="16384" width="11.44140625" style="2"/>
  </cols>
  <sheetData>
    <row r="2" spans="1:5" ht="38.25" customHeight="1" x14ac:dyDescent="0.2">
      <c r="A2" s="45" t="s">
        <v>1117</v>
      </c>
      <c r="B2" s="45"/>
      <c r="C2" s="45"/>
      <c r="D2" s="45"/>
      <c r="E2" s="45"/>
    </row>
    <row r="4" spans="1:5" ht="22.5" customHeight="1" x14ac:dyDescent="0.2">
      <c r="A4" s="298" t="s">
        <v>0</v>
      </c>
      <c r="B4" s="298" t="s">
        <v>1902</v>
      </c>
      <c r="C4" s="298" t="s">
        <v>1903</v>
      </c>
      <c r="D4" s="298" t="s">
        <v>1904</v>
      </c>
      <c r="E4" s="298"/>
    </row>
    <row r="5" spans="1:5" ht="30.6" x14ac:dyDescent="0.2">
      <c r="A5" s="298"/>
      <c r="B5" s="298"/>
      <c r="C5" s="298"/>
      <c r="D5" s="644" t="s">
        <v>1905</v>
      </c>
      <c r="E5" s="644" t="s">
        <v>1906</v>
      </c>
    </row>
    <row r="6" spans="1:5" s="24" customFormat="1" x14ac:dyDescent="0.2">
      <c r="A6" s="24" t="s">
        <v>3</v>
      </c>
      <c r="B6" s="622">
        <f>SUM(B7:B21)</f>
        <v>59</v>
      </c>
      <c r="C6" s="622">
        <f>SUM(C7:C21)</f>
        <v>17</v>
      </c>
      <c r="D6" s="622">
        <f>SUM(D7:D21)</f>
        <v>10</v>
      </c>
      <c r="E6" s="622">
        <f>SUM(E7:E21)</f>
        <v>3604</v>
      </c>
    </row>
    <row r="7" spans="1:5" x14ac:dyDescent="0.2">
      <c r="A7" s="2" t="s">
        <v>4</v>
      </c>
      <c r="B7" s="315">
        <v>7</v>
      </c>
      <c r="C7" s="315">
        <v>2</v>
      </c>
      <c r="D7" s="315">
        <v>1</v>
      </c>
      <c r="E7" s="315">
        <v>13</v>
      </c>
    </row>
    <row r="8" spans="1:5" x14ac:dyDescent="0.2">
      <c r="A8" s="2" t="s">
        <v>5</v>
      </c>
      <c r="B8" s="315">
        <v>1</v>
      </c>
      <c r="C8" s="315">
        <v>1</v>
      </c>
      <c r="D8" s="315">
        <v>1</v>
      </c>
      <c r="E8" s="315">
        <v>5</v>
      </c>
    </row>
    <row r="9" spans="1:5" x14ac:dyDescent="0.2">
      <c r="A9" s="2" t="s">
        <v>6</v>
      </c>
      <c r="B9" s="315">
        <v>6</v>
      </c>
      <c r="C9" s="315">
        <v>0</v>
      </c>
      <c r="D9" s="315">
        <v>0</v>
      </c>
      <c r="E9" s="315">
        <v>0</v>
      </c>
    </row>
    <row r="10" spans="1:5" x14ac:dyDescent="0.2">
      <c r="A10" s="2" t="s">
        <v>7</v>
      </c>
      <c r="B10" s="315">
        <v>7</v>
      </c>
      <c r="C10" s="315">
        <v>5</v>
      </c>
      <c r="D10" s="315">
        <v>3</v>
      </c>
      <c r="E10" s="315">
        <v>268</v>
      </c>
    </row>
    <row r="11" spans="1:5" x14ac:dyDescent="0.2">
      <c r="A11" s="2" t="s">
        <v>8</v>
      </c>
      <c r="B11" s="315">
        <v>0</v>
      </c>
      <c r="C11" s="315">
        <v>0</v>
      </c>
      <c r="D11" s="315">
        <v>0</v>
      </c>
      <c r="E11" s="315">
        <v>0</v>
      </c>
    </row>
    <row r="12" spans="1:5" ht="12" x14ac:dyDescent="0.2">
      <c r="A12" s="2" t="s">
        <v>1907</v>
      </c>
      <c r="B12" s="315">
        <v>14</v>
      </c>
      <c r="C12" s="315">
        <v>2</v>
      </c>
      <c r="D12" s="315">
        <v>1</v>
      </c>
      <c r="E12" s="315">
        <v>3169</v>
      </c>
    </row>
    <row r="13" spans="1:5" x14ac:dyDescent="0.2">
      <c r="A13" s="2" t="s">
        <v>10</v>
      </c>
      <c r="B13" s="315">
        <v>11</v>
      </c>
      <c r="C13" s="315">
        <v>1</v>
      </c>
      <c r="D13" s="315">
        <v>1</v>
      </c>
      <c r="E13" s="315">
        <v>1</v>
      </c>
    </row>
    <row r="14" spans="1:5" x14ac:dyDescent="0.2">
      <c r="A14" s="2" t="s">
        <v>134</v>
      </c>
      <c r="B14" s="315">
        <v>4</v>
      </c>
      <c r="C14" s="315">
        <v>0</v>
      </c>
      <c r="D14" s="315">
        <v>1</v>
      </c>
      <c r="E14" s="315">
        <v>6</v>
      </c>
    </row>
    <row r="15" spans="1:5" x14ac:dyDescent="0.2">
      <c r="A15" s="2" t="s">
        <v>12</v>
      </c>
      <c r="B15" s="315">
        <v>0</v>
      </c>
      <c r="C15" s="315">
        <v>0</v>
      </c>
      <c r="D15" s="315">
        <v>0</v>
      </c>
      <c r="E15" s="315">
        <v>0</v>
      </c>
    </row>
    <row r="16" spans="1:5" x14ac:dyDescent="0.2">
      <c r="A16" s="2" t="s">
        <v>13</v>
      </c>
      <c r="B16" s="315">
        <v>0</v>
      </c>
      <c r="C16" s="315">
        <v>0</v>
      </c>
      <c r="D16" s="315">
        <v>0</v>
      </c>
      <c r="E16" s="315">
        <v>0</v>
      </c>
    </row>
    <row r="17" spans="1:5" x14ac:dyDescent="0.2">
      <c r="A17" s="2" t="s">
        <v>47</v>
      </c>
      <c r="B17" s="315">
        <v>1</v>
      </c>
      <c r="C17" s="315">
        <v>0</v>
      </c>
      <c r="D17" s="315">
        <v>0</v>
      </c>
      <c r="E17" s="315">
        <v>0</v>
      </c>
    </row>
    <row r="18" spans="1:5" x14ac:dyDescent="0.2">
      <c r="A18" s="2" t="s">
        <v>135</v>
      </c>
      <c r="B18" s="315">
        <v>8</v>
      </c>
      <c r="C18" s="315">
        <v>6</v>
      </c>
      <c r="D18" s="315">
        <v>2</v>
      </c>
      <c r="E18" s="315">
        <v>142</v>
      </c>
    </row>
    <row r="19" spans="1:5" x14ac:dyDescent="0.2">
      <c r="A19" s="2" t="s">
        <v>136</v>
      </c>
      <c r="B19" s="315">
        <v>0</v>
      </c>
      <c r="C19" s="315">
        <v>0</v>
      </c>
      <c r="D19" s="315">
        <v>0</v>
      </c>
      <c r="E19" s="315">
        <v>0</v>
      </c>
    </row>
    <row r="20" spans="1:5" x14ac:dyDescent="0.2">
      <c r="A20" s="2" t="s">
        <v>17</v>
      </c>
      <c r="B20" s="315">
        <v>0</v>
      </c>
      <c r="C20" s="315">
        <v>0</v>
      </c>
      <c r="D20" s="315">
        <v>0</v>
      </c>
      <c r="E20" s="315">
        <v>0</v>
      </c>
    </row>
    <row r="21" spans="1:5" x14ac:dyDescent="0.2">
      <c r="A21" s="2" t="s">
        <v>18</v>
      </c>
      <c r="B21" s="315">
        <v>0</v>
      </c>
      <c r="C21" s="315">
        <v>0</v>
      </c>
      <c r="D21" s="315">
        <v>0</v>
      </c>
      <c r="E21" s="315">
        <v>0</v>
      </c>
    </row>
    <row r="22" spans="1:5" ht="6.75" customHeight="1" x14ac:dyDescent="0.2"/>
    <row r="23" spans="1:5" ht="126" customHeight="1" x14ac:dyDescent="0.2">
      <c r="A23" s="639" t="s">
        <v>1908</v>
      </c>
      <c r="B23" s="639"/>
      <c r="C23" s="639"/>
      <c r="D23" s="639"/>
      <c r="E23" s="639"/>
    </row>
    <row r="24" spans="1:5" ht="12.75" customHeight="1" x14ac:dyDescent="0.2">
      <c r="A24" s="623" t="s">
        <v>19</v>
      </c>
      <c r="B24" s="623"/>
      <c r="C24" s="623"/>
      <c r="D24" s="623"/>
      <c r="E24" s="623"/>
    </row>
    <row r="25" spans="1:5" ht="24" customHeight="1" x14ac:dyDescent="0.2">
      <c r="A25" s="638" t="s">
        <v>1909</v>
      </c>
      <c r="B25" s="638"/>
      <c r="C25" s="638"/>
      <c r="D25" s="638"/>
      <c r="E25" s="638"/>
    </row>
    <row r="27" spans="1:5" ht="35.25" customHeight="1" x14ac:dyDescent="0.2"/>
    <row r="30" spans="1:5" ht="42.75" customHeight="1" x14ac:dyDescent="0.2"/>
    <row r="47" ht="5.25" customHeight="1" x14ac:dyDescent="0.2"/>
    <row r="49" ht="23.25" customHeight="1" x14ac:dyDescent="0.2"/>
  </sheetData>
  <mergeCells count="8">
    <mergeCell ref="A24:E24"/>
    <mergeCell ref="A25:E25"/>
    <mergeCell ref="A2:E2"/>
    <mergeCell ref="A4:A5"/>
    <mergeCell ref="B4:B5"/>
    <mergeCell ref="C4:C5"/>
    <mergeCell ref="D4:E4"/>
    <mergeCell ref="A23:E23"/>
  </mergeCells>
  <pageMargins left="0.74803149606299213" right="0.74803149606299213" top="0.98425196850393704" bottom="0.98425196850393704" header="0" footer="0"/>
  <pageSetup paperSize="14" orientation="portrait" r:id="rId1"/>
  <headerFooter alignWithMargins="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95255-BFE8-4AC2-A199-842CB1A28237}">
  <sheetPr codeName="Hoja117"/>
  <dimension ref="A2:M27"/>
  <sheetViews>
    <sheetView workbookViewId="0">
      <selection activeCell="D4" sqref="D4"/>
    </sheetView>
  </sheetViews>
  <sheetFormatPr baseColWidth="10" defaultColWidth="11.44140625" defaultRowHeight="10.199999999999999" x14ac:dyDescent="0.2"/>
  <cols>
    <col min="1" max="1" width="22.33203125" style="309" customWidth="1"/>
    <col min="2" max="2" width="9.33203125" style="309" bestFit="1" customWidth="1"/>
    <col min="3" max="3" width="9.6640625" style="309" bestFit="1" customWidth="1"/>
    <col min="4" max="4" width="9.33203125" style="309" bestFit="1" customWidth="1"/>
    <col min="5" max="5" width="9.6640625" style="309" bestFit="1" customWidth="1"/>
    <col min="6" max="6" width="9.33203125" style="309" bestFit="1" customWidth="1"/>
    <col min="7" max="7" width="9.6640625" style="309" bestFit="1" customWidth="1"/>
    <col min="8" max="8" width="9.33203125" style="309" bestFit="1" customWidth="1"/>
    <col min="9" max="9" width="9.6640625" style="309" bestFit="1" customWidth="1"/>
    <col min="10" max="10" width="9.33203125" style="309" bestFit="1" customWidth="1"/>
    <col min="11" max="11" width="9.6640625" style="309" bestFit="1" customWidth="1"/>
    <col min="12" max="12" width="9.33203125" style="309" bestFit="1" customWidth="1"/>
    <col min="13" max="13" width="9.6640625" style="309" bestFit="1" customWidth="1"/>
    <col min="14" max="16384" width="11.44140625" style="309"/>
  </cols>
  <sheetData>
    <row r="2" spans="1:13" ht="21.75" customHeight="1" x14ac:dyDescent="0.2">
      <c r="A2" s="45" t="s">
        <v>1118</v>
      </c>
      <c r="B2" s="45"/>
      <c r="C2" s="45"/>
      <c r="D2" s="45"/>
      <c r="E2" s="45"/>
      <c r="F2" s="45"/>
      <c r="G2" s="45"/>
      <c r="H2" s="45"/>
      <c r="I2" s="45"/>
      <c r="J2" s="45"/>
      <c r="K2" s="45"/>
      <c r="L2" s="45"/>
      <c r="M2" s="45"/>
    </row>
    <row r="3" spans="1:13" x14ac:dyDescent="0.2">
      <c r="A3" s="309" t="s">
        <v>1910</v>
      </c>
    </row>
    <row r="4" spans="1:13" ht="42" customHeight="1" x14ac:dyDescent="0.2">
      <c r="A4" s="298" t="s">
        <v>1911</v>
      </c>
      <c r="B4" s="298" t="s">
        <v>1912</v>
      </c>
      <c r="C4" s="298"/>
      <c r="D4" s="298" t="s">
        <v>1913</v>
      </c>
      <c r="E4" s="298"/>
      <c r="F4" s="298" t="s">
        <v>1914</v>
      </c>
      <c r="G4" s="298"/>
      <c r="H4" s="298" t="s">
        <v>1915</v>
      </c>
      <c r="I4" s="298"/>
      <c r="J4" s="298" t="s">
        <v>1916</v>
      </c>
      <c r="K4" s="298"/>
      <c r="L4" s="298" t="s">
        <v>1917</v>
      </c>
      <c r="M4" s="298"/>
    </row>
    <row r="5" spans="1:13" ht="21.75" customHeight="1" x14ac:dyDescent="0.2">
      <c r="A5" s="298"/>
      <c r="B5" s="644" t="s">
        <v>1027</v>
      </c>
      <c r="C5" s="644" t="s">
        <v>1028</v>
      </c>
      <c r="D5" s="644" t="s">
        <v>1027</v>
      </c>
      <c r="E5" s="644" t="s">
        <v>1028</v>
      </c>
      <c r="F5" s="644" t="s">
        <v>1027</v>
      </c>
      <c r="G5" s="644" t="s">
        <v>1028</v>
      </c>
      <c r="H5" s="644" t="s">
        <v>1027</v>
      </c>
      <c r="I5" s="644" t="s">
        <v>1028</v>
      </c>
      <c r="J5" s="644" t="s">
        <v>1027</v>
      </c>
      <c r="K5" s="644" t="s">
        <v>1028</v>
      </c>
      <c r="L5" s="644" t="s">
        <v>1027</v>
      </c>
      <c r="M5" s="644" t="s">
        <v>1028</v>
      </c>
    </row>
    <row r="6" spans="1:13" s="624" customFormat="1" ht="12" x14ac:dyDescent="0.2">
      <c r="A6" s="624" t="s">
        <v>1918</v>
      </c>
      <c r="B6" s="676">
        <f>SUM(B7:B23)</f>
        <v>126</v>
      </c>
      <c r="C6" s="676">
        <f t="shared" ref="C6:M6" si="0">SUM(C7:C23)</f>
        <v>150</v>
      </c>
      <c r="D6" s="676">
        <f t="shared" si="0"/>
        <v>9</v>
      </c>
      <c r="E6" s="676">
        <f t="shared" si="0"/>
        <v>19</v>
      </c>
      <c r="F6" s="676">
        <f t="shared" si="0"/>
        <v>22</v>
      </c>
      <c r="G6" s="676">
        <f t="shared" si="0"/>
        <v>33</v>
      </c>
      <c r="H6" s="676">
        <f t="shared" si="0"/>
        <v>0</v>
      </c>
      <c r="I6" s="676">
        <f t="shared" si="0"/>
        <v>0</v>
      </c>
      <c r="J6" s="676">
        <f t="shared" si="0"/>
        <v>0</v>
      </c>
      <c r="K6" s="676">
        <f t="shared" si="0"/>
        <v>1</v>
      </c>
      <c r="L6" s="676">
        <f t="shared" si="0"/>
        <v>95</v>
      </c>
      <c r="M6" s="676">
        <f t="shared" si="0"/>
        <v>97</v>
      </c>
    </row>
    <row r="7" spans="1:13" x14ac:dyDescent="0.2">
      <c r="A7" s="309" t="s">
        <v>871</v>
      </c>
      <c r="B7" s="677">
        <f>+D7+F7+H7+J7+L7</f>
        <v>0</v>
      </c>
      <c r="C7" s="677">
        <f>+E7+G7+I7+K7+M7</f>
        <v>0</v>
      </c>
      <c r="D7" s="677">
        <v>0</v>
      </c>
      <c r="E7" s="677">
        <v>0</v>
      </c>
      <c r="F7" s="677">
        <v>0</v>
      </c>
      <c r="G7" s="677">
        <v>0</v>
      </c>
      <c r="H7" s="677">
        <v>0</v>
      </c>
      <c r="I7" s="677">
        <v>0</v>
      </c>
      <c r="J7" s="677">
        <v>0</v>
      </c>
      <c r="K7" s="677">
        <v>0</v>
      </c>
      <c r="L7" s="677">
        <v>0</v>
      </c>
      <c r="M7" s="677">
        <v>0</v>
      </c>
    </row>
    <row r="8" spans="1:13" x14ac:dyDescent="0.2">
      <c r="A8" s="309" t="s">
        <v>872</v>
      </c>
      <c r="B8" s="677">
        <f t="shared" ref="B8:M23" si="1">+D8+F8+H8+J8+L8</f>
        <v>9</v>
      </c>
      <c r="C8" s="677">
        <f t="shared" si="1"/>
        <v>16</v>
      </c>
      <c r="D8" s="677">
        <v>1</v>
      </c>
      <c r="E8" s="677">
        <v>0</v>
      </c>
      <c r="F8" s="677">
        <v>0</v>
      </c>
      <c r="G8" s="677">
        <v>2</v>
      </c>
      <c r="H8" s="677">
        <v>0</v>
      </c>
      <c r="I8" s="677">
        <v>0</v>
      </c>
      <c r="J8" s="677">
        <v>0</v>
      </c>
      <c r="K8" s="677">
        <v>0</v>
      </c>
      <c r="L8" s="677">
        <v>8</v>
      </c>
      <c r="M8" s="677">
        <v>14</v>
      </c>
    </row>
    <row r="9" spans="1:13" x14ac:dyDescent="0.2">
      <c r="A9" s="309" t="s">
        <v>6</v>
      </c>
      <c r="B9" s="677">
        <f t="shared" si="1"/>
        <v>0</v>
      </c>
      <c r="C9" s="677">
        <f t="shared" si="1"/>
        <v>0</v>
      </c>
      <c r="D9" s="677">
        <v>0</v>
      </c>
      <c r="E9" s="677">
        <v>0</v>
      </c>
      <c r="F9" s="677">
        <v>0</v>
      </c>
      <c r="G9" s="677">
        <v>0</v>
      </c>
      <c r="H9" s="677">
        <v>0</v>
      </c>
      <c r="I9" s="677">
        <v>0</v>
      </c>
      <c r="J9" s="677">
        <v>0</v>
      </c>
      <c r="K9" s="677">
        <v>0</v>
      </c>
      <c r="L9" s="677">
        <v>0</v>
      </c>
      <c r="M9" s="677">
        <v>0</v>
      </c>
    </row>
    <row r="10" spans="1:13" x14ac:dyDescent="0.2">
      <c r="A10" s="309" t="s">
        <v>876</v>
      </c>
      <c r="B10" s="677">
        <f t="shared" si="1"/>
        <v>10</v>
      </c>
      <c r="C10" s="677">
        <f t="shared" si="1"/>
        <v>8</v>
      </c>
      <c r="D10" s="677">
        <v>1</v>
      </c>
      <c r="E10" s="677">
        <v>1</v>
      </c>
      <c r="F10" s="677">
        <v>1</v>
      </c>
      <c r="G10" s="677">
        <v>1</v>
      </c>
      <c r="H10" s="677">
        <v>0</v>
      </c>
      <c r="I10" s="677">
        <v>0</v>
      </c>
      <c r="J10" s="677">
        <v>0</v>
      </c>
      <c r="K10" s="677">
        <v>0</v>
      </c>
      <c r="L10" s="677">
        <v>8</v>
      </c>
      <c r="M10" s="677">
        <v>6</v>
      </c>
    </row>
    <row r="11" spans="1:13" x14ac:dyDescent="0.2">
      <c r="A11" s="309" t="s">
        <v>1029</v>
      </c>
      <c r="B11" s="677">
        <f t="shared" si="1"/>
        <v>12</v>
      </c>
      <c r="C11" s="677">
        <f t="shared" si="1"/>
        <v>6</v>
      </c>
      <c r="D11" s="677">
        <v>1</v>
      </c>
      <c r="E11" s="677">
        <v>1</v>
      </c>
      <c r="F11" s="677">
        <v>5</v>
      </c>
      <c r="G11" s="677">
        <v>0</v>
      </c>
      <c r="H11" s="677">
        <v>0</v>
      </c>
      <c r="I11" s="677">
        <v>0</v>
      </c>
      <c r="J11" s="677">
        <v>0</v>
      </c>
      <c r="K11" s="677">
        <v>1</v>
      </c>
      <c r="L11" s="677">
        <v>6</v>
      </c>
      <c r="M11" s="677">
        <v>4</v>
      </c>
    </row>
    <row r="12" spans="1:13" x14ac:dyDescent="0.2">
      <c r="A12" s="309" t="s">
        <v>9</v>
      </c>
      <c r="B12" s="677">
        <f t="shared" si="1"/>
        <v>14</v>
      </c>
      <c r="C12" s="677">
        <f t="shared" si="1"/>
        <v>24</v>
      </c>
      <c r="D12" s="677">
        <v>1</v>
      </c>
      <c r="E12" s="677">
        <v>4</v>
      </c>
      <c r="F12" s="677">
        <v>4</v>
      </c>
      <c r="G12" s="677">
        <v>5</v>
      </c>
      <c r="H12" s="677">
        <v>0</v>
      </c>
      <c r="I12" s="677">
        <v>0</v>
      </c>
      <c r="J12" s="677">
        <v>0</v>
      </c>
      <c r="K12" s="677">
        <v>0</v>
      </c>
      <c r="L12" s="677">
        <v>9</v>
      </c>
      <c r="M12" s="677">
        <v>15</v>
      </c>
    </row>
    <row r="13" spans="1:13" x14ac:dyDescent="0.2">
      <c r="A13" s="309" t="s">
        <v>890</v>
      </c>
      <c r="B13" s="677">
        <f t="shared" si="1"/>
        <v>0</v>
      </c>
      <c r="C13" s="677">
        <f t="shared" si="1"/>
        <v>0</v>
      </c>
      <c r="D13" s="677">
        <f t="shared" si="1"/>
        <v>0</v>
      </c>
      <c r="E13" s="677">
        <f t="shared" si="1"/>
        <v>0</v>
      </c>
      <c r="F13" s="677">
        <f t="shared" si="1"/>
        <v>0</v>
      </c>
      <c r="G13" s="677">
        <f t="shared" si="1"/>
        <v>0</v>
      </c>
      <c r="H13" s="677">
        <f t="shared" si="1"/>
        <v>0</v>
      </c>
      <c r="I13" s="677">
        <f t="shared" si="1"/>
        <v>0</v>
      </c>
      <c r="J13" s="677">
        <f t="shared" si="1"/>
        <v>0</v>
      </c>
      <c r="K13" s="677">
        <f t="shared" si="1"/>
        <v>0</v>
      </c>
      <c r="L13" s="677">
        <f t="shared" si="1"/>
        <v>0</v>
      </c>
      <c r="M13" s="677">
        <f t="shared" si="1"/>
        <v>0</v>
      </c>
    </row>
    <row r="14" spans="1:13" x14ac:dyDescent="0.2">
      <c r="A14" s="309" t="s">
        <v>1032</v>
      </c>
      <c r="B14" s="677">
        <f t="shared" si="1"/>
        <v>0</v>
      </c>
      <c r="C14" s="677">
        <f t="shared" si="1"/>
        <v>0</v>
      </c>
      <c r="D14" s="677">
        <f t="shared" si="1"/>
        <v>0</v>
      </c>
      <c r="E14" s="677">
        <f t="shared" si="1"/>
        <v>0</v>
      </c>
      <c r="F14" s="677">
        <f t="shared" si="1"/>
        <v>0</v>
      </c>
      <c r="G14" s="677">
        <f t="shared" si="1"/>
        <v>0</v>
      </c>
      <c r="H14" s="677">
        <f t="shared" si="1"/>
        <v>0</v>
      </c>
      <c r="I14" s="677">
        <f t="shared" si="1"/>
        <v>0</v>
      </c>
      <c r="J14" s="677">
        <f t="shared" si="1"/>
        <v>0</v>
      </c>
      <c r="K14" s="677">
        <f t="shared" si="1"/>
        <v>0</v>
      </c>
      <c r="L14" s="677">
        <f t="shared" si="1"/>
        <v>0</v>
      </c>
      <c r="M14" s="677">
        <f t="shared" si="1"/>
        <v>0</v>
      </c>
    </row>
    <row r="15" spans="1:13" x14ac:dyDescent="0.2">
      <c r="A15" s="309" t="s">
        <v>917</v>
      </c>
      <c r="B15" s="677">
        <f t="shared" si="1"/>
        <v>7</v>
      </c>
      <c r="C15" s="677">
        <f t="shared" si="1"/>
        <v>6</v>
      </c>
      <c r="D15" s="677">
        <v>0</v>
      </c>
      <c r="E15" s="677">
        <v>1</v>
      </c>
      <c r="F15" s="677">
        <v>2</v>
      </c>
      <c r="G15" s="677">
        <v>3</v>
      </c>
      <c r="H15" s="677">
        <v>0</v>
      </c>
      <c r="I15" s="677">
        <v>0</v>
      </c>
      <c r="J15" s="677">
        <v>0</v>
      </c>
      <c r="K15" s="677">
        <v>0</v>
      </c>
      <c r="L15" s="677">
        <v>5</v>
      </c>
      <c r="M15" s="677">
        <v>2</v>
      </c>
    </row>
    <row r="16" spans="1:13" x14ac:dyDescent="0.2">
      <c r="A16" s="309" t="s">
        <v>920</v>
      </c>
      <c r="B16" s="677">
        <f t="shared" si="1"/>
        <v>0</v>
      </c>
      <c r="C16" s="677">
        <f t="shared" si="1"/>
        <v>3</v>
      </c>
      <c r="D16" s="677">
        <v>0</v>
      </c>
      <c r="E16" s="677">
        <v>0</v>
      </c>
      <c r="F16" s="677">
        <v>0</v>
      </c>
      <c r="G16" s="677">
        <v>2</v>
      </c>
      <c r="H16" s="677">
        <v>0</v>
      </c>
      <c r="I16" s="677">
        <v>0</v>
      </c>
      <c r="J16" s="677">
        <v>0</v>
      </c>
      <c r="K16" s="677">
        <v>0</v>
      </c>
      <c r="L16" s="677">
        <v>0</v>
      </c>
      <c r="M16" s="677">
        <v>1</v>
      </c>
    </row>
    <row r="17" spans="1:13" x14ac:dyDescent="0.2">
      <c r="A17" s="309" t="s">
        <v>921</v>
      </c>
      <c r="B17" s="677">
        <f t="shared" si="1"/>
        <v>7</v>
      </c>
      <c r="C17" s="677">
        <f t="shared" si="1"/>
        <v>10</v>
      </c>
      <c r="D17" s="677">
        <v>2</v>
      </c>
      <c r="E17" s="677">
        <v>4</v>
      </c>
      <c r="F17" s="677">
        <v>1</v>
      </c>
      <c r="G17" s="677">
        <v>4</v>
      </c>
      <c r="H17" s="677">
        <v>0</v>
      </c>
      <c r="I17" s="677">
        <v>0</v>
      </c>
      <c r="J17" s="677">
        <v>0</v>
      </c>
      <c r="K17" s="677">
        <v>0</v>
      </c>
      <c r="L17" s="677">
        <v>4</v>
      </c>
      <c r="M17" s="677">
        <v>2</v>
      </c>
    </row>
    <row r="18" spans="1:13" x14ac:dyDescent="0.2">
      <c r="A18" s="309" t="s">
        <v>889</v>
      </c>
      <c r="B18" s="677">
        <f t="shared" si="1"/>
        <v>30</v>
      </c>
      <c r="C18" s="677">
        <f t="shared" si="1"/>
        <v>29</v>
      </c>
      <c r="D18" s="677">
        <v>2</v>
      </c>
      <c r="E18" s="677">
        <v>3</v>
      </c>
      <c r="F18" s="677">
        <v>6</v>
      </c>
      <c r="G18" s="677">
        <v>7</v>
      </c>
      <c r="H18" s="677">
        <v>0</v>
      </c>
      <c r="I18" s="677">
        <v>0</v>
      </c>
      <c r="J18" s="677">
        <v>0</v>
      </c>
      <c r="K18" s="677">
        <v>0</v>
      </c>
      <c r="L18" s="677">
        <v>22</v>
      </c>
      <c r="M18" s="677">
        <v>19</v>
      </c>
    </row>
    <row r="19" spans="1:13" x14ac:dyDescent="0.2">
      <c r="A19" s="309" t="s">
        <v>895</v>
      </c>
      <c r="B19" s="677">
        <f t="shared" si="1"/>
        <v>14</v>
      </c>
      <c r="C19" s="677">
        <f t="shared" si="1"/>
        <v>14</v>
      </c>
      <c r="D19" s="677">
        <v>0</v>
      </c>
      <c r="E19" s="677">
        <v>3</v>
      </c>
      <c r="F19" s="677">
        <v>0</v>
      </c>
      <c r="G19" s="677">
        <v>0</v>
      </c>
      <c r="H19" s="677">
        <v>0</v>
      </c>
      <c r="I19" s="677">
        <v>0</v>
      </c>
      <c r="J19" s="677">
        <v>0</v>
      </c>
      <c r="K19" s="677">
        <v>0</v>
      </c>
      <c r="L19" s="677">
        <v>14</v>
      </c>
      <c r="M19" s="677">
        <v>11</v>
      </c>
    </row>
    <row r="20" spans="1:13" x14ac:dyDescent="0.2">
      <c r="A20" s="309" t="s">
        <v>928</v>
      </c>
      <c r="B20" s="677">
        <f t="shared" si="1"/>
        <v>12</v>
      </c>
      <c r="C20" s="677">
        <f t="shared" si="1"/>
        <v>16</v>
      </c>
      <c r="D20" s="677">
        <v>0</v>
      </c>
      <c r="E20" s="677">
        <v>0</v>
      </c>
      <c r="F20" s="677">
        <v>1</v>
      </c>
      <c r="G20" s="677">
        <v>3</v>
      </c>
      <c r="H20" s="677">
        <v>0</v>
      </c>
      <c r="I20" s="677">
        <v>0</v>
      </c>
      <c r="J20" s="677">
        <v>0</v>
      </c>
      <c r="K20" s="677">
        <v>0</v>
      </c>
      <c r="L20" s="677">
        <v>11</v>
      </c>
      <c r="M20" s="677">
        <v>13</v>
      </c>
    </row>
    <row r="21" spans="1:13" x14ac:dyDescent="0.2">
      <c r="A21" s="309" t="s">
        <v>1030</v>
      </c>
      <c r="B21" s="677">
        <f t="shared" si="1"/>
        <v>11</v>
      </c>
      <c r="C21" s="677">
        <f t="shared" si="1"/>
        <v>13</v>
      </c>
      <c r="D21" s="677">
        <v>1</v>
      </c>
      <c r="E21" s="677">
        <v>2</v>
      </c>
      <c r="F21" s="677">
        <v>2</v>
      </c>
      <c r="G21" s="677">
        <v>6</v>
      </c>
      <c r="H21" s="677">
        <v>0</v>
      </c>
      <c r="I21" s="677">
        <v>0</v>
      </c>
      <c r="J21" s="677">
        <v>0</v>
      </c>
      <c r="K21" s="677">
        <v>0</v>
      </c>
      <c r="L21" s="677">
        <v>8</v>
      </c>
      <c r="M21" s="677">
        <v>5</v>
      </c>
    </row>
    <row r="22" spans="1:13" x14ac:dyDescent="0.2">
      <c r="A22" s="309" t="s">
        <v>1031</v>
      </c>
      <c r="B22" s="677">
        <f t="shared" si="1"/>
        <v>0</v>
      </c>
      <c r="C22" s="677">
        <f t="shared" si="1"/>
        <v>2</v>
      </c>
      <c r="D22" s="677">
        <v>0</v>
      </c>
      <c r="E22" s="677">
        <v>0</v>
      </c>
      <c r="F22" s="677">
        <v>0</v>
      </c>
      <c r="G22" s="677">
        <v>0</v>
      </c>
      <c r="H22" s="677">
        <v>0</v>
      </c>
      <c r="I22" s="677">
        <v>0</v>
      </c>
      <c r="J22" s="677">
        <v>0</v>
      </c>
      <c r="K22" s="677">
        <v>0</v>
      </c>
      <c r="L22" s="677">
        <v>0</v>
      </c>
      <c r="M22" s="677">
        <v>2</v>
      </c>
    </row>
    <row r="23" spans="1:13" x14ac:dyDescent="0.2">
      <c r="A23" s="309" t="s">
        <v>934</v>
      </c>
      <c r="B23" s="677">
        <f t="shared" si="1"/>
        <v>0</v>
      </c>
      <c r="C23" s="677">
        <f t="shared" si="1"/>
        <v>3</v>
      </c>
      <c r="D23" s="677">
        <v>0</v>
      </c>
      <c r="E23" s="677">
        <v>0</v>
      </c>
      <c r="F23" s="677">
        <v>0</v>
      </c>
      <c r="G23" s="677">
        <v>0</v>
      </c>
      <c r="H23" s="677">
        <v>0</v>
      </c>
      <c r="I23" s="677">
        <v>0</v>
      </c>
      <c r="J23" s="677">
        <v>0</v>
      </c>
      <c r="K23" s="677">
        <v>0</v>
      </c>
      <c r="L23" s="677">
        <v>0</v>
      </c>
      <c r="M23" s="677">
        <v>3</v>
      </c>
    </row>
    <row r="25" spans="1:13" ht="21" customHeight="1" x14ac:dyDescent="0.2">
      <c r="A25" s="678" t="s">
        <v>1919</v>
      </c>
      <c r="B25" s="638"/>
      <c r="C25" s="638"/>
      <c r="D25" s="638"/>
      <c r="E25" s="638"/>
      <c r="F25" s="638"/>
      <c r="G25" s="638"/>
      <c r="H25" s="638"/>
      <c r="I25" s="638"/>
      <c r="J25" s="638"/>
      <c r="K25" s="638"/>
      <c r="L25" s="638"/>
      <c r="M25" s="638"/>
    </row>
    <row r="26" spans="1:13" x14ac:dyDescent="0.2">
      <c r="A26" s="309" t="s">
        <v>19</v>
      </c>
    </row>
    <row r="27" spans="1:13" x14ac:dyDescent="0.2">
      <c r="A27" s="2" t="s">
        <v>1033</v>
      </c>
      <c r="B27" s="2"/>
      <c r="C27" s="2"/>
      <c r="D27" s="2"/>
      <c r="E27" s="2"/>
      <c r="F27" s="2"/>
      <c r="G27" s="2"/>
      <c r="H27" s="2"/>
      <c r="I27" s="2"/>
      <c r="J27" s="2"/>
      <c r="K27" s="2"/>
      <c r="L27" s="2"/>
      <c r="M27" s="2"/>
    </row>
  </sheetData>
  <mergeCells count="9">
    <mergeCell ref="A25:M25"/>
    <mergeCell ref="A2:M2"/>
    <mergeCell ref="A4:A5"/>
    <mergeCell ref="B4:C4"/>
    <mergeCell ref="D4:E4"/>
    <mergeCell ref="F4:G4"/>
    <mergeCell ref="H4:I4"/>
    <mergeCell ref="J4:K4"/>
    <mergeCell ref="L4:M4"/>
  </mergeCells>
  <pageMargins left="0.75" right="0.75" top="1" bottom="1" header="0" footer="0"/>
  <pageSetup paperSize="14" orientation="landscape" r:id="rId1"/>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6F67B-CF68-4F28-B537-1B25EDFABD55}">
  <sheetPr codeName="Hoja118"/>
  <dimension ref="A2:B24"/>
  <sheetViews>
    <sheetView workbookViewId="0">
      <selection activeCell="D4" sqref="D4"/>
    </sheetView>
  </sheetViews>
  <sheetFormatPr baseColWidth="10" defaultColWidth="11.44140625" defaultRowHeight="10.199999999999999" x14ac:dyDescent="0.2"/>
  <cols>
    <col min="1" max="1" width="30" style="2" customWidth="1"/>
    <col min="2" max="2" width="21.5546875" style="2" customWidth="1"/>
    <col min="3" max="16384" width="11.44140625" style="2"/>
  </cols>
  <sheetData>
    <row r="2" spans="1:2" ht="25.5" customHeight="1" x14ac:dyDescent="0.2">
      <c r="A2" s="45" t="s">
        <v>1119</v>
      </c>
      <c r="B2" s="45"/>
    </row>
    <row r="4" spans="1:2" ht="33.75" customHeight="1" x14ac:dyDescent="0.2">
      <c r="A4" s="644" t="s">
        <v>1025</v>
      </c>
      <c r="B4" s="644" t="s">
        <v>1035</v>
      </c>
    </row>
    <row r="5" spans="1:2" s="24" customFormat="1" x14ac:dyDescent="0.2">
      <c r="A5" s="24" t="s">
        <v>3</v>
      </c>
      <c r="B5" s="622">
        <f>SUM(B6:B22)</f>
        <v>44</v>
      </c>
    </row>
    <row r="6" spans="1:2" x14ac:dyDescent="0.2">
      <c r="A6" s="2" t="s">
        <v>871</v>
      </c>
      <c r="B6" s="315">
        <v>0</v>
      </c>
    </row>
    <row r="7" spans="1:2" x14ac:dyDescent="0.2">
      <c r="A7" s="2" t="s">
        <v>872</v>
      </c>
      <c r="B7" s="315">
        <v>0</v>
      </c>
    </row>
    <row r="8" spans="1:2" x14ac:dyDescent="0.2">
      <c r="A8" s="2" t="s">
        <v>6</v>
      </c>
      <c r="B8" s="315">
        <v>0</v>
      </c>
    </row>
    <row r="9" spans="1:2" x14ac:dyDescent="0.2">
      <c r="A9" s="2" t="s">
        <v>876</v>
      </c>
      <c r="B9" s="315">
        <v>4</v>
      </c>
    </row>
    <row r="10" spans="1:2" x14ac:dyDescent="0.2">
      <c r="A10" s="2" t="s">
        <v>1029</v>
      </c>
      <c r="B10" s="315">
        <v>5</v>
      </c>
    </row>
    <row r="11" spans="1:2" x14ac:dyDescent="0.2">
      <c r="A11" s="2" t="s">
        <v>9</v>
      </c>
      <c r="B11" s="315">
        <v>11</v>
      </c>
    </row>
    <row r="12" spans="1:2" x14ac:dyDescent="0.2">
      <c r="A12" s="2" t="s">
        <v>890</v>
      </c>
      <c r="B12" s="315">
        <v>10</v>
      </c>
    </row>
    <row r="13" spans="1:2" x14ac:dyDescent="0.2">
      <c r="A13" s="2" t="s">
        <v>1032</v>
      </c>
      <c r="B13" s="315">
        <v>2</v>
      </c>
    </row>
    <row r="14" spans="1:2" x14ac:dyDescent="0.2">
      <c r="A14" s="2" t="s">
        <v>917</v>
      </c>
      <c r="B14" s="315">
        <v>1</v>
      </c>
    </row>
    <row r="15" spans="1:2" x14ac:dyDescent="0.2">
      <c r="A15" s="2" t="s">
        <v>920</v>
      </c>
      <c r="B15" s="315">
        <v>7</v>
      </c>
    </row>
    <row r="16" spans="1:2" x14ac:dyDescent="0.2">
      <c r="A16" s="2" t="s">
        <v>921</v>
      </c>
      <c r="B16" s="315">
        <v>0</v>
      </c>
    </row>
    <row r="17" spans="1:2" x14ac:dyDescent="0.2">
      <c r="A17" s="2" t="s">
        <v>889</v>
      </c>
      <c r="B17" s="315">
        <v>1</v>
      </c>
    </row>
    <row r="18" spans="1:2" x14ac:dyDescent="0.2">
      <c r="A18" s="2" t="s">
        <v>895</v>
      </c>
      <c r="B18" s="315">
        <v>1</v>
      </c>
    </row>
    <row r="19" spans="1:2" x14ac:dyDescent="0.2">
      <c r="A19" s="2" t="s">
        <v>928</v>
      </c>
      <c r="B19" s="315">
        <v>0</v>
      </c>
    </row>
    <row r="20" spans="1:2" x14ac:dyDescent="0.2">
      <c r="A20" s="2" t="s">
        <v>1030</v>
      </c>
      <c r="B20" s="315">
        <v>0</v>
      </c>
    </row>
    <row r="21" spans="1:2" x14ac:dyDescent="0.2">
      <c r="A21" s="2" t="s">
        <v>1031</v>
      </c>
      <c r="B21" s="315">
        <v>0</v>
      </c>
    </row>
    <row r="22" spans="1:2" x14ac:dyDescent="0.2">
      <c r="A22" s="2" t="s">
        <v>934</v>
      </c>
      <c r="B22" s="315">
        <v>2</v>
      </c>
    </row>
    <row r="24" spans="1:2" x14ac:dyDescent="0.2">
      <c r="A24" s="2" t="s">
        <v>1033</v>
      </c>
    </row>
  </sheetData>
  <mergeCells count="1">
    <mergeCell ref="A2:B2"/>
  </mergeCells>
  <pageMargins left="0.7" right="0.7" top="0.75" bottom="0.75" header="0.3" footer="0.3"/>
  <pageSetup paperSize="14"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B38D2-5F32-40F5-A584-2185ED20E26F}">
  <sheetPr codeName="Hoja119"/>
  <dimension ref="A2:F31"/>
  <sheetViews>
    <sheetView workbookViewId="0">
      <selection activeCell="D4" sqref="D4"/>
    </sheetView>
  </sheetViews>
  <sheetFormatPr baseColWidth="10" defaultColWidth="11.44140625" defaultRowHeight="10.199999999999999" x14ac:dyDescent="0.2"/>
  <cols>
    <col min="1" max="1" width="27.44140625" style="2" customWidth="1"/>
    <col min="2" max="16384" width="11.44140625" style="2"/>
  </cols>
  <sheetData>
    <row r="2" spans="1:6" ht="30.75" customHeight="1" x14ac:dyDescent="0.2">
      <c r="A2" s="45" t="s">
        <v>1120</v>
      </c>
      <c r="B2" s="45"/>
      <c r="C2" s="45"/>
      <c r="D2" s="45"/>
      <c r="E2" s="45"/>
      <c r="F2" s="45"/>
    </row>
    <row r="3" spans="1:6" ht="10.5" customHeight="1" x14ac:dyDescent="0.2">
      <c r="B3" s="623"/>
      <c r="C3" s="623"/>
      <c r="D3" s="623"/>
    </row>
    <row r="4" spans="1:6" ht="25.5" customHeight="1" x14ac:dyDescent="0.2">
      <c r="A4" s="621" t="s">
        <v>1920</v>
      </c>
      <c r="B4" s="621" t="s">
        <v>1045</v>
      </c>
      <c r="C4" s="621" t="s">
        <v>1046</v>
      </c>
      <c r="D4" s="621" t="s">
        <v>1047</v>
      </c>
      <c r="E4" s="621" t="s">
        <v>1048</v>
      </c>
      <c r="F4" s="621">
        <v>2013</v>
      </c>
    </row>
    <row r="5" spans="1:6" s="24" customFormat="1" x14ac:dyDescent="0.2">
      <c r="A5" s="24" t="s">
        <v>3</v>
      </c>
      <c r="B5" s="622">
        <f>SUM(B6:B23)</f>
        <v>53</v>
      </c>
      <c r="C5" s="622">
        <f>SUM(C6:C23)</f>
        <v>64</v>
      </c>
      <c r="D5" s="622">
        <f>SUM(D6:D23)</f>
        <v>155</v>
      </c>
      <c r="E5" s="622">
        <f>SUM(E6:E23)</f>
        <v>93</v>
      </c>
      <c r="F5" s="622">
        <f>SUM(F6:F23)</f>
        <v>99</v>
      </c>
    </row>
    <row r="6" spans="1:6" ht="10.5" customHeight="1" x14ac:dyDescent="0.2">
      <c r="A6" s="2" t="s">
        <v>4</v>
      </c>
      <c r="B6" s="315">
        <v>8</v>
      </c>
      <c r="C6" s="315">
        <v>11</v>
      </c>
      <c r="D6" s="315">
        <v>12</v>
      </c>
      <c r="E6" s="315">
        <v>7</v>
      </c>
      <c r="F6" s="315">
        <v>5</v>
      </c>
    </row>
    <row r="7" spans="1:6" ht="10.5" customHeight="1" x14ac:dyDescent="0.2">
      <c r="A7" s="2" t="s">
        <v>5</v>
      </c>
      <c r="B7" s="315">
        <v>10</v>
      </c>
      <c r="C7" s="315">
        <v>1</v>
      </c>
      <c r="D7" s="315">
        <v>1</v>
      </c>
      <c r="E7" s="315">
        <v>3</v>
      </c>
      <c r="F7" s="315">
        <v>1</v>
      </c>
    </row>
    <row r="8" spans="1:6" ht="10.5" customHeight="1" x14ac:dyDescent="0.2">
      <c r="A8" s="2" t="s">
        <v>6</v>
      </c>
      <c r="B8" s="315">
        <v>4</v>
      </c>
      <c r="C8" s="315">
        <v>11</v>
      </c>
      <c r="D8" s="315">
        <v>6</v>
      </c>
      <c r="E8" s="315">
        <v>5</v>
      </c>
      <c r="F8" s="315">
        <v>3</v>
      </c>
    </row>
    <row r="9" spans="1:6" ht="10.5" customHeight="1" x14ac:dyDescent="0.2">
      <c r="A9" s="2" t="s">
        <v>7</v>
      </c>
      <c r="B9" s="315">
        <v>6</v>
      </c>
      <c r="C9" s="315">
        <v>5</v>
      </c>
      <c r="D9" s="315">
        <v>6</v>
      </c>
      <c r="E9" s="315">
        <v>1</v>
      </c>
      <c r="F9" s="315">
        <v>12</v>
      </c>
    </row>
    <row r="10" spans="1:6" ht="10.5" customHeight="1" x14ac:dyDescent="0.2">
      <c r="A10" s="2" t="s">
        <v>8</v>
      </c>
      <c r="B10" s="315">
        <v>4</v>
      </c>
      <c r="C10" s="315">
        <v>3</v>
      </c>
      <c r="D10" s="315">
        <v>18</v>
      </c>
      <c r="E10" s="315">
        <v>13</v>
      </c>
      <c r="F10" s="315">
        <v>16</v>
      </c>
    </row>
    <row r="11" spans="1:6" ht="10.5" customHeight="1" x14ac:dyDescent="0.2">
      <c r="A11" s="2" t="s">
        <v>9</v>
      </c>
      <c r="B11" s="315">
        <v>4</v>
      </c>
      <c r="C11" s="315">
        <v>7</v>
      </c>
      <c r="D11" s="315">
        <v>25</v>
      </c>
      <c r="E11" s="315">
        <v>26</v>
      </c>
      <c r="F11" s="315">
        <v>13</v>
      </c>
    </row>
    <row r="12" spans="1:6" ht="10.5" customHeight="1" x14ac:dyDescent="0.2">
      <c r="A12" s="2" t="s">
        <v>1049</v>
      </c>
      <c r="B12" s="315">
        <v>3</v>
      </c>
      <c r="C12" s="315">
        <v>5</v>
      </c>
      <c r="D12" s="315">
        <v>7</v>
      </c>
      <c r="E12" s="315">
        <v>8</v>
      </c>
      <c r="F12" s="315">
        <v>21</v>
      </c>
    </row>
    <row r="13" spans="1:6" ht="10.5" customHeight="1" x14ac:dyDescent="0.2">
      <c r="A13" s="2" t="s">
        <v>1050</v>
      </c>
      <c r="B13" s="315">
        <v>4</v>
      </c>
      <c r="C13" s="315">
        <v>7</v>
      </c>
      <c r="D13" s="315">
        <v>19</v>
      </c>
      <c r="E13" s="315">
        <v>5</v>
      </c>
      <c r="F13" s="315">
        <v>5</v>
      </c>
    </row>
    <row r="14" spans="1:6" ht="10.5" customHeight="1" x14ac:dyDescent="0.2">
      <c r="A14" s="2" t="s">
        <v>1051</v>
      </c>
      <c r="B14" s="315">
        <v>2</v>
      </c>
      <c r="C14" s="315">
        <v>1</v>
      </c>
      <c r="D14" s="315">
        <v>5</v>
      </c>
      <c r="E14" s="315">
        <v>4</v>
      </c>
      <c r="F14" s="315">
        <v>0</v>
      </c>
    </row>
    <row r="15" spans="1:6" ht="10.5" customHeight="1" x14ac:dyDescent="0.2">
      <c r="A15" s="2" t="s">
        <v>1052</v>
      </c>
      <c r="B15" s="315">
        <v>3</v>
      </c>
      <c r="C15" s="315">
        <v>1</v>
      </c>
      <c r="D15" s="315">
        <v>4</v>
      </c>
      <c r="E15" s="315">
        <v>1</v>
      </c>
      <c r="F15" s="315">
        <v>4</v>
      </c>
    </row>
    <row r="16" spans="1:6" ht="12" customHeight="1" x14ac:dyDescent="0.2">
      <c r="A16" s="2" t="s">
        <v>134</v>
      </c>
      <c r="B16" s="315">
        <v>1</v>
      </c>
      <c r="C16" s="315">
        <v>0</v>
      </c>
      <c r="D16" s="315">
        <v>5</v>
      </c>
      <c r="E16" s="315">
        <v>4</v>
      </c>
      <c r="F16" s="315">
        <v>0</v>
      </c>
    </row>
    <row r="17" spans="1:6" ht="10.5" customHeight="1" x14ac:dyDescent="0.2">
      <c r="A17" s="2" t="s">
        <v>12</v>
      </c>
      <c r="B17" s="315">
        <v>1</v>
      </c>
      <c r="C17" s="315">
        <v>3</v>
      </c>
      <c r="D17" s="315">
        <v>11</v>
      </c>
      <c r="E17" s="315">
        <v>1</v>
      </c>
      <c r="F17" s="315">
        <v>7</v>
      </c>
    </row>
    <row r="18" spans="1:6" ht="10.5" customHeight="1" x14ac:dyDescent="0.2">
      <c r="A18" s="2" t="s">
        <v>13</v>
      </c>
      <c r="B18" s="315">
        <v>1</v>
      </c>
      <c r="C18" s="315">
        <v>1</v>
      </c>
      <c r="D18" s="315">
        <v>10</v>
      </c>
      <c r="E18" s="315">
        <v>5</v>
      </c>
      <c r="F18" s="315">
        <v>3</v>
      </c>
    </row>
    <row r="19" spans="1:6" ht="10.5" customHeight="1" x14ac:dyDescent="0.2">
      <c r="A19" s="2" t="s">
        <v>14</v>
      </c>
      <c r="B19" s="315">
        <v>1</v>
      </c>
      <c r="C19" s="315">
        <v>3</v>
      </c>
      <c r="D19" s="315">
        <v>4</v>
      </c>
      <c r="E19" s="315">
        <v>4</v>
      </c>
      <c r="F19" s="315">
        <v>2</v>
      </c>
    </row>
    <row r="20" spans="1:6" ht="10.5" customHeight="1" x14ac:dyDescent="0.2">
      <c r="A20" s="2" t="s">
        <v>135</v>
      </c>
      <c r="B20" s="315">
        <v>1</v>
      </c>
      <c r="C20" s="315">
        <v>2</v>
      </c>
      <c r="D20" s="315">
        <v>10</v>
      </c>
      <c r="E20" s="315">
        <v>3</v>
      </c>
      <c r="F20" s="315">
        <v>3</v>
      </c>
    </row>
    <row r="21" spans="1:6" ht="10.5" customHeight="1" x14ac:dyDescent="0.2">
      <c r="A21" s="2" t="s">
        <v>136</v>
      </c>
      <c r="B21" s="315">
        <v>0</v>
      </c>
      <c r="C21" s="315">
        <v>1</v>
      </c>
      <c r="D21" s="315">
        <v>6</v>
      </c>
      <c r="E21" s="315">
        <v>1</v>
      </c>
      <c r="F21" s="315">
        <v>0</v>
      </c>
    </row>
    <row r="22" spans="1:6" ht="10.5" customHeight="1" x14ac:dyDescent="0.2">
      <c r="A22" s="2" t="s">
        <v>17</v>
      </c>
      <c r="B22" s="315">
        <v>0</v>
      </c>
      <c r="C22" s="315">
        <v>1</v>
      </c>
      <c r="D22" s="315">
        <v>1</v>
      </c>
      <c r="E22" s="315">
        <v>0</v>
      </c>
      <c r="F22" s="315">
        <v>1</v>
      </c>
    </row>
    <row r="23" spans="1:6" ht="10.5" customHeight="1" x14ac:dyDescent="0.2">
      <c r="A23" s="2" t="s">
        <v>18</v>
      </c>
      <c r="B23" s="315">
        <v>0</v>
      </c>
      <c r="C23" s="315">
        <v>1</v>
      </c>
      <c r="D23" s="315">
        <v>5</v>
      </c>
      <c r="E23" s="315">
        <v>2</v>
      </c>
      <c r="F23" s="315">
        <v>3</v>
      </c>
    </row>
    <row r="24" spans="1:6" ht="5.25" customHeight="1" x14ac:dyDescent="0.2"/>
    <row r="25" spans="1:6" x14ac:dyDescent="0.2">
      <c r="A25" s="623" t="s">
        <v>1921</v>
      </c>
      <c r="B25" s="623"/>
      <c r="C25" s="623"/>
      <c r="D25" s="623"/>
      <c r="E25" s="623"/>
      <c r="F25" s="623"/>
    </row>
    <row r="26" spans="1:6" x14ac:dyDescent="0.2">
      <c r="A26" s="2" t="s">
        <v>1922</v>
      </c>
    </row>
    <row r="27" spans="1:6" x14ac:dyDescent="0.2">
      <c r="A27" s="2" t="s">
        <v>1923</v>
      </c>
    </row>
    <row r="28" spans="1:6" x14ac:dyDescent="0.2">
      <c r="A28" s="2" t="s">
        <v>1924</v>
      </c>
    </row>
    <row r="29" spans="1:6" x14ac:dyDescent="0.2">
      <c r="A29" s="2" t="s">
        <v>1925</v>
      </c>
    </row>
    <row r="30" spans="1:6" x14ac:dyDescent="0.2">
      <c r="A30" s="623" t="s">
        <v>19</v>
      </c>
      <c r="B30" s="623"/>
      <c r="C30" s="623"/>
      <c r="D30" s="623"/>
      <c r="E30" s="623"/>
      <c r="F30" s="623"/>
    </row>
    <row r="31" spans="1:6" x14ac:dyDescent="0.2">
      <c r="A31" s="623" t="s">
        <v>1058</v>
      </c>
      <c r="B31" s="623"/>
      <c r="C31" s="623"/>
      <c r="D31" s="623"/>
      <c r="E31" s="623"/>
      <c r="F31" s="623"/>
    </row>
  </sheetData>
  <mergeCells count="5">
    <mergeCell ref="A2:F2"/>
    <mergeCell ref="B3:D3"/>
    <mergeCell ref="A25:F25"/>
    <mergeCell ref="A30:F30"/>
    <mergeCell ref="A31:F31"/>
  </mergeCells>
  <pageMargins left="0.7" right="0.7" top="0.75" bottom="0.75" header="0.3" footer="0.3"/>
  <pageSetup paperSize="14"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E00173-D6F8-45A2-B194-084C1DED43F4}">
  <sheetPr codeName="Hoja12"/>
  <dimension ref="A2:F60"/>
  <sheetViews>
    <sheetView zoomScaleNormal="100" workbookViewId="0"/>
  </sheetViews>
  <sheetFormatPr baseColWidth="10" defaultRowHeight="13.2" x14ac:dyDescent="0.25"/>
  <cols>
    <col min="1" max="1" width="51" style="79" customWidth="1"/>
    <col min="2" max="3" width="17.109375" style="79" bestFit="1" customWidth="1"/>
    <col min="4" max="6" width="17.6640625" style="79" bestFit="1" customWidth="1"/>
    <col min="7" max="16384" width="11.5546875" style="79"/>
  </cols>
  <sheetData>
    <row r="2" spans="1:6" x14ac:dyDescent="0.25">
      <c r="A2" s="85" t="s">
        <v>96</v>
      </c>
    </row>
    <row r="3" spans="1:6" x14ac:dyDescent="0.25">
      <c r="A3" s="141"/>
      <c r="B3" s="141"/>
      <c r="C3" s="62"/>
      <c r="D3" s="62"/>
      <c r="E3" s="62"/>
      <c r="F3" s="62"/>
    </row>
    <row r="4" spans="1:6" s="62" customFormat="1" ht="15" customHeight="1" x14ac:dyDescent="0.2">
      <c r="A4" s="142" t="s">
        <v>141</v>
      </c>
      <c r="B4" s="143" t="s">
        <v>180</v>
      </c>
      <c r="C4" s="143"/>
      <c r="D4" s="143"/>
      <c r="E4" s="143"/>
      <c r="F4" s="143"/>
    </row>
    <row r="5" spans="1:6" s="62" customFormat="1" ht="10.199999999999999" x14ac:dyDescent="0.2">
      <c r="A5" s="144"/>
      <c r="B5" s="145">
        <v>2009</v>
      </c>
      <c r="C5" s="145">
        <v>2010</v>
      </c>
      <c r="D5" s="145">
        <v>2011</v>
      </c>
      <c r="E5" s="145">
        <v>2012</v>
      </c>
      <c r="F5" s="145">
        <v>2013</v>
      </c>
    </row>
    <row r="6" spans="1:6" s="62" customFormat="1" ht="10.199999999999999" x14ac:dyDescent="0.2">
      <c r="A6" s="146" t="s">
        <v>143</v>
      </c>
      <c r="B6" s="147">
        <f>SUM(B7)</f>
        <v>11681179</v>
      </c>
      <c r="C6" s="147">
        <f>SUM(C7)</f>
        <v>12335358</v>
      </c>
      <c r="D6" s="147">
        <f>SUM(D7)</f>
        <v>16073188</v>
      </c>
      <c r="E6" s="147">
        <f>SUM(E7)</f>
        <v>16993413</v>
      </c>
      <c r="F6" s="147">
        <f>SUM(F7)</f>
        <v>6539517</v>
      </c>
    </row>
    <row r="7" spans="1:6" s="62" customFormat="1" ht="10.199999999999999" x14ac:dyDescent="0.2">
      <c r="A7" s="148" t="s">
        <v>144</v>
      </c>
      <c r="B7" s="147">
        <f>SUM(B8:B9)</f>
        <v>11681179</v>
      </c>
      <c r="C7" s="147">
        <f>SUM(C8:C9)</f>
        <v>12335358</v>
      </c>
      <c r="D7" s="147">
        <f>SUM(D8:D9)</f>
        <v>16073188</v>
      </c>
      <c r="E7" s="147">
        <f>SUM(E8:E9)</f>
        <v>16993413</v>
      </c>
      <c r="F7" s="147">
        <f>SUM(F8:F9)</f>
        <v>6539517</v>
      </c>
    </row>
    <row r="8" spans="1:6" s="62" customFormat="1" ht="10.199999999999999" x14ac:dyDescent="0.2">
      <c r="A8" s="119" t="s">
        <v>181</v>
      </c>
      <c r="B8" s="121">
        <v>11681179</v>
      </c>
      <c r="C8" s="121">
        <v>6395220</v>
      </c>
      <c r="D8" s="121">
        <v>14511852</v>
      </c>
      <c r="E8" s="121">
        <v>15076109</v>
      </c>
      <c r="F8" s="122">
        <v>5907195</v>
      </c>
    </row>
    <row r="9" spans="1:6" s="62" customFormat="1" ht="10.199999999999999" x14ac:dyDescent="0.2">
      <c r="A9" s="119" t="s">
        <v>182</v>
      </c>
      <c r="B9" s="121">
        <v>0</v>
      </c>
      <c r="C9" s="121">
        <v>5940138</v>
      </c>
      <c r="D9" s="123">
        <v>1561336</v>
      </c>
      <c r="E9" s="123">
        <v>1917304</v>
      </c>
      <c r="F9" s="122">
        <v>632322</v>
      </c>
    </row>
    <row r="10" spans="1:6" s="62" customFormat="1" ht="20.399999999999999" x14ac:dyDescent="0.2">
      <c r="A10" s="124" t="s">
        <v>147</v>
      </c>
      <c r="B10" s="117">
        <f>SUM(B11)</f>
        <v>111209916</v>
      </c>
      <c r="C10" s="117">
        <f>SUM(C11)</f>
        <v>134737218</v>
      </c>
      <c r="D10" s="117">
        <f>SUM(D11)</f>
        <v>138867789</v>
      </c>
      <c r="E10" s="117">
        <f>SUM(E11)</f>
        <v>194578031</v>
      </c>
      <c r="F10" s="117">
        <f>SUM(F11)</f>
        <v>170299927</v>
      </c>
    </row>
    <row r="11" spans="1:6" s="62" customFormat="1" ht="10.199999999999999" x14ac:dyDescent="0.2">
      <c r="A11" s="148" t="s">
        <v>144</v>
      </c>
      <c r="B11" s="117">
        <f>SUM(B12:B13)</f>
        <v>111209916</v>
      </c>
      <c r="C11" s="117">
        <f>SUM(C12:C13)</f>
        <v>134737218</v>
      </c>
      <c r="D11" s="117">
        <f>SUM(D12:D13)</f>
        <v>138867789</v>
      </c>
      <c r="E11" s="117">
        <f>SUM(E12:E13)</f>
        <v>194578031</v>
      </c>
      <c r="F11" s="117">
        <f>SUM(F12:F13)</f>
        <v>170299927</v>
      </c>
    </row>
    <row r="12" spans="1:6" s="62" customFormat="1" ht="10.199999999999999" x14ac:dyDescent="0.2">
      <c r="A12" s="149" t="s">
        <v>183</v>
      </c>
      <c r="B12" s="126">
        <v>66943607</v>
      </c>
      <c r="C12" s="126">
        <v>102063257</v>
      </c>
      <c r="D12" s="126">
        <v>98760765</v>
      </c>
      <c r="E12" s="127">
        <v>98166671</v>
      </c>
      <c r="F12" s="128">
        <v>98543471</v>
      </c>
    </row>
    <row r="13" spans="1:6" s="62" customFormat="1" ht="10.199999999999999" x14ac:dyDescent="0.2">
      <c r="A13" s="149" t="s">
        <v>184</v>
      </c>
      <c r="B13" s="126">
        <v>44266309</v>
      </c>
      <c r="C13" s="126">
        <v>32673961</v>
      </c>
      <c r="D13" s="126">
        <v>40107024</v>
      </c>
      <c r="E13" s="127">
        <v>96411360</v>
      </c>
      <c r="F13" s="128">
        <v>71756456</v>
      </c>
    </row>
    <row r="14" spans="1:6" s="62" customFormat="1" ht="10.199999999999999" x14ac:dyDescent="0.2">
      <c r="A14" s="146" t="s">
        <v>153</v>
      </c>
      <c r="B14" s="117">
        <f>SUM(B15+B19+B23)</f>
        <v>7265824188</v>
      </c>
      <c r="C14" s="117">
        <f>SUM(C15+C19+C23)</f>
        <v>9241589192</v>
      </c>
      <c r="D14" s="117">
        <f>SUM(D15+D19+D23)</f>
        <v>10223383908</v>
      </c>
      <c r="E14" s="117">
        <f>SUM(E15+E19+E23)</f>
        <v>12297227789</v>
      </c>
      <c r="F14" s="117">
        <f>SUM(F15+F19+F23)</f>
        <v>14093446298</v>
      </c>
    </row>
    <row r="15" spans="1:6" s="62" customFormat="1" ht="10.199999999999999" x14ac:dyDescent="0.2">
      <c r="A15" s="148" t="s">
        <v>154</v>
      </c>
      <c r="B15" s="117">
        <f>SUM(B16:B18)</f>
        <v>5521731157</v>
      </c>
      <c r="C15" s="117">
        <f>SUM(C16:C18)</f>
        <v>7008109839</v>
      </c>
      <c r="D15" s="117">
        <f>SUM(D16:D18)</f>
        <v>7844990076</v>
      </c>
      <c r="E15" s="117">
        <f>SUM(E16:E18)</f>
        <v>9235984781</v>
      </c>
      <c r="F15" s="117">
        <f>SUM(F16:F18)</f>
        <v>10588567636</v>
      </c>
    </row>
    <row r="16" spans="1:6" s="62" customFormat="1" ht="10.199999999999999" x14ac:dyDescent="0.2">
      <c r="A16" s="119" t="s">
        <v>183</v>
      </c>
      <c r="B16" s="134">
        <v>1040701491</v>
      </c>
      <c r="C16" s="134">
        <v>1178419120</v>
      </c>
      <c r="D16" s="150">
        <v>1307132912</v>
      </c>
      <c r="E16" s="150">
        <v>1474820887</v>
      </c>
      <c r="F16" s="134">
        <v>1810278275</v>
      </c>
    </row>
    <row r="17" spans="1:6" s="62" customFormat="1" ht="10.199999999999999" x14ac:dyDescent="0.2">
      <c r="A17" s="119" t="s">
        <v>185</v>
      </c>
      <c r="B17" s="134">
        <v>1920623381</v>
      </c>
      <c r="C17" s="134">
        <v>2268375174</v>
      </c>
      <c r="D17" s="150">
        <v>2508433594</v>
      </c>
      <c r="E17" s="150">
        <v>2964090787</v>
      </c>
      <c r="F17" s="134">
        <v>3433107578</v>
      </c>
    </row>
    <row r="18" spans="1:6" s="62" customFormat="1" ht="10.199999999999999" x14ac:dyDescent="0.2">
      <c r="A18" s="119" t="s">
        <v>186</v>
      </c>
      <c r="B18" s="134">
        <v>2560406285</v>
      </c>
      <c r="C18" s="134">
        <v>3561315545</v>
      </c>
      <c r="D18" s="150">
        <v>4029423570</v>
      </c>
      <c r="E18" s="150">
        <v>4797073107</v>
      </c>
      <c r="F18" s="134">
        <v>5345181783</v>
      </c>
    </row>
    <row r="19" spans="1:6" s="63" customFormat="1" ht="10.199999999999999" x14ac:dyDescent="0.2">
      <c r="A19" s="148" t="s">
        <v>163</v>
      </c>
      <c r="B19" s="117">
        <f>SUM(B20:B22)</f>
        <v>94999952</v>
      </c>
      <c r="C19" s="117">
        <f>SUM(C20:C22)</f>
        <v>87772250</v>
      </c>
      <c r="D19" s="117">
        <f>SUM(D20:D22)</f>
        <v>74340998</v>
      </c>
      <c r="E19" s="117">
        <f>SUM(E20:E22)</f>
        <v>186162609</v>
      </c>
      <c r="F19" s="117">
        <f>SUM(F20:F22)</f>
        <v>149283568</v>
      </c>
    </row>
    <row r="20" spans="1:6" s="62" customFormat="1" ht="10.199999999999999" x14ac:dyDescent="0.2">
      <c r="A20" s="119" t="s">
        <v>187</v>
      </c>
      <c r="B20" s="122">
        <v>53584187</v>
      </c>
      <c r="C20" s="134">
        <v>53118338</v>
      </c>
      <c r="D20" s="151">
        <v>40229791</v>
      </c>
      <c r="E20" s="151">
        <v>77613888</v>
      </c>
      <c r="F20" s="134">
        <v>69678766</v>
      </c>
    </row>
    <row r="21" spans="1:6" s="62" customFormat="1" ht="10.199999999999999" x14ac:dyDescent="0.2">
      <c r="A21" s="119" t="s">
        <v>188</v>
      </c>
      <c r="B21" s="122">
        <v>2851179</v>
      </c>
      <c r="C21" s="134">
        <v>3867812</v>
      </c>
      <c r="D21" s="151">
        <v>4231630</v>
      </c>
      <c r="E21" s="151">
        <v>11079180</v>
      </c>
      <c r="F21" s="134">
        <v>12831255</v>
      </c>
    </row>
    <row r="22" spans="1:6" s="62" customFormat="1" ht="10.199999999999999" x14ac:dyDescent="0.2">
      <c r="A22" s="119" t="s">
        <v>189</v>
      </c>
      <c r="B22" s="122">
        <v>38564586</v>
      </c>
      <c r="C22" s="134">
        <v>30786100</v>
      </c>
      <c r="D22" s="151">
        <v>29879577</v>
      </c>
      <c r="E22" s="151">
        <v>97469541</v>
      </c>
      <c r="F22" s="134">
        <v>66773547</v>
      </c>
    </row>
    <row r="23" spans="1:6" s="63" customFormat="1" ht="10.199999999999999" x14ac:dyDescent="0.2">
      <c r="A23" s="152" t="s">
        <v>164</v>
      </c>
      <c r="B23" s="117">
        <f>SUM(B24:B26)</f>
        <v>1649093079</v>
      </c>
      <c r="C23" s="117">
        <f>SUM(C24:C26)</f>
        <v>2145707103</v>
      </c>
      <c r="D23" s="117">
        <f>SUM(D24:D26)</f>
        <v>2304052834</v>
      </c>
      <c r="E23" s="117">
        <f>SUM(E24:E26)</f>
        <v>2875080399</v>
      </c>
      <c r="F23" s="117">
        <f>SUM(F24:F26)</f>
        <v>3355595094</v>
      </c>
    </row>
    <row r="24" spans="1:6" s="62" customFormat="1" ht="10.199999999999999" x14ac:dyDescent="0.2">
      <c r="A24" s="119" t="s">
        <v>190</v>
      </c>
      <c r="B24" s="134">
        <v>631416742</v>
      </c>
      <c r="C24" s="134">
        <v>979525761</v>
      </c>
      <c r="D24" s="150">
        <v>886376463</v>
      </c>
      <c r="E24" s="150">
        <v>1186621756</v>
      </c>
      <c r="F24" s="134">
        <v>1484043907</v>
      </c>
    </row>
    <row r="25" spans="1:6" s="62" customFormat="1" ht="10.199999999999999" x14ac:dyDescent="0.2">
      <c r="A25" s="119" t="s">
        <v>191</v>
      </c>
      <c r="B25" s="134">
        <v>939760623</v>
      </c>
      <c r="C25" s="134">
        <v>1061975677</v>
      </c>
      <c r="D25" s="150">
        <v>1298667173</v>
      </c>
      <c r="E25" s="150">
        <v>1534445533</v>
      </c>
      <c r="F25" s="134">
        <v>1682633226</v>
      </c>
    </row>
    <row r="26" spans="1:6" s="62" customFormat="1" ht="10.199999999999999" x14ac:dyDescent="0.2">
      <c r="A26" s="119" t="s">
        <v>192</v>
      </c>
      <c r="B26" s="134">
        <v>77915714</v>
      </c>
      <c r="C26" s="134">
        <v>104205665</v>
      </c>
      <c r="D26" s="150">
        <v>119009198</v>
      </c>
      <c r="E26" s="150">
        <v>154013110</v>
      </c>
      <c r="F26" s="134">
        <v>188917961</v>
      </c>
    </row>
    <row r="27" spans="1:6" x14ac:dyDescent="0.25">
      <c r="A27" s="116" t="s">
        <v>167</v>
      </c>
      <c r="B27" s="136"/>
      <c r="C27" s="136"/>
      <c r="D27" s="136"/>
      <c r="E27" s="136"/>
      <c r="F27" s="136"/>
    </row>
    <row r="28" spans="1:6" x14ac:dyDescent="0.25">
      <c r="A28" s="118" t="s">
        <v>164</v>
      </c>
      <c r="B28" s="153" t="s">
        <v>193</v>
      </c>
      <c r="C28" s="153" t="s">
        <v>193</v>
      </c>
      <c r="D28" s="153" t="s">
        <v>193</v>
      </c>
      <c r="E28" s="147">
        <f>SUM(E29:E35)</f>
        <v>1251652110</v>
      </c>
      <c r="F28" s="147">
        <f>SUM(F29:F35)</f>
        <v>1533229755</v>
      </c>
    </row>
    <row r="29" spans="1:6" x14ac:dyDescent="0.25">
      <c r="A29" s="78" t="s">
        <v>176</v>
      </c>
      <c r="B29" s="154" t="s">
        <v>193</v>
      </c>
      <c r="C29" s="154" t="s">
        <v>193</v>
      </c>
      <c r="D29" s="154" t="s">
        <v>193</v>
      </c>
      <c r="E29" s="139">
        <v>218839104</v>
      </c>
      <c r="F29" s="139">
        <v>126319059</v>
      </c>
    </row>
    <row r="30" spans="1:6" x14ac:dyDescent="0.25">
      <c r="A30" s="78" t="s">
        <v>194</v>
      </c>
      <c r="B30" s="154" t="s">
        <v>193</v>
      </c>
      <c r="C30" s="154" t="s">
        <v>193</v>
      </c>
      <c r="D30" s="154" t="s">
        <v>193</v>
      </c>
      <c r="E30" s="139">
        <v>151658490</v>
      </c>
      <c r="F30" s="139">
        <v>174659001</v>
      </c>
    </row>
    <row r="31" spans="1:6" x14ac:dyDescent="0.25">
      <c r="A31" s="78" t="s">
        <v>177</v>
      </c>
      <c r="B31" s="154" t="s">
        <v>193</v>
      </c>
      <c r="C31" s="154" t="s">
        <v>193</v>
      </c>
      <c r="D31" s="154" t="s">
        <v>193</v>
      </c>
      <c r="E31" s="139">
        <v>126415049</v>
      </c>
      <c r="F31" s="139">
        <v>154688268</v>
      </c>
    </row>
    <row r="32" spans="1:6" x14ac:dyDescent="0.25">
      <c r="A32" s="78" t="s">
        <v>173</v>
      </c>
      <c r="B32" s="154" t="s">
        <v>193</v>
      </c>
      <c r="C32" s="154" t="s">
        <v>193</v>
      </c>
      <c r="D32" s="154" t="s">
        <v>193</v>
      </c>
      <c r="E32" s="139">
        <v>211138038</v>
      </c>
      <c r="F32" s="139">
        <v>474648056</v>
      </c>
    </row>
    <row r="33" spans="1:6" x14ac:dyDescent="0.25">
      <c r="A33" s="78" t="s">
        <v>195</v>
      </c>
      <c r="B33" s="154" t="s">
        <v>193</v>
      </c>
      <c r="C33" s="154" t="s">
        <v>193</v>
      </c>
      <c r="D33" s="154" t="s">
        <v>193</v>
      </c>
      <c r="E33" s="139">
        <v>315944116</v>
      </c>
      <c r="F33" s="139">
        <v>296902258</v>
      </c>
    </row>
    <row r="34" spans="1:6" x14ac:dyDescent="0.25">
      <c r="A34" s="78" t="s">
        <v>175</v>
      </c>
      <c r="B34" s="154" t="s">
        <v>193</v>
      </c>
      <c r="C34" s="154" t="s">
        <v>193</v>
      </c>
      <c r="D34" s="154" t="s">
        <v>193</v>
      </c>
      <c r="E34" s="139">
        <v>227657313</v>
      </c>
      <c r="F34" s="139">
        <v>237543796</v>
      </c>
    </row>
    <row r="35" spans="1:6" x14ac:dyDescent="0.25">
      <c r="A35" s="78" t="s">
        <v>178</v>
      </c>
      <c r="B35" s="154" t="s">
        <v>193</v>
      </c>
      <c r="C35" s="154" t="s">
        <v>193</v>
      </c>
      <c r="D35" s="154" t="s">
        <v>193</v>
      </c>
      <c r="E35" s="139">
        <v>0</v>
      </c>
      <c r="F35" s="139">
        <v>68469317</v>
      </c>
    </row>
    <row r="36" spans="1:6" x14ac:dyDescent="0.25">
      <c r="A36" s="118" t="s">
        <v>196</v>
      </c>
      <c r="B36" s="153" t="s">
        <v>193</v>
      </c>
      <c r="C36" s="153" t="s">
        <v>193</v>
      </c>
      <c r="D36" s="153" t="s">
        <v>193</v>
      </c>
      <c r="E36" s="137">
        <f>SUM(E37:E43)</f>
        <v>210330268</v>
      </c>
      <c r="F36" s="137">
        <f>SUM(F37:F43)</f>
        <v>313159839</v>
      </c>
    </row>
    <row r="37" spans="1:6" x14ac:dyDescent="0.25">
      <c r="A37" s="138" t="s">
        <v>194</v>
      </c>
      <c r="B37" s="154" t="s">
        <v>193</v>
      </c>
      <c r="C37" s="154" t="s">
        <v>193</v>
      </c>
      <c r="D37" s="154" t="s">
        <v>193</v>
      </c>
      <c r="E37" s="139">
        <v>26194647</v>
      </c>
      <c r="F37" s="139">
        <v>41247832</v>
      </c>
    </row>
    <row r="38" spans="1:6" x14ac:dyDescent="0.25">
      <c r="A38" s="138" t="s">
        <v>173</v>
      </c>
      <c r="B38" s="154" t="s">
        <v>193</v>
      </c>
      <c r="C38" s="154" t="s">
        <v>193</v>
      </c>
      <c r="D38" s="154" t="s">
        <v>193</v>
      </c>
      <c r="E38" s="139">
        <v>27205668</v>
      </c>
      <c r="F38" s="139">
        <v>85060475</v>
      </c>
    </row>
    <row r="39" spans="1:6" x14ac:dyDescent="0.25">
      <c r="A39" s="138" t="s">
        <v>195</v>
      </c>
      <c r="B39" s="154" t="s">
        <v>193</v>
      </c>
      <c r="C39" s="154" t="s">
        <v>193</v>
      </c>
      <c r="D39" s="154" t="s">
        <v>193</v>
      </c>
      <c r="E39" s="139">
        <v>42009485</v>
      </c>
      <c r="F39" s="139">
        <v>54413753</v>
      </c>
    </row>
    <row r="40" spans="1:6" x14ac:dyDescent="0.25">
      <c r="A40" s="138" t="s">
        <v>175</v>
      </c>
      <c r="B40" s="154" t="s">
        <v>193</v>
      </c>
      <c r="C40" s="154" t="s">
        <v>193</v>
      </c>
      <c r="D40" s="154" t="s">
        <v>193</v>
      </c>
      <c r="E40" s="139">
        <v>24937440</v>
      </c>
      <c r="F40" s="139">
        <v>55506512</v>
      </c>
    </row>
    <row r="41" spans="1:6" x14ac:dyDescent="0.25">
      <c r="A41" s="138" t="s">
        <v>177</v>
      </c>
      <c r="B41" s="154" t="s">
        <v>193</v>
      </c>
      <c r="C41" s="154" t="s">
        <v>193</v>
      </c>
      <c r="D41" s="154" t="s">
        <v>193</v>
      </c>
      <c r="E41" s="139">
        <v>46233344</v>
      </c>
      <c r="F41" s="139">
        <v>31804938</v>
      </c>
    </row>
    <row r="42" spans="1:6" x14ac:dyDescent="0.25">
      <c r="A42" s="138" t="s">
        <v>176</v>
      </c>
      <c r="B42" s="154" t="s">
        <v>193</v>
      </c>
      <c r="C42" s="154" t="s">
        <v>193</v>
      </c>
      <c r="D42" s="154" t="s">
        <v>193</v>
      </c>
      <c r="E42" s="139">
        <v>40962989</v>
      </c>
      <c r="F42" s="139">
        <v>30851857</v>
      </c>
    </row>
    <row r="43" spans="1:6" x14ac:dyDescent="0.25">
      <c r="A43" s="138" t="s">
        <v>178</v>
      </c>
      <c r="B43" s="154" t="s">
        <v>193</v>
      </c>
      <c r="C43" s="154" t="s">
        <v>193</v>
      </c>
      <c r="D43" s="154" t="s">
        <v>193</v>
      </c>
      <c r="E43" s="139">
        <v>2786695</v>
      </c>
      <c r="F43" s="139">
        <v>14274472</v>
      </c>
    </row>
    <row r="44" spans="1:6" x14ac:dyDescent="0.25">
      <c r="A44" s="93"/>
    </row>
    <row r="45" spans="1:6" x14ac:dyDescent="0.25">
      <c r="A45" s="155" t="s">
        <v>197</v>
      </c>
    </row>
    <row r="46" spans="1:6" x14ac:dyDescent="0.25">
      <c r="A46" s="156" t="s">
        <v>198</v>
      </c>
    </row>
    <row r="47" spans="1:6" x14ac:dyDescent="0.25">
      <c r="A47" s="141" t="s">
        <v>179</v>
      </c>
    </row>
    <row r="48" spans="1:6" x14ac:dyDescent="0.25">
      <c r="A48" s="93"/>
    </row>
    <row r="49" spans="1:1" x14ac:dyDescent="0.25">
      <c r="A49" s="93"/>
    </row>
    <row r="50" spans="1:1" x14ac:dyDescent="0.25">
      <c r="A50" s="93"/>
    </row>
    <row r="51" spans="1:1" x14ac:dyDescent="0.25">
      <c r="A51" s="93"/>
    </row>
    <row r="52" spans="1:1" x14ac:dyDescent="0.25">
      <c r="A52" s="93"/>
    </row>
    <row r="54" spans="1:1" x14ac:dyDescent="0.25">
      <c r="A54" s="93"/>
    </row>
    <row r="55" spans="1:1" x14ac:dyDescent="0.25">
      <c r="A55" s="93"/>
    </row>
    <row r="56" spans="1:1" x14ac:dyDescent="0.25">
      <c r="A56" s="93"/>
    </row>
    <row r="57" spans="1:1" x14ac:dyDescent="0.25">
      <c r="A57" s="93"/>
    </row>
    <row r="58" spans="1:1" x14ac:dyDescent="0.25">
      <c r="A58" s="93"/>
    </row>
    <row r="59" spans="1:1" x14ac:dyDescent="0.25">
      <c r="A59" s="93"/>
    </row>
    <row r="60" spans="1:1" x14ac:dyDescent="0.25">
      <c r="A60" s="93"/>
    </row>
  </sheetData>
  <mergeCells count="2">
    <mergeCell ref="A4:A5"/>
    <mergeCell ref="B4:F4"/>
  </mergeCells>
  <pageMargins left="0.70866141732283472" right="0.70866141732283472" top="0.74803149606299213" bottom="0.74803149606299213" header="0.31496062992125984" footer="0.31496062992125984"/>
  <pageSetup paperSize="14" scale="85" orientation="landscape"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2C4DB9-C9EA-4254-9F71-28FA97345BC2}">
  <sheetPr codeName="Hoja120"/>
  <dimension ref="A2:F31"/>
  <sheetViews>
    <sheetView workbookViewId="0">
      <selection activeCell="D4" sqref="D4"/>
    </sheetView>
  </sheetViews>
  <sheetFormatPr baseColWidth="10" defaultColWidth="11.44140625" defaultRowHeight="10.199999999999999" x14ac:dyDescent="0.2"/>
  <cols>
    <col min="1" max="1" width="24.44140625" style="2" customWidth="1"/>
    <col min="2" max="16384" width="11.44140625" style="2"/>
  </cols>
  <sheetData>
    <row r="2" spans="1:6" ht="36" customHeight="1" x14ac:dyDescent="0.2">
      <c r="A2" s="45" t="s">
        <v>1121</v>
      </c>
      <c r="B2" s="45"/>
      <c r="C2" s="45"/>
      <c r="D2" s="45"/>
      <c r="E2" s="45"/>
      <c r="F2" s="45"/>
    </row>
    <row r="3" spans="1:6" x14ac:dyDescent="0.2">
      <c r="B3" s="623"/>
      <c r="C3" s="623"/>
      <c r="D3" s="623"/>
    </row>
    <row r="4" spans="1:6" ht="22.5" customHeight="1" x14ac:dyDescent="0.2">
      <c r="A4" s="644" t="s">
        <v>1920</v>
      </c>
      <c r="B4" s="644" t="s">
        <v>1045</v>
      </c>
      <c r="C4" s="644" t="s">
        <v>1046</v>
      </c>
      <c r="D4" s="644" t="s">
        <v>1047</v>
      </c>
      <c r="E4" s="644" t="s">
        <v>1048</v>
      </c>
      <c r="F4" s="644">
        <v>2013</v>
      </c>
    </row>
    <row r="5" spans="1:6" s="24" customFormat="1" x14ac:dyDescent="0.2">
      <c r="A5" s="24" t="s">
        <v>3</v>
      </c>
      <c r="B5" s="622">
        <f>SUM(B6:B23)</f>
        <v>51</v>
      </c>
      <c r="C5" s="622">
        <f>SUM(C6:C23)</f>
        <v>40</v>
      </c>
      <c r="D5" s="622">
        <f>SUM(D6:D23)</f>
        <v>127</v>
      </c>
      <c r="E5" s="622">
        <f>SUM(E6:E23)</f>
        <v>108</v>
      </c>
      <c r="F5" s="622">
        <f>SUM(F6:F23)</f>
        <v>122</v>
      </c>
    </row>
    <row r="6" spans="1:6" x14ac:dyDescent="0.2">
      <c r="A6" s="2" t="s">
        <v>4</v>
      </c>
      <c r="B6" s="315">
        <v>5</v>
      </c>
      <c r="C6" s="315">
        <v>7</v>
      </c>
      <c r="D6" s="315">
        <v>7</v>
      </c>
      <c r="E6" s="315">
        <v>7</v>
      </c>
      <c r="F6" s="315">
        <v>5</v>
      </c>
    </row>
    <row r="7" spans="1:6" x14ac:dyDescent="0.2">
      <c r="A7" s="2" t="s">
        <v>5</v>
      </c>
      <c r="B7" s="315">
        <v>10</v>
      </c>
      <c r="C7" s="315">
        <v>0</v>
      </c>
      <c r="D7" s="315">
        <v>2</v>
      </c>
      <c r="E7" s="315">
        <v>1</v>
      </c>
      <c r="F7" s="315">
        <v>3</v>
      </c>
    </row>
    <row r="8" spans="1:6" x14ac:dyDescent="0.2">
      <c r="A8" s="2" t="s">
        <v>6</v>
      </c>
      <c r="B8" s="315">
        <v>5</v>
      </c>
      <c r="C8" s="315">
        <v>7</v>
      </c>
      <c r="D8" s="315">
        <v>12</v>
      </c>
      <c r="E8" s="315">
        <v>3</v>
      </c>
      <c r="F8" s="315">
        <v>5</v>
      </c>
    </row>
    <row r="9" spans="1:6" x14ac:dyDescent="0.2">
      <c r="A9" s="2" t="s">
        <v>7</v>
      </c>
      <c r="B9" s="315">
        <v>8</v>
      </c>
      <c r="C9" s="315">
        <v>5</v>
      </c>
      <c r="D9" s="315">
        <v>7</v>
      </c>
      <c r="E9" s="315">
        <v>3</v>
      </c>
      <c r="F9" s="315">
        <v>8</v>
      </c>
    </row>
    <row r="10" spans="1:6" x14ac:dyDescent="0.2">
      <c r="A10" s="2" t="s">
        <v>8</v>
      </c>
      <c r="B10" s="315">
        <v>4</v>
      </c>
      <c r="C10" s="315">
        <v>4</v>
      </c>
      <c r="D10" s="315">
        <v>15</v>
      </c>
      <c r="E10" s="315">
        <v>10</v>
      </c>
      <c r="F10" s="315">
        <v>22</v>
      </c>
    </row>
    <row r="11" spans="1:6" x14ac:dyDescent="0.2">
      <c r="A11" s="2" t="s">
        <v>9</v>
      </c>
      <c r="B11" s="315">
        <v>6</v>
      </c>
      <c r="C11" s="315">
        <v>4</v>
      </c>
      <c r="D11" s="315">
        <v>22</v>
      </c>
      <c r="E11" s="315">
        <v>21</v>
      </c>
      <c r="F11" s="315">
        <v>19</v>
      </c>
    </row>
    <row r="12" spans="1:6" ht="10.5" customHeight="1" x14ac:dyDescent="0.2">
      <c r="A12" s="2" t="s">
        <v>1049</v>
      </c>
      <c r="B12" s="315">
        <v>1</v>
      </c>
      <c r="C12" s="315">
        <v>2</v>
      </c>
      <c r="D12" s="315">
        <v>9</v>
      </c>
      <c r="E12" s="315">
        <v>9</v>
      </c>
      <c r="F12" s="315">
        <v>16</v>
      </c>
    </row>
    <row r="13" spans="1:6" ht="10.5" customHeight="1" x14ac:dyDescent="0.2">
      <c r="A13" s="2" t="s">
        <v>1050</v>
      </c>
      <c r="B13" s="315">
        <v>4</v>
      </c>
      <c r="C13" s="315">
        <v>4</v>
      </c>
      <c r="D13" s="315">
        <v>12</v>
      </c>
      <c r="E13" s="315">
        <v>12</v>
      </c>
      <c r="F13" s="315">
        <v>8</v>
      </c>
    </row>
    <row r="14" spans="1:6" ht="10.5" customHeight="1" x14ac:dyDescent="0.2">
      <c r="A14" s="2" t="s">
        <v>1051</v>
      </c>
      <c r="B14" s="315">
        <v>1</v>
      </c>
      <c r="C14" s="315">
        <v>0</v>
      </c>
      <c r="D14" s="315">
        <v>3</v>
      </c>
      <c r="E14" s="315">
        <v>5</v>
      </c>
      <c r="F14" s="315">
        <v>4</v>
      </c>
    </row>
    <row r="15" spans="1:6" ht="10.5" customHeight="1" x14ac:dyDescent="0.2">
      <c r="A15" s="2" t="s">
        <v>1052</v>
      </c>
      <c r="B15" s="315">
        <v>3</v>
      </c>
      <c r="C15" s="315">
        <v>1</v>
      </c>
      <c r="D15" s="315">
        <v>3</v>
      </c>
      <c r="E15" s="315">
        <v>2</v>
      </c>
      <c r="F15" s="315">
        <v>4</v>
      </c>
    </row>
    <row r="16" spans="1:6" x14ac:dyDescent="0.2">
      <c r="A16" s="2" t="s">
        <v>134</v>
      </c>
      <c r="B16" s="315">
        <v>1</v>
      </c>
      <c r="C16" s="315">
        <v>0</v>
      </c>
      <c r="D16" s="315">
        <v>4</v>
      </c>
      <c r="E16" s="315">
        <v>3</v>
      </c>
      <c r="F16" s="315">
        <v>1</v>
      </c>
    </row>
    <row r="17" spans="1:6" x14ac:dyDescent="0.2">
      <c r="A17" s="2" t="s">
        <v>12</v>
      </c>
      <c r="B17" s="315">
        <v>1</v>
      </c>
      <c r="C17" s="315">
        <v>0</v>
      </c>
      <c r="D17" s="315">
        <v>5</v>
      </c>
      <c r="E17" s="315">
        <v>7</v>
      </c>
      <c r="F17" s="315">
        <v>11</v>
      </c>
    </row>
    <row r="18" spans="1:6" x14ac:dyDescent="0.2">
      <c r="A18" s="2" t="s">
        <v>13</v>
      </c>
      <c r="B18" s="315">
        <v>0</v>
      </c>
      <c r="C18" s="315">
        <v>1</v>
      </c>
      <c r="D18" s="315">
        <v>8</v>
      </c>
      <c r="E18" s="315">
        <v>6</v>
      </c>
      <c r="F18" s="315">
        <v>3</v>
      </c>
    </row>
    <row r="19" spans="1:6" x14ac:dyDescent="0.2">
      <c r="A19" s="2" t="s">
        <v>14</v>
      </c>
      <c r="B19" s="315">
        <v>1</v>
      </c>
      <c r="C19" s="315">
        <v>3</v>
      </c>
      <c r="D19" s="315">
        <v>5</v>
      </c>
      <c r="E19" s="315">
        <v>4</v>
      </c>
      <c r="F19" s="315">
        <v>3</v>
      </c>
    </row>
    <row r="20" spans="1:6" x14ac:dyDescent="0.2">
      <c r="A20" s="2" t="s">
        <v>135</v>
      </c>
      <c r="B20" s="315">
        <v>1</v>
      </c>
      <c r="C20" s="315">
        <v>1</v>
      </c>
      <c r="D20" s="315">
        <v>9</v>
      </c>
      <c r="E20" s="315">
        <v>6</v>
      </c>
      <c r="F20" s="315">
        <v>3</v>
      </c>
    </row>
    <row r="21" spans="1:6" x14ac:dyDescent="0.2">
      <c r="A21" s="2" t="s">
        <v>136</v>
      </c>
      <c r="B21" s="315">
        <v>0</v>
      </c>
      <c r="C21" s="315">
        <v>0</v>
      </c>
      <c r="D21" s="315">
        <v>1</v>
      </c>
      <c r="E21" s="315">
        <v>6</v>
      </c>
      <c r="F21" s="315">
        <v>1</v>
      </c>
    </row>
    <row r="22" spans="1:6" ht="10.5" customHeight="1" x14ac:dyDescent="0.2">
      <c r="A22" s="2" t="s">
        <v>17</v>
      </c>
      <c r="B22" s="315">
        <v>0</v>
      </c>
      <c r="C22" s="315">
        <v>1</v>
      </c>
      <c r="D22" s="315">
        <v>1</v>
      </c>
      <c r="E22" s="315">
        <v>0</v>
      </c>
      <c r="F22" s="315">
        <v>1</v>
      </c>
    </row>
    <row r="23" spans="1:6" ht="10.5" customHeight="1" x14ac:dyDescent="0.2">
      <c r="A23" s="2" t="s">
        <v>18</v>
      </c>
      <c r="B23" s="315">
        <v>0</v>
      </c>
      <c r="C23" s="315">
        <v>0</v>
      </c>
      <c r="D23" s="315">
        <v>2</v>
      </c>
      <c r="E23" s="315">
        <v>3</v>
      </c>
      <c r="F23" s="315">
        <v>5</v>
      </c>
    </row>
    <row r="24" spans="1:6" ht="7.5" customHeight="1" x14ac:dyDescent="0.2"/>
    <row r="25" spans="1:6" x14ac:dyDescent="0.2">
      <c r="A25" s="623" t="s">
        <v>1926</v>
      </c>
      <c r="B25" s="623"/>
      <c r="C25" s="623"/>
      <c r="D25" s="623"/>
      <c r="E25" s="623"/>
      <c r="F25" s="623"/>
    </row>
    <row r="26" spans="1:6" x14ac:dyDescent="0.2">
      <c r="A26" s="2" t="s">
        <v>1922</v>
      </c>
    </row>
    <row r="27" spans="1:6" x14ac:dyDescent="0.2">
      <c r="A27" s="2" t="s">
        <v>1923</v>
      </c>
    </row>
    <row r="28" spans="1:6" x14ac:dyDescent="0.2">
      <c r="A28" s="2" t="s">
        <v>1924</v>
      </c>
    </row>
    <row r="29" spans="1:6" x14ac:dyDescent="0.2">
      <c r="A29" s="2" t="s">
        <v>1925</v>
      </c>
    </row>
    <row r="30" spans="1:6" x14ac:dyDescent="0.2">
      <c r="A30" s="623" t="s">
        <v>19</v>
      </c>
      <c r="B30" s="623"/>
      <c r="C30" s="623"/>
      <c r="D30" s="623"/>
      <c r="E30" s="623"/>
      <c r="F30" s="623"/>
    </row>
    <row r="31" spans="1:6" x14ac:dyDescent="0.2">
      <c r="A31" s="623" t="s">
        <v>1058</v>
      </c>
      <c r="B31" s="623"/>
      <c r="C31" s="623"/>
      <c r="D31" s="623"/>
      <c r="E31" s="623"/>
      <c r="F31" s="623"/>
    </row>
  </sheetData>
  <mergeCells count="5">
    <mergeCell ref="A2:F2"/>
    <mergeCell ref="B3:D3"/>
    <mergeCell ref="A25:F25"/>
    <mergeCell ref="A30:F30"/>
    <mergeCell ref="A31:F31"/>
  </mergeCells>
  <pageMargins left="0.7" right="0.7" top="0.75" bottom="0.75" header="0.3" footer="0.3"/>
  <pageSetup paperSize="14"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67715C-1966-44DD-B9F6-F8A7B89F156D}">
  <sheetPr codeName="Hoja121"/>
  <dimension ref="A2:F32"/>
  <sheetViews>
    <sheetView workbookViewId="0">
      <selection activeCell="D4" sqref="D4"/>
    </sheetView>
  </sheetViews>
  <sheetFormatPr baseColWidth="10" defaultColWidth="11.44140625" defaultRowHeight="10.199999999999999" x14ac:dyDescent="0.2"/>
  <cols>
    <col min="1" max="1" width="26.44140625" style="2" customWidth="1"/>
    <col min="2" max="16384" width="11.44140625" style="2"/>
  </cols>
  <sheetData>
    <row r="2" spans="1:6" ht="34.5" customHeight="1" x14ac:dyDescent="0.2">
      <c r="A2" s="45" t="s">
        <v>1122</v>
      </c>
      <c r="B2" s="45"/>
      <c r="C2" s="45"/>
      <c r="D2" s="45"/>
      <c r="E2" s="45"/>
      <c r="F2" s="45"/>
    </row>
    <row r="4" spans="1:6" ht="37.5" customHeight="1" x14ac:dyDescent="0.2">
      <c r="A4" s="298" t="s">
        <v>1920</v>
      </c>
      <c r="B4" s="298" t="s">
        <v>1927</v>
      </c>
      <c r="C4" s="298"/>
      <c r="D4" s="298"/>
      <c r="E4" s="298"/>
      <c r="F4" s="298"/>
    </row>
    <row r="5" spans="1:6" ht="18" customHeight="1" x14ac:dyDescent="0.2">
      <c r="A5" s="298"/>
      <c r="B5" s="644" t="s">
        <v>1045</v>
      </c>
      <c r="C5" s="644" t="s">
        <v>1046</v>
      </c>
      <c r="D5" s="644" t="s">
        <v>1047</v>
      </c>
      <c r="E5" s="644" t="s">
        <v>1048</v>
      </c>
      <c r="F5" s="644">
        <v>2013</v>
      </c>
    </row>
    <row r="6" spans="1:6" s="24" customFormat="1" x14ac:dyDescent="0.2">
      <c r="A6" s="24" t="s">
        <v>3</v>
      </c>
      <c r="B6" s="622">
        <f>SUM(B7:B24)</f>
        <v>3</v>
      </c>
      <c r="C6" s="622">
        <f>SUM(C7:C24)</f>
        <v>0</v>
      </c>
      <c r="D6" s="622">
        <f>SUM(D7:D24)</f>
        <v>18</v>
      </c>
      <c r="E6" s="622">
        <f>SUM(E7:E24)</f>
        <v>14</v>
      </c>
      <c r="F6" s="622">
        <f>SUM(F7:F24)</f>
        <v>14</v>
      </c>
    </row>
    <row r="7" spans="1:6" x14ac:dyDescent="0.2">
      <c r="A7" s="2" t="s">
        <v>4</v>
      </c>
      <c r="B7" s="315">
        <v>0</v>
      </c>
      <c r="C7" s="315">
        <v>0</v>
      </c>
      <c r="D7" s="315">
        <v>0</v>
      </c>
      <c r="E7" s="315">
        <v>2</v>
      </c>
      <c r="F7" s="315">
        <v>0</v>
      </c>
    </row>
    <row r="8" spans="1:6" x14ac:dyDescent="0.2">
      <c r="A8" s="2" t="s">
        <v>5</v>
      </c>
      <c r="B8" s="315">
        <v>0</v>
      </c>
      <c r="C8" s="315">
        <v>0</v>
      </c>
      <c r="D8" s="315">
        <v>0</v>
      </c>
      <c r="E8" s="315">
        <v>0</v>
      </c>
      <c r="F8" s="315">
        <v>0</v>
      </c>
    </row>
    <row r="9" spans="1:6" x14ac:dyDescent="0.2">
      <c r="A9" s="2" t="s">
        <v>6</v>
      </c>
      <c r="B9" s="315">
        <v>0</v>
      </c>
      <c r="C9" s="315">
        <v>0</v>
      </c>
      <c r="D9" s="315">
        <v>0</v>
      </c>
      <c r="E9" s="315">
        <v>0</v>
      </c>
      <c r="F9" s="315">
        <v>0</v>
      </c>
    </row>
    <row r="10" spans="1:6" x14ac:dyDescent="0.2">
      <c r="A10" s="2" t="s">
        <v>7</v>
      </c>
      <c r="B10" s="315">
        <v>0</v>
      </c>
      <c r="C10" s="315">
        <v>0</v>
      </c>
      <c r="D10" s="315">
        <v>0</v>
      </c>
      <c r="E10" s="315">
        <v>0</v>
      </c>
      <c r="F10" s="315">
        <v>0</v>
      </c>
    </row>
    <row r="11" spans="1:6" x14ac:dyDescent="0.2">
      <c r="A11" s="2" t="s">
        <v>8</v>
      </c>
      <c r="B11" s="315">
        <v>0</v>
      </c>
      <c r="C11" s="315">
        <v>0</v>
      </c>
      <c r="D11" s="315">
        <v>6</v>
      </c>
      <c r="E11" s="315">
        <v>3</v>
      </c>
      <c r="F11" s="315">
        <v>6</v>
      </c>
    </row>
    <row r="12" spans="1:6" x14ac:dyDescent="0.2">
      <c r="A12" s="2" t="s">
        <v>9</v>
      </c>
      <c r="B12" s="315">
        <v>0</v>
      </c>
      <c r="C12" s="315">
        <v>0</v>
      </c>
      <c r="D12" s="315">
        <v>1</v>
      </c>
      <c r="E12" s="315">
        <v>1</v>
      </c>
      <c r="F12" s="315">
        <v>0</v>
      </c>
    </row>
    <row r="13" spans="1:6" ht="12" x14ac:dyDescent="0.2">
      <c r="A13" s="2" t="s">
        <v>1049</v>
      </c>
      <c r="B13" s="315">
        <v>0</v>
      </c>
      <c r="C13" s="315">
        <v>0</v>
      </c>
      <c r="D13" s="315">
        <v>1</v>
      </c>
      <c r="E13" s="315">
        <v>0</v>
      </c>
      <c r="F13" s="315">
        <v>0</v>
      </c>
    </row>
    <row r="14" spans="1:6" ht="12" x14ac:dyDescent="0.2">
      <c r="A14" s="2" t="s">
        <v>1050</v>
      </c>
      <c r="B14" s="315">
        <v>0</v>
      </c>
      <c r="C14" s="315">
        <v>0</v>
      </c>
      <c r="D14" s="315">
        <v>8</v>
      </c>
      <c r="E14" s="315">
        <v>0</v>
      </c>
      <c r="F14" s="315">
        <v>1</v>
      </c>
    </row>
    <row r="15" spans="1:6" ht="12" x14ac:dyDescent="0.2">
      <c r="A15" s="2" t="s">
        <v>1051</v>
      </c>
      <c r="B15" s="315">
        <v>0</v>
      </c>
      <c r="C15" s="315">
        <v>0</v>
      </c>
      <c r="D15" s="315">
        <v>0</v>
      </c>
      <c r="E15" s="315">
        <v>0</v>
      </c>
      <c r="F15" s="315">
        <v>0</v>
      </c>
    </row>
    <row r="16" spans="1:6" ht="12" x14ac:dyDescent="0.2">
      <c r="A16" s="2" t="s">
        <v>1052</v>
      </c>
      <c r="B16" s="315">
        <v>0</v>
      </c>
      <c r="C16" s="315">
        <v>0</v>
      </c>
      <c r="D16" s="315">
        <v>0</v>
      </c>
      <c r="E16" s="315">
        <v>0</v>
      </c>
      <c r="F16" s="315">
        <v>0</v>
      </c>
    </row>
    <row r="17" spans="1:6" x14ac:dyDescent="0.2">
      <c r="A17" s="2" t="s">
        <v>134</v>
      </c>
      <c r="B17" s="315">
        <v>3</v>
      </c>
      <c r="C17" s="315">
        <v>0</v>
      </c>
      <c r="D17" s="315">
        <v>2</v>
      </c>
      <c r="E17" s="315">
        <v>1</v>
      </c>
      <c r="F17" s="315">
        <v>0</v>
      </c>
    </row>
    <row r="18" spans="1:6" x14ac:dyDescent="0.2">
      <c r="A18" s="2" t="s">
        <v>12</v>
      </c>
      <c r="B18" s="315">
        <v>0</v>
      </c>
      <c r="C18" s="315">
        <v>0</v>
      </c>
      <c r="D18" s="315">
        <v>0</v>
      </c>
      <c r="E18" s="315">
        <v>6</v>
      </c>
      <c r="F18" s="315">
        <v>2</v>
      </c>
    </row>
    <row r="19" spans="1:6" x14ac:dyDescent="0.2">
      <c r="A19" s="2" t="s">
        <v>13</v>
      </c>
      <c r="B19" s="315">
        <v>0</v>
      </c>
      <c r="C19" s="315">
        <v>0</v>
      </c>
      <c r="D19" s="315">
        <v>0</v>
      </c>
      <c r="E19" s="315">
        <v>1</v>
      </c>
      <c r="F19" s="315">
        <v>0</v>
      </c>
    </row>
    <row r="20" spans="1:6" x14ac:dyDescent="0.2">
      <c r="A20" s="2" t="s">
        <v>14</v>
      </c>
      <c r="B20" s="315">
        <v>0</v>
      </c>
      <c r="C20" s="315">
        <v>0</v>
      </c>
      <c r="D20" s="315">
        <v>0</v>
      </c>
      <c r="E20" s="315">
        <v>0</v>
      </c>
      <c r="F20" s="315">
        <v>0</v>
      </c>
    </row>
    <row r="21" spans="1:6" x14ac:dyDescent="0.2">
      <c r="A21" s="2" t="s">
        <v>135</v>
      </c>
      <c r="B21" s="315">
        <v>0</v>
      </c>
      <c r="C21" s="315">
        <v>0</v>
      </c>
      <c r="D21" s="315">
        <v>0</v>
      </c>
      <c r="E21" s="315">
        <v>0</v>
      </c>
      <c r="F21" s="315">
        <v>1</v>
      </c>
    </row>
    <row r="22" spans="1:6" x14ac:dyDescent="0.2">
      <c r="A22" s="2" t="s">
        <v>136</v>
      </c>
      <c r="B22" s="315">
        <v>0</v>
      </c>
      <c r="C22" s="315">
        <v>0</v>
      </c>
      <c r="D22" s="315">
        <v>0</v>
      </c>
      <c r="E22" s="315">
        <v>0</v>
      </c>
      <c r="F22" s="315">
        <v>1</v>
      </c>
    </row>
    <row r="23" spans="1:6" x14ac:dyDescent="0.2">
      <c r="A23" s="2" t="s">
        <v>17</v>
      </c>
      <c r="B23" s="315">
        <v>0</v>
      </c>
      <c r="C23" s="315">
        <v>0</v>
      </c>
      <c r="D23" s="315">
        <v>0</v>
      </c>
      <c r="E23" s="315">
        <v>0</v>
      </c>
      <c r="F23" s="315">
        <v>0</v>
      </c>
    </row>
    <row r="24" spans="1:6" x14ac:dyDescent="0.2">
      <c r="A24" s="2" t="s">
        <v>18</v>
      </c>
      <c r="B24" s="315">
        <v>0</v>
      </c>
      <c r="C24" s="315">
        <v>0</v>
      </c>
      <c r="D24" s="315">
        <v>0</v>
      </c>
      <c r="E24" s="315">
        <v>0</v>
      </c>
      <c r="F24" s="315">
        <v>3</v>
      </c>
    </row>
    <row r="25" spans="1:6" ht="6" customHeight="1" x14ac:dyDescent="0.2"/>
    <row r="26" spans="1:6" ht="11.25" customHeight="1" x14ac:dyDescent="0.2">
      <c r="A26" s="2" t="s">
        <v>1926</v>
      </c>
    </row>
    <row r="27" spans="1:6" ht="11.25" customHeight="1" x14ac:dyDescent="0.2">
      <c r="A27" s="2" t="s">
        <v>1922</v>
      </c>
    </row>
    <row r="28" spans="1:6" ht="11.25" customHeight="1" x14ac:dyDescent="0.2">
      <c r="A28" s="2" t="s">
        <v>1923</v>
      </c>
    </row>
    <row r="29" spans="1:6" ht="11.25" customHeight="1" x14ac:dyDescent="0.2">
      <c r="A29" s="2" t="s">
        <v>1924</v>
      </c>
    </row>
    <row r="30" spans="1:6" ht="11.25" customHeight="1" x14ac:dyDescent="0.2">
      <c r="A30" s="2" t="s">
        <v>1925</v>
      </c>
    </row>
    <row r="31" spans="1:6" x14ac:dyDescent="0.2">
      <c r="A31" s="2" t="s">
        <v>19</v>
      </c>
    </row>
    <row r="32" spans="1:6" x14ac:dyDescent="0.2">
      <c r="A32" s="2" t="s">
        <v>1058</v>
      </c>
    </row>
  </sheetData>
  <mergeCells count="3">
    <mergeCell ref="A2:F2"/>
    <mergeCell ref="A4:A5"/>
    <mergeCell ref="B4:F4"/>
  </mergeCells>
  <pageMargins left="0.7" right="0.7" top="0.75" bottom="0.75" header="0.3" footer="0.3"/>
  <pageSetup paperSize="14"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F27D8-9DB1-4D65-8ED9-90EEBDF33A52}">
  <sheetPr codeName="Hoja122"/>
  <dimension ref="A2:B25"/>
  <sheetViews>
    <sheetView workbookViewId="0">
      <selection activeCell="D4" sqref="D4"/>
    </sheetView>
  </sheetViews>
  <sheetFormatPr baseColWidth="10" defaultColWidth="11.44140625" defaultRowHeight="10.199999999999999" x14ac:dyDescent="0.2"/>
  <cols>
    <col min="1" max="1" width="32.88671875" style="2" bestFit="1" customWidth="1"/>
    <col min="2" max="2" width="25" style="2" bestFit="1" customWidth="1"/>
    <col min="3" max="3" width="25.33203125" style="2" customWidth="1"/>
    <col min="4" max="4" width="26.88671875" style="2" customWidth="1"/>
    <col min="5" max="16384" width="11.44140625" style="2"/>
  </cols>
  <sheetData>
    <row r="2" spans="1:2" ht="58.5" customHeight="1" x14ac:dyDescent="0.2">
      <c r="A2" s="45" t="s">
        <v>1123</v>
      </c>
      <c r="B2" s="45"/>
    </row>
    <row r="4" spans="1:2" ht="30.75" customHeight="1" x14ac:dyDescent="0.2">
      <c r="A4" s="644" t="s">
        <v>1928</v>
      </c>
      <c r="B4" s="644" t="s">
        <v>1929</v>
      </c>
    </row>
    <row r="5" spans="1:2" s="24" customFormat="1" x14ac:dyDescent="0.2">
      <c r="A5" s="24" t="s">
        <v>3</v>
      </c>
      <c r="B5" s="24">
        <f>SUM(B6+B9+B13+B16+B18+B21)</f>
        <v>262</v>
      </c>
    </row>
    <row r="6" spans="1:2" s="24" customFormat="1" x14ac:dyDescent="0.2">
      <c r="A6" s="24" t="s">
        <v>871</v>
      </c>
      <c r="B6" s="24">
        <f>SUM(B7:B8)</f>
        <v>54</v>
      </c>
    </row>
    <row r="7" spans="1:2" x14ac:dyDescent="0.2">
      <c r="A7" s="625" t="s">
        <v>1930</v>
      </c>
      <c r="B7" s="2">
        <v>49</v>
      </c>
    </row>
    <row r="8" spans="1:2" x14ac:dyDescent="0.2">
      <c r="A8" s="625" t="s">
        <v>1931</v>
      </c>
      <c r="B8" s="2">
        <v>5</v>
      </c>
    </row>
    <row r="9" spans="1:2" s="24" customFormat="1" x14ac:dyDescent="0.2">
      <c r="A9" s="24" t="s">
        <v>872</v>
      </c>
      <c r="B9" s="24">
        <f>SUM(B10:B12)</f>
        <v>31</v>
      </c>
    </row>
    <row r="10" spans="1:2" x14ac:dyDescent="0.2">
      <c r="A10" s="625" t="s">
        <v>1432</v>
      </c>
      <c r="B10" s="2">
        <v>3</v>
      </c>
    </row>
    <row r="11" spans="1:2" x14ac:dyDescent="0.2">
      <c r="A11" s="625" t="s">
        <v>1932</v>
      </c>
      <c r="B11" s="2">
        <v>4</v>
      </c>
    </row>
    <row r="12" spans="1:2" x14ac:dyDescent="0.2">
      <c r="A12" s="625" t="s">
        <v>1933</v>
      </c>
      <c r="B12" s="2">
        <v>24</v>
      </c>
    </row>
    <row r="13" spans="1:2" s="24" customFormat="1" x14ac:dyDescent="0.2">
      <c r="A13" s="24" t="s">
        <v>6</v>
      </c>
      <c r="B13" s="24">
        <f>SUM(B14:B15)</f>
        <v>38</v>
      </c>
    </row>
    <row r="14" spans="1:2" x14ac:dyDescent="0.2">
      <c r="A14" s="625" t="s">
        <v>1934</v>
      </c>
      <c r="B14" s="2">
        <v>2</v>
      </c>
    </row>
    <row r="15" spans="1:2" x14ac:dyDescent="0.2">
      <c r="A15" s="625" t="s">
        <v>1522</v>
      </c>
      <c r="B15" s="2">
        <v>36</v>
      </c>
    </row>
    <row r="16" spans="1:2" s="24" customFormat="1" x14ac:dyDescent="0.2">
      <c r="A16" s="24" t="s">
        <v>881</v>
      </c>
      <c r="B16" s="24">
        <f>SUM(B17)</f>
        <v>28</v>
      </c>
    </row>
    <row r="17" spans="1:2" x14ac:dyDescent="0.2">
      <c r="A17" s="625" t="s">
        <v>1935</v>
      </c>
      <c r="B17" s="2">
        <v>28</v>
      </c>
    </row>
    <row r="18" spans="1:2" s="24" customFormat="1" x14ac:dyDescent="0.2">
      <c r="A18" s="24" t="s">
        <v>10</v>
      </c>
      <c r="B18" s="24">
        <f>SUM(B19:B20)</f>
        <v>108</v>
      </c>
    </row>
    <row r="19" spans="1:2" x14ac:dyDescent="0.2">
      <c r="A19" s="625" t="s">
        <v>1936</v>
      </c>
      <c r="B19" s="2">
        <v>7</v>
      </c>
    </row>
    <row r="20" spans="1:2" x14ac:dyDescent="0.2">
      <c r="A20" s="625" t="s">
        <v>1937</v>
      </c>
      <c r="B20" s="2">
        <v>101</v>
      </c>
    </row>
    <row r="21" spans="1:2" s="24" customFormat="1" x14ac:dyDescent="0.2">
      <c r="A21" s="24" t="s">
        <v>930</v>
      </c>
      <c r="B21" s="24">
        <f>SUM(B22)</f>
        <v>3</v>
      </c>
    </row>
    <row r="22" spans="1:2" x14ac:dyDescent="0.2">
      <c r="A22" s="625" t="s">
        <v>1938</v>
      </c>
      <c r="B22" s="2">
        <v>3</v>
      </c>
    </row>
    <row r="24" spans="1:2" ht="32.25" customHeight="1" x14ac:dyDescent="0.2">
      <c r="A24" s="638" t="s">
        <v>1939</v>
      </c>
      <c r="B24" s="638"/>
    </row>
    <row r="25" spans="1:2" ht="33" customHeight="1" x14ac:dyDescent="0.2">
      <c r="A25" s="638" t="s">
        <v>450</v>
      </c>
      <c r="B25" s="638"/>
    </row>
  </sheetData>
  <mergeCells count="3">
    <mergeCell ref="A2:B2"/>
    <mergeCell ref="A24:B24"/>
    <mergeCell ref="A25:B25"/>
  </mergeCells>
  <pageMargins left="0.7" right="0.7" top="0.75" bottom="0.75" header="0.3" footer="0.3"/>
  <pageSetup paperSize="14"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4B03C3-1203-41BF-8ECA-1DB84FD40458}">
  <sheetPr codeName="Hoja123"/>
  <dimension ref="A2:D116"/>
  <sheetViews>
    <sheetView zoomScale="130" zoomScaleNormal="130" workbookViewId="0">
      <selection activeCell="D4" sqref="D4"/>
    </sheetView>
  </sheetViews>
  <sheetFormatPr baseColWidth="10" defaultColWidth="11.44140625" defaultRowHeight="10.199999999999999" x14ac:dyDescent="0.2"/>
  <cols>
    <col min="1" max="1" width="58.6640625" style="2" customWidth="1"/>
    <col min="2" max="2" width="10.33203125" style="2" bestFit="1" customWidth="1"/>
    <col min="3" max="3" width="8.33203125" style="2" customWidth="1"/>
    <col min="4" max="4" width="8.88671875" style="2" customWidth="1"/>
    <col min="5" max="16384" width="11.44140625" style="2"/>
  </cols>
  <sheetData>
    <row r="2" spans="1:4" s="624" customFormat="1" ht="32.25" customHeight="1" x14ac:dyDescent="0.2">
      <c r="A2" s="620" t="s">
        <v>1124</v>
      </c>
      <c r="B2" s="620"/>
      <c r="C2" s="620"/>
      <c r="D2" s="620"/>
    </row>
    <row r="4" spans="1:4" s="637" customFormat="1" ht="28.5" customHeight="1" x14ac:dyDescent="0.25">
      <c r="A4" s="621" t="s">
        <v>1940</v>
      </c>
      <c r="B4" s="621" t="s">
        <v>1941</v>
      </c>
      <c r="C4" s="621" t="s">
        <v>1942</v>
      </c>
      <c r="D4" s="621" t="s">
        <v>1943</v>
      </c>
    </row>
    <row r="5" spans="1:4" ht="16.5" customHeight="1" x14ac:dyDescent="0.2">
      <c r="A5" s="24" t="s">
        <v>3</v>
      </c>
      <c r="B5" s="622">
        <f>SUM(B6+B14+B25+B48+B54+B109)</f>
        <v>262</v>
      </c>
      <c r="C5" s="622">
        <f>SUM(C6+C14+C25+C48+C54+C109)</f>
        <v>35</v>
      </c>
      <c r="D5" s="622">
        <f>SUM(D6+D14+D25+D48+D54+D109)</f>
        <v>227</v>
      </c>
    </row>
    <row r="6" spans="1:4" s="24" customFormat="1" x14ac:dyDescent="0.2">
      <c r="A6" s="24" t="s">
        <v>871</v>
      </c>
      <c r="B6" s="622">
        <f>SUM(B7+B10)</f>
        <v>54</v>
      </c>
      <c r="C6" s="622">
        <f>SUM(C7+C10)</f>
        <v>0</v>
      </c>
      <c r="D6" s="622">
        <f>SUM(D7+D10)</f>
        <v>54</v>
      </c>
    </row>
    <row r="7" spans="1:4" x14ac:dyDescent="0.2">
      <c r="A7" s="679" t="s">
        <v>1944</v>
      </c>
      <c r="B7" s="622">
        <f>SUM(B8:B9)</f>
        <v>49</v>
      </c>
      <c r="C7" s="622">
        <f t="shared" ref="C7:D7" si="0">SUM(C8:C9)</f>
        <v>0</v>
      </c>
      <c r="D7" s="622">
        <f t="shared" si="0"/>
        <v>49</v>
      </c>
    </row>
    <row r="8" spans="1:4" x14ac:dyDescent="0.2">
      <c r="A8" s="625" t="s">
        <v>1945</v>
      </c>
      <c r="B8" s="315">
        <v>47</v>
      </c>
      <c r="C8" s="315">
        <v>0</v>
      </c>
      <c r="D8" s="315">
        <v>47</v>
      </c>
    </row>
    <row r="9" spans="1:4" x14ac:dyDescent="0.2">
      <c r="A9" s="625" t="s">
        <v>1946</v>
      </c>
      <c r="B9" s="315">
        <v>2</v>
      </c>
      <c r="C9" s="315">
        <v>0</v>
      </c>
      <c r="D9" s="315">
        <v>2</v>
      </c>
    </row>
    <row r="10" spans="1:4" x14ac:dyDescent="0.2">
      <c r="A10" s="625" t="s">
        <v>1931</v>
      </c>
      <c r="B10" s="315">
        <f>SUM(B11:B13)</f>
        <v>5</v>
      </c>
      <c r="C10" s="315">
        <f>SUM(C11:C13)</f>
        <v>0</v>
      </c>
      <c r="D10" s="315">
        <f>SUM(D11:D13)</f>
        <v>5</v>
      </c>
    </row>
    <row r="11" spans="1:4" x14ac:dyDescent="0.2">
      <c r="A11" s="625" t="s">
        <v>1947</v>
      </c>
      <c r="B11" s="315">
        <v>3</v>
      </c>
      <c r="C11" s="315">
        <v>0</v>
      </c>
      <c r="D11" s="315">
        <v>3</v>
      </c>
    </row>
    <row r="12" spans="1:4" x14ac:dyDescent="0.2">
      <c r="A12" s="625" t="s">
        <v>1948</v>
      </c>
      <c r="B12" s="315">
        <v>1</v>
      </c>
      <c r="C12" s="315">
        <v>0</v>
      </c>
      <c r="D12" s="315">
        <v>1</v>
      </c>
    </row>
    <row r="13" spans="1:4" x14ac:dyDescent="0.2">
      <c r="A13" s="625" t="s">
        <v>1949</v>
      </c>
      <c r="B13" s="315">
        <v>1</v>
      </c>
      <c r="C13" s="315">
        <v>0</v>
      </c>
      <c r="D13" s="315">
        <v>1</v>
      </c>
    </row>
    <row r="14" spans="1:4" s="24" customFormat="1" x14ac:dyDescent="0.2">
      <c r="A14" s="24" t="s">
        <v>872</v>
      </c>
      <c r="B14" s="622">
        <f>SUM(B15+B18+B21)</f>
        <v>31</v>
      </c>
      <c r="C14" s="622">
        <f>SUM(C15+C18+C21)</f>
        <v>0</v>
      </c>
      <c r="D14" s="622">
        <f>SUM(D15+D18+D21)</f>
        <v>31</v>
      </c>
    </row>
    <row r="15" spans="1:4" s="24" customFormat="1" x14ac:dyDescent="0.2">
      <c r="A15" s="679" t="s">
        <v>1432</v>
      </c>
      <c r="B15" s="622">
        <f>SUM(B16:B17)</f>
        <v>3</v>
      </c>
      <c r="C15" s="622">
        <f>SUM(C16:C17)</f>
        <v>0</v>
      </c>
      <c r="D15" s="622">
        <f>SUM(D16:D17)</f>
        <v>3</v>
      </c>
    </row>
    <row r="16" spans="1:4" x14ac:dyDescent="0.2">
      <c r="A16" s="625" t="s">
        <v>1950</v>
      </c>
      <c r="B16" s="315">
        <v>1</v>
      </c>
      <c r="C16" s="315">
        <v>0</v>
      </c>
      <c r="D16" s="315">
        <v>1</v>
      </c>
    </row>
    <row r="17" spans="1:4" x14ac:dyDescent="0.2">
      <c r="A17" s="625" t="s">
        <v>1951</v>
      </c>
      <c r="B17" s="315">
        <v>2</v>
      </c>
      <c r="C17" s="315">
        <v>0</v>
      </c>
      <c r="D17" s="315">
        <v>2</v>
      </c>
    </row>
    <row r="18" spans="1:4" s="24" customFormat="1" x14ac:dyDescent="0.2">
      <c r="A18" s="679" t="s">
        <v>1932</v>
      </c>
      <c r="B18" s="622">
        <f>SUM(B19:B20)</f>
        <v>4</v>
      </c>
      <c r="C18" s="622">
        <f>SUM(C19:C20)</f>
        <v>0</v>
      </c>
      <c r="D18" s="622">
        <f>SUM(D19:D20)</f>
        <v>4</v>
      </c>
    </row>
    <row r="19" spans="1:4" x14ac:dyDescent="0.2">
      <c r="A19" s="625" t="s">
        <v>1952</v>
      </c>
      <c r="B19" s="315">
        <v>1</v>
      </c>
      <c r="C19" s="315">
        <v>0</v>
      </c>
      <c r="D19" s="315">
        <v>1</v>
      </c>
    </row>
    <row r="20" spans="1:4" x14ac:dyDescent="0.2">
      <c r="A20" s="625" t="s">
        <v>1950</v>
      </c>
      <c r="B20" s="315">
        <v>3</v>
      </c>
      <c r="C20" s="315">
        <v>0</v>
      </c>
      <c r="D20" s="315">
        <v>3</v>
      </c>
    </row>
    <row r="21" spans="1:4" s="24" customFormat="1" x14ac:dyDescent="0.2">
      <c r="A21" s="679" t="s">
        <v>1933</v>
      </c>
      <c r="B21" s="622">
        <f>SUM(B22:B24)</f>
        <v>24</v>
      </c>
      <c r="C21" s="622">
        <f t="shared" ref="C21" si="1">SUM(C22:C24)</f>
        <v>0</v>
      </c>
      <c r="D21" s="622">
        <f>SUM(D22:D24)</f>
        <v>24</v>
      </c>
    </row>
    <row r="22" spans="1:4" x14ac:dyDescent="0.2">
      <c r="A22" s="625" t="s">
        <v>1953</v>
      </c>
      <c r="B22" s="315">
        <v>3</v>
      </c>
      <c r="C22" s="315">
        <v>0</v>
      </c>
      <c r="D22" s="315">
        <v>3</v>
      </c>
    </row>
    <row r="23" spans="1:4" x14ac:dyDescent="0.2">
      <c r="A23" s="625" t="s">
        <v>1954</v>
      </c>
      <c r="B23" s="315">
        <v>20</v>
      </c>
      <c r="C23" s="315">
        <v>0</v>
      </c>
      <c r="D23" s="315">
        <v>20</v>
      </c>
    </row>
    <row r="24" spans="1:4" x14ac:dyDescent="0.2">
      <c r="A24" s="625" t="s">
        <v>1952</v>
      </c>
      <c r="B24" s="315">
        <v>1</v>
      </c>
      <c r="C24" s="315">
        <v>0</v>
      </c>
      <c r="D24" s="315">
        <v>1</v>
      </c>
    </row>
    <row r="25" spans="1:4" s="24" customFormat="1" x14ac:dyDescent="0.2">
      <c r="A25" s="24" t="s">
        <v>6</v>
      </c>
      <c r="B25" s="622">
        <f>SUM(B26+B45)</f>
        <v>38</v>
      </c>
      <c r="C25" s="622">
        <f>SUM(C26+C45)</f>
        <v>35</v>
      </c>
      <c r="D25" s="622">
        <f>SUM(D26+D45)</f>
        <v>3</v>
      </c>
    </row>
    <row r="26" spans="1:4" s="24" customFormat="1" x14ac:dyDescent="0.2">
      <c r="A26" s="679" t="s">
        <v>1955</v>
      </c>
      <c r="B26" s="622">
        <f>SUM(B27:B44)</f>
        <v>36</v>
      </c>
      <c r="C26" s="622">
        <f t="shared" ref="C26:D26" si="2">SUM(C27:C44)</f>
        <v>33</v>
      </c>
      <c r="D26" s="622">
        <f t="shared" si="2"/>
        <v>3</v>
      </c>
    </row>
    <row r="27" spans="1:4" ht="12" x14ac:dyDescent="0.2">
      <c r="A27" s="625" t="s">
        <v>1956</v>
      </c>
      <c r="B27" s="315">
        <v>1</v>
      </c>
      <c r="C27" s="315">
        <v>1</v>
      </c>
      <c r="D27" s="315">
        <v>0</v>
      </c>
    </row>
    <row r="28" spans="1:4" ht="12" x14ac:dyDescent="0.2">
      <c r="A28" s="625" t="s">
        <v>1957</v>
      </c>
      <c r="B28" s="315">
        <v>1</v>
      </c>
      <c r="C28" s="315">
        <v>1</v>
      </c>
      <c r="D28" s="315">
        <v>0</v>
      </c>
    </row>
    <row r="29" spans="1:4" x14ac:dyDescent="0.2">
      <c r="A29" s="625" t="s">
        <v>1958</v>
      </c>
      <c r="B29" s="315">
        <v>1</v>
      </c>
      <c r="C29" s="315">
        <v>1</v>
      </c>
      <c r="D29" s="315">
        <v>0</v>
      </c>
    </row>
    <row r="30" spans="1:4" x14ac:dyDescent="0.2">
      <c r="A30" s="625" t="s">
        <v>1959</v>
      </c>
      <c r="B30" s="315">
        <v>1</v>
      </c>
      <c r="C30" s="315">
        <v>1</v>
      </c>
      <c r="D30" s="315">
        <v>0</v>
      </c>
    </row>
    <row r="31" spans="1:4" x14ac:dyDescent="0.2">
      <c r="A31" s="625" t="s">
        <v>1960</v>
      </c>
      <c r="B31" s="315">
        <v>3</v>
      </c>
      <c r="C31" s="315">
        <v>0</v>
      </c>
      <c r="D31" s="315">
        <v>3</v>
      </c>
    </row>
    <row r="32" spans="1:4" x14ac:dyDescent="0.2">
      <c r="A32" s="625" t="s">
        <v>1961</v>
      </c>
      <c r="B32" s="315">
        <v>1</v>
      </c>
      <c r="C32" s="315">
        <v>1</v>
      </c>
      <c r="D32" s="315">
        <v>0</v>
      </c>
    </row>
    <row r="33" spans="1:4" x14ac:dyDescent="0.2">
      <c r="A33" s="625" t="s">
        <v>1962</v>
      </c>
      <c r="B33" s="315">
        <v>1</v>
      </c>
      <c r="C33" s="315">
        <v>1</v>
      </c>
      <c r="D33" s="315">
        <v>0</v>
      </c>
    </row>
    <row r="34" spans="1:4" x14ac:dyDescent="0.2">
      <c r="A34" s="625" t="s">
        <v>1963</v>
      </c>
      <c r="B34" s="315">
        <v>1</v>
      </c>
      <c r="C34" s="315">
        <v>1</v>
      </c>
      <c r="D34" s="315">
        <v>0</v>
      </c>
    </row>
    <row r="35" spans="1:4" x14ac:dyDescent="0.2">
      <c r="A35" s="625" t="s">
        <v>1964</v>
      </c>
      <c r="B35" s="315">
        <v>1</v>
      </c>
      <c r="C35" s="315">
        <v>1</v>
      </c>
      <c r="D35" s="315">
        <v>0</v>
      </c>
    </row>
    <row r="36" spans="1:4" x14ac:dyDescent="0.2">
      <c r="A36" s="625" t="s">
        <v>1965</v>
      </c>
      <c r="B36" s="315">
        <v>1</v>
      </c>
      <c r="C36" s="315">
        <v>1</v>
      </c>
      <c r="D36" s="315">
        <v>0</v>
      </c>
    </row>
    <row r="37" spans="1:4" x14ac:dyDescent="0.2">
      <c r="A37" s="625" t="s">
        <v>1966</v>
      </c>
      <c r="B37" s="315">
        <v>1</v>
      </c>
      <c r="C37" s="315">
        <v>1</v>
      </c>
      <c r="D37" s="315">
        <v>0</v>
      </c>
    </row>
    <row r="38" spans="1:4" x14ac:dyDescent="0.2">
      <c r="A38" s="625" t="s">
        <v>1967</v>
      </c>
      <c r="B38" s="315">
        <v>9</v>
      </c>
      <c r="C38" s="315">
        <v>9</v>
      </c>
      <c r="D38" s="315">
        <v>0</v>
      </c>
    </row>
    <row r="39" spans="1:4" x14ac:dyDescent="0.2">
      <c r="A39" s="625" t="s">
        <v>1968</v>
      </c>
      <c r="B39" s="315">
        <v>1</v>
      </c>
      <c r="C39" s="315">
        <v>1</v>
      </c>
      <c r="D39" s="315">
        <v>0</v>
      </c>
    </row>
    <row r="40" spans="1:4" x14ac:dyDescent="0.2">
      <c r="A40" s="625" t="s">
        <v>1969</v>
      </c>
      <c r="B40" s="315">
        <v>1</v>
      </c>
      <c r="C40" s="315">
        <v>1</v>
      </c>
      <c r="D40" s="315">
        <v>0</v>
      </c>
    </row>
    <row r="41" spans="1:4" x14ac:dyDescent="0.2">
      <c r="A41" s="625" t="s">
        <v>1970</v>
      </c>
      <c r="B41" s="315">
        <v>2</v>
      </c>
      <c r="C41" s="315">
        <v>2</v>
      </c>
      <c r="D41" s="315">
        <v>0</v>
      </c>
    </row>
    <row r="42" spans="1:4" x14ac:dyDescent="0.2">
      <c r="A42" s="625" t="s">
        <v>1971</v>
      </c>
      <c r="B42" s="315">
        <v>2</v>
      </c>
      <c r="C42" s="315">
        <v>2</v>
      </c>
      <c r="D42" s="315">
        <v>0</v>
      </c>
    </row>
    <row r="43" spans="1:4" x14ac:dyDescent="0.2">
      <c r="A43" s="625" t="s">
        <v>1972</v>
      </c>
      <c r="B43" s="315">
        <v>4</v>
      </c>
      <c r="C43" s="315">
        <v>4</v>
      </c>
      <c r="D43" s="315">
        <v>0</v>
      </c>
    </row>
    <row r="44" spans="1:4" x14ac:dyDescent="0.2">
      <c r="A44" s="625" t="s">
        <v>1973</v>
      </c>
      <c r="B44" s="315">
        <v>4</v>
      </c>
      <c r="C44" s="315">
        <v>4</v>
      </c>
      <c r="D44" s="315">
        <v>0</v>
      </c>
    </row>
    <row r="45" spans="1:4" s="24" customFormat="1" x14ac:dyDescent="0.2">
      <c r="A45" s="679" t="s">
        <v>1934</v>
      </c>
      <c r="B45" s="622">
        <f>SUM(B46:B47)</f>
        <v>2</v>
      </c>
      <c r="C45" s="622">
        <f t="shared" ref="C45:D45" si="3">SUM(C46:C47)</f>
        <v>2</v>
      </c>
      <c r="D45" s="622">
        <f t="shared" si="3"/>
        <v>0</v>
      </c>
    </row>
    <row r="46" spans="1:4" x14ac:dyDescent="0.2">
      <c r="A46" s="625" t="s">
        <v>1968</v>
      </c>
      <c r="B46" s="315">
        <v>1</v>
      </c>
      <c r="C46" s="315">
        <v>1</v>
      </c>
      <c r="D46" s="315">
        <v>0</v>
      </c>
    </row>
    <row r="47" spans="1:4" x14ac:dyDescent="0.2">
      <c r="A47" s="625" t="s">
        <v>1974</v>
      </c>
      <c r="B47" s="315">
        <v>1</v>
      </c>
      <c r="C47" s="315">
        <v>1</v>
      </c>
      <c r="D47" s="315">
        <v>0</v>
      </c>
    </row>
    <row r="48" spans="1:4" s="24" customFormat="1" x14ac:dyDescent="0.2">
      <c r="A48" s="24" t="s">
        <v>881</v>
      </c>
      <c r="B48" s="622">
        <f>SUM(B49)</f>
        <v>28</v>
      </c>
      <c r="C48" s="622">
        <f>SUM(C49)</f>
        <v>0</v>
      </c>
      <c r="D48" s="622">
        <f>SUM(D49)</f>
        <v>28</v>
      </c>
    </row>
    <row r="49" spans="1:4" s="24" customFormat="1" x14ac:dyDescent="0.2">
      <c r="A49" s="679" t="s">
        <v>1935</v>
      </c>
      <c r="B49" s="622">
        <f>SUM(B50:B53)</f>
        <v>28</v>
      </c>
      <c r="C49" s="622">
        <f t="shared" ref="C49:D49" si="4">SUM(C50:C53)</f>
        <v>0</v>
      </c>
      <c r="D49" s="622">
        <f t="shared" si="4"/>
        <v>28</v>
      </c>
    </row>
    <row r="50" spans="1:4" x14ac:dyDescent="0.2">
      <c r="A50" s="625" t="s">
        <v>1975</v>
      </c>
      <c r="B50" s="315">
        <v>1</v>
      </c>
      <c r="C50" s="315">
        <v>0</v>
      </c>
      <c r="D50" s="315">
        <v>1</v>
      </c>
    </row>
    <row r="51" spans="1:4" x14ac:dyDescent="0.2">
      <c r="A51" s="625" t="s">
        <v>1976</v>
      </c>
      <c r="B51" s="315">
        <v>5</v>
      </c>
      <c r="C51" s="315">
        <v>0</v>
      </c>
      <c r="D51" s="315">
        <v>5</v>
      </c>
    </row>
    <row r="52" spans="1:4" x14ac:dyDescent="0.2">
      <c r="A52" s="625" t="s">
        <v>1977</v>
      </c>
      <c r="B52" s="315">
        <v>21</v>
      </c>
      <c r="C52" s="315">
        <v>0</v>
      </c>
      <c r="D52" s="315">
        <v>21</v>
      </c>
    </row>
    <row r="53" spans="1:4" x14ac:dyDescent="0.2">
      <c r="A53" s="625" t="s">
        <v>1978</v>
      </c>
      <c r="B53" s="315">
        <v>1</v>
      </c>
      <c r="C53" s="315">
        <v>0</v>
      </c>
      <c r="D53" s="315">
        <v>1</v>
      </c>
    </row>
    <row r="54" spans="1:4" s="24" customFormat="1" x14ac:dyDescent="0.2">
      <c r="A54" s="24" t="s">
        <v>10</v>
      </c>
      <c r="B54" s="622">
        <f>SUM(B55+B62+B83)</f>
        <v>108</v>
      </c>
      <c r="C54" s="622">
        <f>SUM(C55+C62+C83)</f>
        <v>0</v>
      </c>
      <c r="D54" s="622">
        <f>SUM(D55+D62+D83)</f>
        <v>108</v>
      </c>
    </row>
    <row r="55" spans="1:4" s="24" customFormat="1" x14ac:dyDescent="0.2">
      <c r="A55" s="679" t="s">
        <v>1936</v>
      </c>
      <c r="B55" s="622">
        <f>SUM(B56:B61)</f>
        <v>7</v>
      </c>
      <c r="C55" s="622">
        <f>SUM(C56:C61)</f>
        <v>0</v>
      </c>
      <c r="D55" s="622">
        <f>SUM(D56:D61)</f>
        <v>7</v>
      </c>
    </row>
    <row r="56" spans="1:4" x14ac:dyDescent="0.2">
      <c r="A56" s="625" t="s">
        <v>1979</v>
      </c>
      <c r="B56" s="315">
        <v>1</v>
      </c>
      <c r="C56" s="315">
        <v>0</v>
      </c>
      <c r="D56" s="315">
        <v>1</v>
      </c>
    </row>
    <row r="57" spans="1:4" x14ac:dyDescent="0.2">
      <c r="A57" s="625" t="s">
        <v>1980</v>
      </c>
      <c r="B57" s="315">
        <v>1</v>
      </c>
      <c r="C57" s="315">
        <v>0</v>
      </c>
      <c r="D57" s="315">
        <v>1</v>
      </c>
    </row>
    <row r="58" spans="1:4" x14ac:dyDescent="0.2">
      <c r="A58" s="625" t="s">
        <v>1981</v>
      </c>
      <c r="B58" s="315">
        <v>2</v>
      </c>
      <c r="C58" s="315">
        <v>0</v>
      </c>
      <c r="D58" s="315">
        <v>2</v>
      </c>
    </row>
    <row r="59" spans="1:4" x14ac:dyDescent="0.2">
      <c r="A59" s="625" t="s">
        <v>1982</v>
      </c>
      <c r="B59" s="315">
        <v>1</v>
      </c>
      <c r="C59" s="315">
        <v>0</v>
      </c>
      <c r="D59" s="315">
        <v>1</v>
      </c>
    </row>
    <row r="60" spans="1:4" x14ac:dyDescent="0.2">
      <c r="A60" s="625" t="s">
        <v>1983</v>
      </c>
      <c r="B60" s="315">
        <v>1</v>
      </c>
      <c r="C60" s="315">
        <v>0</v>
      </c>
      <c r="D60" s="315">
        <v>1</v>
      </c>
    </row>
    <row r="61" spans="1:4" x14ac:dyDescent="0.2">
      <c r="A61" s="625" t="s">
        <v>1984</v>
      </c>
      <c r="B61" s="315">
        <v>1</v>
      </c>
      <c r="C61" s="315">
        <v>0</v>
      </c>
      <c r="D61" s="315">
        <v>1</v>
      </c>
    </row>
    <row r="62" spans="1:4" s="24" customFormat="1" x14ac:dyDescent="0.2">
      <c r="A62" s="679" t="s">
        <v>1937</v>
      </c>
      <c r="B62" s="622">
        <f>SUM(B63:B82)</f>
        <v>28</v>
      </c>
      <c r="C62" s="622">
        <f>SUM(C63:C82)</f>
        <v>0</v>
      </c>
      <c r="D62" s="622">
        <f>SUM(D63:D82)</f>
        <v>28</v>
      </c>
    </row>
    <row r="63" spans="1:4" x14ac:dyDescent="0.2">
      <c r="A63" s="625" t="s">
        <v>1985</v>
      </c>
      <c r="B63" s="315">
        <v>1</v>
      </c>
      <c r="C63" s="315">
        <v>0</v>
      </c>
      <c r="D63" s="315">
        <v>1</v>
      </c>
    </row>
    <row r="64" spans="1:4" x14ac:dyDescent="0.2">
      <c r="A64" s="625" t="s">
        <v>1986</v>
      </c>
      <c r="B64" s="315">
        <v>1</v>
      </c>
      <c r="C64" s="315">
        <v>0</v>
      </c>
      <c r="D64" s="315">
        <v>1</v>
      </c>
    </row>
    <row r="65" spans="1:4" x14ac:dyDescent="0.2">
      <c r="A65" s="625" t="s">
        <v>1985</v>
      </c>
      <c r="B65" s="315">
        <v>1</v>
      </c>
      <c r="C65" s="315">
        <v>0</v>
      </c>
      <c r="D65" s="315">
        <v>1</v>
      </c>
    </row>
    <row r="66" spans="1:4" x14ac:dyDescent="0.2">
      <c r="A66" s="625" t="s">
        <v>1987</v>
      </c>
      <c r="B66" s="315">
        <v>1</v>
      </c>
      <c r="C66" s="315">
        <v>0</v>
      </c>
      <c r="D66" s="315">
        <v>1</v>
      </c>
    </row>
    <row r="67" spans="1:4" x14ac:dyDescent="0.2">
      <c r="A67" s="625" t="s">
        <v>1988</v>
      </c>
      <c r="B67" s="315">
        <v>2</v>
      </c>
      <c r="C67" s="315">
        <v>0</v>
      </c>
      <c r="D67" s="315">
        <v>2</v>
      </c>
    </row>
    <row r="68" spans="1:4" x14ac:dyDescent="0.2">
      <c r="A68" s="625" t="s">
        <v>1989</v>
      </c>
      <c r="B68" s="315">
        <v>2</v>
      </c>
      <c r="C68" s="315">
        <v>0</v>
      </c>
      <c r="D68" s="315">
        <v>2</v>
      </c>
    </row>
    <row r="69" spans="1:4" x14ac:dyDescent="0.2">
      <c r="A69" s="625" t="s">
        <v>1990</v>
      </c>
      <c r="B69" s="315">
        <v>1</v>
      </c>
      <c r="C69" s="315">
        <v>0</v>
      </c>
      <c r="D69" s="315">
        <v>1</v>
      </c>
    </row>
    <row r="70" spans="1:4" x14ac:dyDescent="0.2">
      <c r="A70" s="625" t="s">
        <v>1991</v>
      </c>
      <c r="B70" s="315">
        <v>4</v>
      </c>
      <c r="C70" s="315">
        <v>0</v>
      </c>
      <c r="D70" s="315">
        <v>4</v>
      </c>
    </row>
    <row r="71" spans="1:4" x14ac:dyDescent="0.2">
      <c r="A71" s="625" t="s">
        <v>1960</v>
      </c>
      <c r="B71" s="315">
        <v>1</v>
      </c>
      <c r="C71" s="315">
        <v>0</v>
      </c>
      <c r="D71" s="315">
        <v>1</v>
      </c>
    </row>
    <row r="72" spans="1:4" x14ac:dyDescent="0.2">
      <c r="A72" s="625" t="s">
        <v>1992</v>
      </c>
      <c r="B72" s="315">
        <v>1</v>
      </c>
      <c r="C72" s="315">
        <v>0</v>
      </c>
      <c r="D72" s="315">
        <v>1</v>
      </c>
    </row>
    <row r="73" spans="1:4" x14ac:dyDescent="0.2">
      <c r="A73" s="625" t="s">
        <v>1993</v>
      </c>
      <c r="B73" s="315">
        <v>1</v>
      </c>
      <c r="C73" s="315">
        <v>0</v>
      </c>
      <c r="D73" s="315">
        <v>1</v>
      </c>
    </row>
    <row r="74" spans="1:4" x14ac:dyDescent="0.2">
      <c r="A74" s="625" t="s">
        <v>1994</v>
      </c>
      <c r="B74" s="315">
        <v>1</v>
      </c>
      <c r="C74" s="315">
        <v>0</v>
      </c>
      <c r="D74" s="315">
        <v>1</v>
      </c>
    </row>
    <row r="75" spans="1:4" x14ac:dyDescent="0.2">
      <c r="A75" s="625" t="s">
        <v>1995</v>
      </c>
      <c r="B75" s="315">
        <v>1</v>
      </c>
      <c r="C75" s="315">
        <v>0</v>
      </c>
      <c r="D75" s="315">
        <v>1</v>
      </c>
    </row>
    <row r="76" spans="1:4" x14ac:dyDescent="0.2">
      <c r="A76" s="625" t="s">
        <v>1996</v>
      </c>
      <c r="B76" s="315">
        <v>1</v>
      </c>
      <c r="C76" s="315">
        <v>0</v>
      </c>
      <c r="D76" s="315">
        <v>1</v>
      </c>
    </row>
    <row r="77" spans="1:4" x14ac:dyDescent="0.2">
      <c r="A77" s="625" t="s">
        <v>1983</v>
      </c>
      <c r="B77" s="315">
        <v>2</v>
      </c>
      <c r="C77" s="315">
        <v>0</v>
      </c>
      <c r="D77" s="315">
        <v>2</v>
      </c>
    </row>
    <row r="78" spans="1:4" x14ac:dyDescent="0.2">
      <c r="A78" s="625" t="s">
        <v>1997</v>
      </c>
      <c r="B78" s="315">
        <v>1</v>
      </c>
      <c r="C78" s="315">
        <v>0</v>
      </c>
      <c r="D78" s="315">
        <v>1</v>
      </c>
    </row>
    <row r="79" spans="1:4" x14ac:dyDescent="0.2">
      <c r="A79" s="625" t="s">
        <v>1998</v>
      </c>
      <c r="B79" s="315">
        <v>2</v>
      </c>
      <c r="C79" s="315">
        <v>0</v>
      </c>
      <c r="D79" s="315">
        <v>2</v>
      </c>
    </row>
    <row r="80" spans="1:4" x14ac:dyDescent="0.2">
      <c r="A80" s="625" t="s">
        <v>1950</v>
      </c>
      <c r="B80" s="315">
        <v>1</v>
      </c>
      <c r="C80" s="315">
        <v>0</v>
      </c>
      <c r="D80" s="315">
        <v>1</v>
      </c>
    </row>
    <row r="81" spans="1:4" x14ac:dyDescent="0.2">
      <c r="A81" s="625" t="s">
        <v>1999</v>
      </c>
      <c r="B81" s="315">
        <v>2</v>
      </c>
      <c r="C81" s="315">
        <v>0</v>
      </c>
      <c r="D81" s="315">
        <v>2</v>
      </c>
    </row>
    <row r="82" spans="1:4" x14ac:dyDescent="0.2">
      <c r="A82" s="625" t="s">
        <v>2000</v>
      </c>
      <c r="B82" s="315">
        <v>1</v>
      </c>
      <c r="C82" s="315">
        <v>0</v>
      </c>
      <c r="D82" s="315">
        <v>1</v>
      </c>
    </row>
    <row r="83" spans="1:4" s="24" customFormat="1" x14ac:dyDescent="0.2">
      <c r="A83" s="679" t="s">
        <v>2001</v>
      </c>
      <c r="B83" s="622">
        <f>SUM(B84:B108)</f>
        <v>73</v>
      </c>
      <c r="C83" s="622">
        <f>SUM(C84:C108)</f>
        <v>0</v>
      </c>
      <c r="D83" s="622">
        <f>SUM(D84:D108)</f>
        <v>73</v>
      </c>
    </row>
    <row r="84" spans="1:4" x14ac:dyDescent="0.2">
      <c r="A84" s="625" t="s">
        <v>2002</v>
      </c>
      <c r="B84" s="315">
        <v>1</v>
      </c>
      <c r="C84" s="315">
        <v>0</v>
      </c>
      <c r="D84" s="315">
        <v>1</v>
      </c>
    </row>
    <row r="85" spans="1:4" x14ac:dyDescent="0.2">
      <c r="A85" s="625" t="s">
        <v>2003</v>
      </c>
      <c r="B85" s="315">
        <v>2</v>
      </c>
      <c r="C85" s="315">
        <v>0</v>
      </c>
      <c r="D85" s="315">
        <v>2</v>
      </c>
    </row>
    <row r="86" spans="1:4" x14ac:dyDescent="0.2">
      <c r="A86" s="625" t="s">
        <v>2004</v>
      </c>
      <c r="B86" s="315">
        <v>13</v>
      </c>
      <c r="C86" s="315">
        <v>0</v>
      </c>
      <c r="D86" s="315">
        <v>13</v>
      </c>
    </row>
    <row r="87" spans="1:4" x14ac:dyDescent="0.2">
      <c r="A87" s="625" t="s">
        <v>2005</v>
      </c>
      <c r="B87" s="315">
        <v>1</v>
      </c>
      <c r="C87" s="315">
        <v>0</v>
      </c>
      <c r="D87" s="315">
        <v>1</v>
      </c>
    </row>
    <row r="88" spans="1:4" x14ac:dyDescent="0.2">
      <c r="A88" s="625" t="s">
        <v>2006</v>
      </c>
      <c r="B88" s="315">
        <v>1</v>
      </c>
      <c r="C88" s="315">
        <v>0</v>
      </c>
      <c r="D88" s="315">
        <v>1</v>
      </c>
    </row>
    <row r="89" spans="1:4" x14ac:dyDescent="0.2">
      <c r="A89" s="625" t="s">
        <v>1980</v>
      </c>
      <c r="B89" s="315">
        <v>4</v>
      </c>
      <c r="C89" s="315">
        <v>0</v>
      </c>
      <c r="D89" s="315">
        <v>4</v>
      </c>
    </row>
    <row r="90" spans="1:4" x14ac:dyDescent="0.2">
      <c r="A90" s="625" t="s">
        <v>1953</v>
      </c>
      <c r="B90" s="315">
        <v>2</v>
      </c>
      <c r="C90" s="315">
        <v>0</v>
      </c>
      <c r="D90" s="315">
        <v>2</v>
      </c>
    </row>
    <row r="91" spans="1:4" x14ac:dyDescent="0.2">
      <c r="A91" s="625" t="s">
        <v>2007</v>
      </c>
      <c r="B91" s="315">
        <v>3</v>
      </c>
      <c r="C91" s="315">
        <v>0</v>
      </c>
      <c r="D91" s="315">
        <v>3</v>
      </c>
    </row>
    <row r="92" spans="1:4" x14ac:dyDescent="0.2">
      <c r="A92" s="625" t="s">
        <v>1982</v>
      </c>
      <c r="B92" s="315">
        <v>2</v>
      </c>
      <c r="C92" s="315">
        <v>0</v>
      </c>
      <c r="D92" s="315">
        <v>2</v>
      </c>
    </row>
    <row r="93" spans="1:4" x14ac:dyDescent="0.2">
      <c r="A93" s="625" t="s">
        <v>2008</v>
      </c>
      <c r="B93" s="315">
        <v>1</v>
      </c>
      <c r="C93" s="315">
        <v>0</v>
      </c>
      <c r="D93" s="315">
        <v>1</v>
      </c>
    </row>
    <row r="94" spans="1:4" x14ac:dyDescent="0.2">
      <c r="A94" s="625" t="s">
        <v>2009</v>
      </c>
      <c r="B94" s="315">
        <v>2</v>
      </c>
      <c r="C94" s="315">
        <v>0</v>
      </c>
      <c r="D94" s="315">
        <v>2</v>
      </c>
    </row>
    <row r="95" spans="1:4" x14ac:dyDescent="0.2">
      <c r="A95" s="625" t="s">
        <v>1992</v>
      </c>
      <c r="B95" s="315">
        <v>18</v>
      </c>
      <c r="C95" s="315">
        <v>0</v>
      </c>
      <c r="D95" s="315">
        <v>18</v>
      </c>
    </row>
    <row r="96" spans="1:4" x14ac:dyDescent="0.2">
      <c r="A96" s="625" t="s">
        <v>2010</v>
      </c>
      <c r="B96" s="315">
        <v>3</v>
      </c>
      <c r="C96" s="315">
        <v>0</v>
      </c>
      <c r="D96" s="315">
        <v>3</v>
      </c>
    </row>
    <row r="97" spans="1:4" x14ac:dyDescent="0.2">
      <c r="A97" s="625" t="s">
        <v>2011</v>
      </c>
      <c r="B97" s="315">
        <v>1</v>
      </c>
      <c r="C97" s="315">
        <v>0</v>
      </c>
      <c r="D97" s="315">
        <v>1</v>
      </c>
    </row>
    <row r="98" spans="1:4" x14ac:dyDescent="0.2">
      <c r="A98" s="625" t="s">
        <v>2012</v>
      </c>
      <c r="B98" s="315">
        <v>2</v>
      </c>
      <c r="C98" s="315">
        <v>0</v>
      </c>
      <c r="D98" s="315">
        <v>2</v>
      </c>
    </row>
    <row r="99" spans="1:4" x14ac:dyDescent="0.2">
      <c r="A99" s="625" t="s">
        <v>2013</v>
      </c>
      <c r="B99" s="315">
        <v>2</v>
      </c>
      <c r="C99" s="315">
        <v>0</v>
      </c>
      <c r="D99" s="315">
        <v>2</v>
      </c>
    </row>
    <row r="100" spans="1:4" x14ac:dyDescent="0.2">
      <c r="A100" s="625" t="s">
        <v>2014</v>
      </c>
      <c r="B100" s="315">
        <v>2</v>
      </c>
      <c r="C100" s="315">
        <v>0</v>
      </c>
      <c r="D100" s="315">
        <v>2</v>
      </c>
    </row>
    <row r="101" spans="1:4" x14ac:dyDescent="0.2">
      <c r="A101" s="625" t="s">
        <v>2015</v>
      </c>
      <c r="B101" s="315">
        <v>1</v>
      </c>
      <c r="C101" s="315">
        <v>0</v>
      </c>
      <c r="D101" s="315">
        <v>1</v>
      </c>
    </row>
    <row r="102" spans="1:4" x14ac:dyDescent="0.2">
      <c r="A102" s="625" t="s">
        <v>1983</v>
      </c>
      <c r="B102" s="315">
        <v>2</v>
      </c>
      <c r="C102" s="315">
        <v>0</v>
      </c>
      <c r="D102" s="315">
        <v>2</v>
      </c>
    </row>
    <row r="103" spans="1:4" x14ac:dyDescent="0.2">
      <c r="A103" s="625" t="s">
        <v>2016</v>
      </c>
      <c r="B103" s="315">
        <v>3</v>
      </c>
      <c r="C103" s="315">
        <v>0</v>
      </c>
      <c r="D103" s="315">
        <v>3</v>
      </c>
    </row>
    <row r="104" spans="1:4" x14ac:dyDescent="0.2">
      <c r="A104" s="625" t="s">
        <v>2017</v>
      </c>
      <c r="B104" s="315">
        <v>1</v>
      </c>
      <c r="C104" s="315">
        <v>0</v>
      </c>
      <c r="D104" s="315">
        <v>1</v>
      </c>
    </row>
    <row r="105" spans="1:4" x14ac:dyDescent="0.2">
      <c r="A105" s="625" t="s">
        <v>2018</v>
      </c>
      <c r="B105" s="315">
        <v>1</v>
      </c>
      <c r="C105" s="315">
        <v>0</v>
      </c>
      <c r="D105" s="315">
        <v>1</v>
      </c>
    </row>
    <row r="106" spans="1:4" x14ac:dyDescent="0.2">
      <c r="A106" s="625" t="s">
        <v>2018</v>
      </c>
      <c r="B106" s="315">
        <v>1</v>
      </c>
      <c r="C106" s="315">
        <v>0</v>
      </c>
      <c r="D106" s="315">
        <v>1</v>
      </c>
    </row>
    <row r="107" spans="1:4" x14ac:dyDescent="0.2">
      <c r="A107" s="625" t="s">
        <v>2019</v>
      </c>
      <c r="B107" s="315">
        <v>3</v>
      </c>
      <c r="C107" s="315">
        <v>0</v>
      </c>
      <c r="D107" s="315">
        <v>3</v>
      </c>
    </row>
    <row r="108" spans="1:4" x14ac:dyDescent="0.2">
      <c r="A108" s="625" t="s">
        <v>2020</v>
      </c>
      <c r="B108" s="315">
        <v>1</v>
      </c>
      <c r="C108" s="315">
        <v>0</v>
      </c>
      <c r="D108" s="315">
        <v>1</v>
      </c>
    </row>
    <row r="109" spans="1:4" s="24" customFormat="1" x14ac:dyDescent="0.2">
      <c r="A109" s="24" t="s">
        <v>930</v>
      </c>
      <c r="B109" s="622">
        <f>SUM(B110)</f>
        <v>3</v>
      </c>
      <c r="C109" s="622">
        <f>SUM(C110)</f>
        <v>0</v>
      </c>
      <c r="D109" s="622">
        <f>SUM(D110)</f>
        <v>3</v>
      </c>
    </row>
    <row r="110" spans="1:4" s="24" customFormat="1" x14ac:dyDescent="0.2">
      <c r="A110" s="679" t="s">
        <v>2021</v>
      </c>
      <c r="B110" s="622">
        <f>SUM(B111:B112)</f>
        <v>3</v>
      </c>
      <c r="C110" s="622">
        <f>SUM(C111:C112)</f>
        <v>0</v>
      </c>
      <c r="D110" s="622">
        <f>SUM(D111:D112)</f>
        <v>3</v>
      </c>
    </row>
    <row r="111" spans="1:4" x14ac:dyDescent="0.2">
      <c r="A111" s="625" t="s">
        <v>2022</v>
      </c>
      <c r="B111" s="315">
        <v>1</v>
      </c>
      <c r="C111" s="315">
        <v>0</v>
      </c>
      <c r="D111" s="315">
        <v>1</v>
      </c>
    </row>
    <row r="112" spans="1:4" x14ac:dyDescent="0.2">
      <c r="A112" s="625" t="s">
        <v>2023</v>
      </c>
      <c r="B112" s="315">
        <v>2</v>
      </c>
      <c r="C112" s="315">
        <v>0</v>
      </c>
      <c r="D112" s="315">
        <v>2</v>
      </c>
    </row>
    <row r="114" spans="1:4" x14ac:dyDescent="0.2">
      <c r="A114" s="2" t="s">
        <v>2024</v>
      </c>
    </row>
    <row r="115" spans="1:4" x14ac:dyDescent="0.2">
      <c r="A115" s="2" t="s">
        <v>19</v>
      </c>
    </row>
    <row r="116" spans="1:4" ht="20.25" customHeight="1" x14ac:dyDescent="0.2">
      <c r="A116" s="652" t="s">
        <v>450</v>
      </c>
      <c r="B116" s="652"/>
      <c r="C116" s="652"/>
      <c r="D116" s="652"/>
    </row>
  </sheetData>
  <mergeCells count="2">
    <mergeCell ref="A2:D2"/>
    <mergeCell ref="A116:D116"/>
  </mergeCells>
  <pageMargins left="0.70866141732283472" right="0.70866141732283472" top="0.74803149606299213" bottom="0.74803149606299213" header="0.31496062992125984" footer="0.31496062992125984"/>
  <pageSetup paperSize="14"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1F3EC-47D1-4482-BC26-39542EC01754}">
  <sheetPr codeName="Hoja124"/>
  <dimension ref="A2:B22"/>
  <sheetViews>
    <sheetView workbookViewId="0">
      <selection activeCell="D4" sqref="D4"/>
    </sheetView>
  </sheetViews>
  <sheetFormatPr baseColWidth="10" defaultColWidth="11.44140625" defaultRowHeight="10.199999999999999" x14ac:dyDescent="0.2"/>
  <cols>
    <col min="1" max="1" width="32.88671875" style="2" bestFit="1" customWidth="1"/>
    <col min="2" max="2" width="22.33203125" style="2" customWidth="1"/>
    <col min="3" max="3" width="29.44140625" style="2" customWidth="1"/>
    <col min="4" max="4" width="26" style="2" customWidth="1"/>
    <col min="5" max="16384" width="11.44140625" style="2"/>
  </cols>
  <sheetData>
    <row r="2" spans="1:2" ht="37.5" customHeight="1" x14ac:dyDescent="0.2">
      <c r="A2" s="45" t="s">
        <v>1125</v>
      </c>
      <c r="B2" s="45"/>
    </row>
    <row r="4" spans="1:2" ht="27.75" customHeight="1" x14ac:dyDescent="0.2">
      <c r="A4" s="644" t="s">
        <v>1928</v>
      </c>
      <c r="B4" s="644" t="s">
        <v>1929</v>
      </c>
    </row>
    <row r="5" spans="1:2" s="24" customFormat="1" x14ac:dyDescent="0.2">
      <c r="A5" s="24" t="s">
        <v>3</v>
      </c>
      <c r="B5" s="24">
        <f>SUM(B6+B9+B12+B15+B17)</f>
        <v>562</v>
      </c>
    </row>
    <row r="6" spans="1:2" s="24" customFormat="1" x14ac:dyDescent="0.2">
      <c r="A6" s="24" t="s">
        <v>871</v>
      </c>
      <c r="B6" s="24">
        <f>SUM(B7:B8)</f>
        <v>480</v>
      </c>
    </row>
    <row r="7" spans="1:2" ht="12.75" customHeight="1" x14ac:dyDescent="0.2">
      <c r="A7" s="625" t="s">
        <v>1944</v>
      </c>
      <c r="B7" s="2">
        <v>471</v>
      </c>
    </row>
    <row r="8" spans="1:2" ht="12.75" customHeight="1" x14ac:dyDescent="0.2">
      <c r="A8" s="625" t="s">
        <v>1931</v>
      </c>
      <c r="B8" s="2">
        <v>9</v>
      </c>
    </row>
    <row r="9" spans="1:2" s="24" customFormat="1" ht="12.75" customHeight="1" x14ac:dyDescent="0.2">
      <c r="A9" s="24" t="s">
        <v>872</v>
      </c>
      <c r="B9" s="24">
        <f>SUM(B10:B11)</f>
        <v>11</v>
      </c>
    </row>
    <row r="10" spans="1:2" ht="12.75" customHeight="1" x14ac:dyDescent="0.2">
      <c r="A10" s="625" t="s">
        <v>1432</v>
      </c>
      <c r="B10" s="2">
        <v>4</v>
      </c>
    </row>
    <row r="11" spans="1:2" ht="12.75" customHeight="1" x14ac:dyDescent="0.2">
      <c r="A11" s="625" t="s">
        <v>1932</v>
      </c>
      <c r="B11" s="2">
        <v>7</v>
      </c>
    </row>
    <row r="12" spans="1:2" s="24" customFormat="1" ht="12.75" customHeight="1" x14ac:dyDescent="0.2">
      <c r="A12" s="24" t="s">
        <v>9</v>
      </c>
      <c r="B12" s="24">
        <f>SUM(B13:B14)</f>
        <v>55</v>
      </c>
    </row>
    <row r="13" spans="1:2" ht="12.75" customHeight="1" x14ac:dyDescent="0.2">
      <c r="A13" s="625" t="s">
        <v>2025</v>
      </c>
      <c r="B13" s="2">
        <v>7</v>
      </c>
    </row>
    <row r="14" spans="1:2" ht="12.75" customHeight="1" x14ac:dyDescent="0.2">
      <c r="A14" s="625" t="s">
        <v>2026</v>
      </c>
      <c r="B14" s="2">
        <v>48</v>
      </c>
    </row>
    <row r="15" spans="1:2" s="24" customFormat="1" ht="12.75" customHeight="1" x14ac:dyDescent="0.2">
      <c r="A15" s="24" t="s">
        <v>10</v>
      </c>
      <c r="B15" s="24">
        <f>SUM(B16)</f>
        <v>5</v>
      </c>
    </row>
    <row r="16" spans="1:2" ht="12.75" customHeight="1" x14ac:dyDescent="0.2">
      <c r="A16" s="625" t="s">
        <v>1937</v>
      </c>
      <c r="B16" s="2">
        <v>5</v>
      </c>
    </row>
    <row r="17" spans="1:2" s="24" customFormat="1" ht="12.75" customHeight="1" x14ac:dyDescent="0.2">
      <c r="A17" s="24" t="s">
        <v>930</v>
      </c>
      <c r="B17" s="24">
        <f>SUM(B18)</f>
        <v>11</v>
      </c>
    </row>
    <row r="18" spans="1:2" ht="12.75" customHeight="1" x14ac:dyDescent="0.2">
      <c r="A18" s="625" t="s">
        <v>1938</v>
      </c>
      <c r="B18" s="2">
        <v>11</v>
      </c>
    </row>
    <row r="19" spans="1:2" ht="6.75" customHeight="1" x14ac:dyDescent="0.2"/>
    <row r="20" spans="1:2" ht="30.75" customHeight="1" x14ac:dyDescent="0.2">
      <c r="A20" s="638" t="s">
        <v>1939</v>
      </c>
      <c r="B20" s="638"/>
    </row>
    <row r="21" spans="1:2" x14ac:dyDescent="0.2">
      <c r="A21" s="638" t="s">
        <v>2027</v>
      </c>
      <c r="B21" s="638"/>
    </row>
    <row r="22" spans="1:2" ht="33.75" customHeight="1" x14ac:dyDescent="0.2">
      <c r="A22" s="638" t="s">
        <v>450</v>
      </c>
      <c r="B22" s="638"/>
    </row>
  </sheetData>
  <mergeCells count="4">
    <mergeCell ref="A2:B2"/>
    <mergeCell ref="A20:B20"/>
    <mergeCell ref="A21:B21"/>
    <mergeCell ref="A22:B22"/>
  </mergeCells>
  <pageMargins left="0.7" right="0.7" top="0.75" bottom="0.75" header="0.3" footer="0.3"/>
  <pageSetup paperSize="14"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0E7DCC-FE30-46E3-B87C-BC612A650339}">
  <sheetPr codeName="Hoja125"/>
  <dimension ref="A1:E38"/>
  <sheetViews>
    <sheetView zoomScaleNormal="100" workbookViewId="0"/>
  </sheetViews>
  <sheetFormatPr baseColWidth="10" defaultColWidth="11.44140625" defaultRowHeight="10.199999999999999" x14ac:dyDescent="0.2"/>
  <cols>
    <col min="1" max="1" width="36.109375" style="2" customWidth="1"/>
    <col min="2" max="2" width="35.44140625" style="2" customWidth="1"/>
    <col min="3" max="3" width="12.44140625" style="2" customWidth="1"/>
    <col min="4" max="4" width="11.44140625" style="665"/>
    <col min="5" max="5" width="11.44140625" style="2"/>
    <col min="6" max="8" width="11.109375" style="2" customWidth="1"/>
    <col min="9" max="9" width="12.5546875" style="2" customWidth="1"/>
    <col min="10" max="10" width="10.44140625" style="2" customWidth="1"/>
    <col min="11" max="16384" width="11.44140625" style="2"/>
  </cols>
  <sheetData>
    <row r="1" spans="1:5" ht="9.75" customHeight="1" x14ac:dyDescent="0.2"/>
    <row r="2" spans="1:5" s="624" customFormat="1" ht="17.25" customHeight="1" x14ac:dyDescent="0.2">
      <c r="A2" s="620" t="s">
        <v>1126</v>
      </c>
      <c r="B2" s="620"/>
      <c r="C2" s="620"/>
      <c r="D2" s="620"/>
      <c r="E2" s="620"/>
    </row>
    <row r="3" spans="1:5" ht="13.5" customHeight="1" x14ac:dyDescent="0.2"/>
    <row r="4" spans="1:5" ht="27" customHeight="1" x14ac:dyDescent="0.2">
      <c r="A4" s="621" t="s">
        <v>2028</v>
      </c>
      <c r="B4" s="621" t="s">
        <v>2029</v>
      </c>
      <c r="C4" s="621" t="s">
        <v>2030</v>
      </c>
      <c r="D4" s="621" t="s">
        <v>2031</v>
      </c>
      <c r="E4" s="621" t="s">
        <v>2032</v>
      </c>
    </row>
    <row r="5" spans="1:5" s="24" customFormat="1" ht="13.5" customHeight="1" x14ac:dyDescent="0.2">
      <c r="A5" s="24" t="s">
        <v>871</v>
      </c>
      <c r="C5" s="24">
        <f>SUM(C6:C20)</f>
        <v>15</v>
      </c>
      <c r="D5" s="664" t="s">
        <v>193</v>
      </c>
      <c r="E5" s="24">
        <f>SUM(E6:E20)</f>
        <v>480</v>
      </c>
    </row>
    <row r="6" spans="1:5" ht="12.75" customHeight="1" x14ac:dyDescent="0.2">
      <c r="A6" s="625" t="s">
        <v>1931</v>
      </c>
      <c r="B6" s="2" t="s">
        <v>2033</v>
      </c>
      <c r="C6" s="2">
        <v>1</v>
      </c>
      <c r="D6" s="665" t="s">
        <v>193</v>
      </c>
      <c r="E6" s="2">
        <v>2</v>
      </c>
    </row>
    <row r="7" spans="1:5" ht="13.5" customHeight="1" x14ac:dyDescent="0.2">
      <c r="A7" s="625" t="s">
        <v>1931</v>
      </c>
      <c r="B7" s="2" t="s">
        <v>2034</v>
      </c>
      <c r="C7" s="2">
        <v>1</v>
      </c>
      <c r="D7" s="665" t="s">
        <v>193</v>
      </c>
      <c r="E7" s="2">
        <v>7</v>
      </c>
    </row>
    <row r="8" spans="1:5" ht="12.75" customHeight="1" x14ac:dyDescent="0.2">
      <c r="A8" s="625" t="s">
        <v>1944</v>
      </c>
      <c r="B8" s="2" t="s">
        <v>2035</v>
      </c>
      <c r="C8" s="2">
        <v>1</v>
      </c>
      <c r="D8" s="665" t="s">
        <v>193</v>
      </c>
      <c r="E8" s="2">
        <v>123</v>
      </c>
    </row>
    <row r="9" spans="1:5" ht="12.75" customHeight="1" x14ac:dyDescent="0.2">
      <c r="A9" s="625" t="s">
        <v>1944</v>
      </c>
      <c r="B9" s="2" t="s">
        <v>2036</v>
      </c>
      <c r="C9" s="2">
        <v>1</v>
      </c>
      <c r="D9" s="665" t="s">
        <v>193</v>
      </c>
      <c r="E9" s="2">
        <v>6</v>
      </c>
    </row>
    <row r="10" spans="1:5" ht="13.5" customHeight="1" x14ac:dyDescent="0.2">
      <c r="A10" s="625" t="s">
        <v>1944</v>
      </c>
      <c r="B10" s="2" t="s">
        <v>2037</v>
      </c>
      <c r="C10" s="2">
        <v>1</v>
      </c>
      <c r="D10" s="665" t="s">
        <v>193</v>
      </c>
      <c r="E10" s="2">
        <v>229</v>
      </c>
    </row>
    <row r="11" spans="1:5" ht="12.75" customHeight="1" x14ac:dyDescent="0.2">
      <c r="A11" s="625" t="s">
        <v>1944</v>
      </c>
      <c r="B11" s="2" t="s">
        <v>2038</v>
      </c>
      <c r="C11" s="2">
        <v>1</v>
      </c>
      <c r="D11" s="665" t="s">
        <v>193</v>
      </c>
      <c r="E11" s="2">
        <v>50</v>
      </c>
    </row>
    <row r="12" spans="1:5" ht="12.75" customHeight="1" x14ac:dyDescent="0.2">
      <c r="A12" s="625" t="s">
        <v>1944</v>
      </c>
      <c r="B12" s="2" t="s">
        <v>2039</v>
      </c>
      <c r="C12" s="2">
        <v>1</v>
      </c>
      <c r="D12" s="665" t="s">
        <v>193</v>
      </c>
      <c r="E12" s="2">
        <v>42</v>
      </c>
    </row>
    <row r="13" spans="1:5" ht="13.5" customHeight="1" x14ac:dyDescent="0.2">
      <c r="A13" s="625" t="s">
        <v>1944</v>
      </c>
      <c r="B13" s="2" t="s">
        <v>2040</v>
      </c>
      <c r="C13" s="2">
        <v>1</v>
      </c>
      <c r="D13" s="665" t="s">
        <v>193</v>
      </c>
      <c r="E13" s="2">
        <v>3</v>
      </c>
    </row>
    <row r="14" spans="1:5" ht="12.75" customHeight="1" x14ac:dyDescent="0.2">
      <c r="A14" s="625" t="s">
        <v>1944</v>
      </c>
      <c r="B14" s="2" t="s">
        <v>2041</v>
      </c>
      <c r="C14" s="2">
        <v>1</v>
      </c>
      <c r="D14" s="665" t="s">
        <v>193</v>
      </c>
      <c r="E14" s="2">
        <v>4</v>
      </c>
    </row>
    <row r="15" spans="1:5" ht="13.5" customHeight="1" x14ac:dyDescent="0.2">
      <c r="A15" s="625" t="s">
        <v>1944</v>
      </c>
      <c r="B15" s="2" t="s">
        <v>2033</v>
      </c>
      <c r="C15" s="2">
        <v>1</v>
      </c>
      <c r="D15" s="665" t="s">
        <v>193</v>
      </c>
      <c r="E15" s="2">
        <v>2</v>
      </c>
    </row>
    <row r="16" spans="1:5" ht="12.75" customHeight="1" x14ac:dyDescent="0.2">
      <c r="A16" s="625" t="s">
        <v>1944</v>
      </c>
      <c r="B16" s="2" t="s">
        <v>2042</v>
      </c>
      <c r="C16" s="2">
        <v>1</v>
      </c>
      <c r="D16" s="665" t="s">
        <v>193</v>
      </c>
      <c r="E16" s="2">
        <v>1</v>
      </c>
    </row>
    <row r="17" spans="1:5" x14ac:dyDescent="0.2">
      <c r="A17" s="625" t="s">
        <v>1944</v>
      </c>
      <c r="B17" s="2" t="s">
        <v>2043</v>
      </c>
      <c r="C17" s="2">
        <v>1</v>
      </c>
      <c r="D17" s="665" t="s">
        <v>193</v>
      </c>
      <c r="E17" s="2">
        <v>1</v>
      </c>
    </row>
    <row r="18" spans="1:5" x14ac:dyDescent="0.2">
      <c r="A18" s="625" t="s">
        <v>1944</v>
      </c>
      <c r="B18" s="2" t="s">
        <v>2044</v>
      </c>
      <c r="C18" s="2">
        <v>1</v>
      </c>
      <c r="D18" s="665" t="s">
        <v>193</v>
      </c>
      <c r="E18" s="2">
        <v>2</v>
      </c>
    </row>
    <row r="19" spans="1:5" x14ac:dyDescent="0.2">
      <c r="A19" s="625" t="s">
        <v>1944</v>
      </c>
      <c r="B19" s="2" t="s">
        <v>2045</v>
      </c>
      <c r="C19" s="2">
        <v>1</v>
      </c>
      <c r="D19" s="665" t="s">
        <v>193</v>
      </c>
      <c r="E19" s="2">
        <v>1</v>
      </c>
    </row>
    <row r="20" spans="1:5" x14ac:dyDescent="0.2">
      <c r="A20" s="625" t="s">
        <v>1944</v>
      </c>
      <c r="B20" s="2" t="s">
        <v>2046</v>
      </c>
      <c r="C20" s="2">
        <v>1</v>
      </c>
      <c r="D20" s="665" t="s">
        <v>193</v>
      </c>
      <c r="E20" s="2">
        <v>7</v>
      </c>
    </row>
    <row r="21" spans="1:5" s="24" customFormat="1" x14ac:dyDescent="0.2">
      <c r="A21" s="24" t="s">
        <v>872</v>
      </c>
      <c r="C21" s="24">
        <f>SUM(C22:C23)</f>
        <v>2</v>
      </c>
      <c r="D21" s="664" t="s">
        <v>193</v>
      </c>
      <c r="E21" s="24">
        <f>SUM(E22:E23)</f>
        <v>11</v>
      </c>
    </row>
    <row r="22" spans="1:5" x14ac:dyDescent="0.2">
      <c r="A22" s="625" t="s">
        <v>1521</v>
      </c>
      <c r="B22" s="2" t="s">
        <v>2047</v>
      </c>
      <c r="C22" s="2">
        <v>1</v>
      </c>
      <c r="D22" s="665" t="s">
        <v>193</v>
      </c>
      <c r="E22" s="2">
        <v>4</v>
      </c>
    </row>
    <row r="23" spans="1:5" x14ac:dyDescent="0.2">
      <c r="A23" s="625" t="s">
        <v>1432</v>
      </c>
      <c r="B23" s="2" t="s">
        <v>2048</v>
      </c>
      <c r="C23" s="2">
        <v>1</v>
      </c>
      <c r="D23" s="665" t="s">
        <v>193</v>
      </c>
      <c r="E23" s="2">
        <v>7</v>
      </c>
    </row>
    <row r="24" spans="1:5" s="24" customFormat="1" x14ac:dyDescent="0.2">
      <c r="A24" s="24" t="s">
        <v>9</v>
      </c>
      <c r="C24" s="24">
        <f>SUM(C25:C26)</f>
        <v>2</v>
      </c>
      <c r="D24" s="664" t="s">
        <v>193</v>
      </c>
      <c r="E24" s="24">
        <f>SUM(E25:E26)</f>
        <v>55</v>
      </c>
    </row>
    <row r="25" spans="1:5" x14ac:dyDescent="0.2">
      <c r="A25" s="625" t="s">
        <v>2025</v>
      </c>
      <c r="B25" s="2" t="s">
        <v>2049</v>
      </c>
      <c r="C25" s="2">
        <v>1</v>
      </c>
      <c r="D25" s="665" t="s">
        <v>193</v>
      </c>
      <c r="E25" s="2">
        <v>7</v>
      </c>
    </row>
    <row r="26" spans="1:5" ht="12" x14ac:dyDescent="0.2">
      <c r="A26" s="625" t="s">
        <v>2050</v>
      </c>
      <c r="B26" s="2" t="s">
        <v>2049</v>
      </c>
      <c r="C26" s="2">
        <v>1</v>
      </c>
      <c r="D26" s="665" t="s">
        <v>193</v>
      </c>
      <c r="E26" s="2">
        <v>48</v>
      </c>
    </row>
    <row r="27" spans="1:5" s="24" customFormat="1" x14ac:dyDescent="0.2">
      <c r="A27" s="24" t="s">
        <v>10</v>
      </c>
      <c r="C27" s="24">
        <f>SUM(C28:C30)</f>
        <v>3</v>
      </c>
      <c r="D27" s="664" t="s">
        <v>193</v>
      </c>
      <c r="E27" s="24">
        <f>SUM(E28:E30)</f>
        <v>5</v>
      </c>
    </row>
    <row r="28" spans="1:5" x14ac:dyDescent="0.2">
      <c r="A28" s="625" t="s">
        <v>1937</v>
      </c>
      <c r="B28" s="2" t="s">
        <v>2051</v>
      </c>
      <c r="C28" s="2">
        <v>1</v>
      </c>
      <c r="D28" s="665" t="s">
        <v>2052</v>
      </c>
      <c r="E28" s="2">
        <v>1</v>
      </c>
    </row>
    <row r="29" spans="1:5" x14ac:dyDescent="0.2">
      <c r="A29" s="625" t="s">
        <v>1937</v>
      </c>
      <c r="B29" s="2" t="s">
        <v>2053</v>
      </c>
      <c r="C29" s="2">
        <v>1</v>
      </c>
      <c r="D29" s="665" t="s">
        <v>2016</v>
      </c>
      <c r="E29" s="2">
        <v>1</v>
      </c>
    </row>
    <row r="30" spans="1:5" x14ac:dyDescent="0.2">
      <c r="A30" s="625" t="s">
        <v>1937</v>
      </c>
      <c r="B30" s="2" t="s">
        <v>2054</v>
      </c>
      <c r="C30" s="2">
        <v>1</v>
      </c>
      <c r="D30" s="665" t="s">
        <v>2054</v>
      </c>
      <c r="E30" s="2">
        <v>3</v>
      </c>
    </row>
    <row r="31" spans="1:5" s="24" customFormat="1" x14ac:dyDescent="0.2">
      <c r="A31" s="24" t="s">
        <v>930</v>
      </c>
      <c r="C31" s="24">
        <f>SUM(C32:C34)</f>
        <v>3</v>
      </c>
      <c r="D31" s="664" t="s">
        <v>193</v>
      </c>
      <c r="E31" s="24">
        <f>SUM(E32:E34)</f>
        <v>11</v>
      </c>
    </row>
    <row r="32" spans="1:5" x14ac:dyDescent="0.2">
      <c r="A32" s="625" t="s">
        <v>2021</v>
      </c>
      <c r="B32" s="2" t="s">
        <v>2055</v>
      </c>
      <c r="C32" s="2">
        <v>1</v>
      </c>
      <c r="D32" s="665" t="s">
        <v>193</v>
      </c>
      <c r="E32" s="2">
        <v>9</v>
      </c>
    </row>
    <row r="33" spans="1:5" x14ac:dyDescent="0.2">
      <c r="A33" s="625" t="s">
        <v>2021</v>
      </c>
      <c r="B33" s="2" t="s">
        <v>2056</v>
      </c>
      <c r="C33" s="2">
        <v>1</v>
      </c>
      <c r="D33" s="665" t="s">
        <v>193</v>
      </c>
      <c r="E33" s="2">
        <v>1</v>
      </c>
    </row>
    <row r="34" spans="1:5" x14ac:dyDescent="0.2">
      <c r="A34" s="625" t="s">
        <v>2021</v>
      </c>
      <c r="B34" s="2" t="s">
        <v>2057</v>
      </c>
      <c r="C34" s="2">
        <v>1</v>
      </c>
      <c r="D34" s="665" t="s">
        <v>193</v>
      </c>
      <c r="E34" s="2">
        <v>1</v>
      </c>
    </row>
    <row r="36" spans="1:5" ht="21.75" customHeight="1" x14ac:dyDescent="0.2">
      <c r="A36" s="638" t="s">
        <v>2058</v>
      </c>
      <c r="B36" s="638"/>
      <c r="C36" s="638"/>
      <c r="D36" s="638"/>
      <c r="E36" s="638"/>
    </row>
    <row r="37" spans="1:5" x14ac:dyDescent="0.2">
      <c r="A37" s="638" t="s">
        <v>2027</v>
      </c>
      <c r="B37" s="638"/>
      <c r="C37" s="309"/>
      <c r="D37" s="309"/>
      <c r="E37" s="309"/>
    </row>
    <row r="38" spans="1:5" ht="21.75" customHeight="1" x14ac:dyDescent="0.2">
      <c r="A38" s="638" t="s">
        <v>450</v>
      </c>
      <c r="B38" s="638"/>
      <c r="C38" s="638"/>
      <c r="D38" s="638"/>
      <c r="E38" s="638"/>
    </row>
  </sheetData>
  <mergeCells count="4">
    <mergeCell ref="A2:E2"/>
    <mergeCell ref="A36:E36"/>
    <mergeCell ref="A37:B37"/>
    <mergeCell ref="A38:E38"/>
  </mergeCells>
  <pageMargins left="0.7" right="0.7" top="0.75" bottom="0.75" header="0.3" footer="0.3"/>
  <pageSetup paperSize="14" scale="85"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07745-B344-4BE1-8452-93E5E334549D}">
  <sheetPr codeName="Hoja126">
    <tabColor theme="8"/>
  </sheetPr>
  <dimension ref="A2:D16"/>
  <sheetViews>
    <sheetView zoomScaleNormal="100" workbookViewId="0">
      <selection activeCell="A8" sqref="A8"/>
    </sheetView>
  </sheetViews>
  <sheetFormatPr baseColWidth="10" defaultColWidth="11.44140625" defaultRowHeight="10.199999999999999" x14ac:dyDescent="0.2"/>
  <cols>
    <col min="1" max="16384" width="11.44140625" style="2"/>
  </cols>
  <sheetData>
    <row r="2" spans="1:4" x14ac:dyDescent="0.2">
      <c r="A2" s="24" t="s">
        <v>2059</v>
      </c>
    </row>
    <row r="3" spans="1:4" x14ac:dyDescent="0.2">
      <c r="A3" s="309"/>
      <c r="B3" s="655"/>
      <c r="C3" s="643"/>
      <c r="D3" s="643"/>
    </row>
    <row r="4" spans="1:4" x14ac:dyDescent="0.2">
      <c r="A4" s="680" t="s">
        <v>2060</v>
      </c>
      <c r="B4" s="655"/>
      <c r="C4" s="643"/>
      <c r="D4" s="643"/>
    </row>
    <row r="5" spans="1:4" x14ac:dyDescent="0.2">
      <c r="A5" s="680" t="s">
        <v>2061</v>
      </c>
      <c r="B5" s="655"/>
      <c r="C5" s="643"/>
      <c r="D5" s="643"/>
    </row>
    <row r="6" spans="1:4" x14ac:dyDescent="0.2">
      <c r="A6" s="680" t="s">
        <v>2062</v>
      </c>
      <c r="B6" s="655"/>
      <c r="C6" s="643"/>
      <c r="D6" s="643"/>
    </row>
    <row r="7" spans="1:4" x14ac:dyDescent="0.2">
      <c r="A7" s="681" t="s">
        <v>2063</v>
      </c>
      <c r="B7" s="655"/>
      <c r="C7" s="643"/>
      <c r="D7" s="643"/>
    </row>
    <row r="8" spans="1:4" x14ac:dyDescent="0.2">
      <c r="A8" s="681" t="s">
        <v>2064</v>
      </c>
      <c r="B8" s="655"/>
      <c r="C8" s="643"/>
      <c r="D8" s="643"/>
    </row>
    <row r="9" spans="1:4" x14ac:dyDescent="0.2">
      <c r="A9" s="309"/>
      <c r="B9" s="655"/>
      <c r="C9" s="643"/>
      <c r="D9" s="643"/>
    </row>
    <row r="10" spans="1:4" x14ac:dyDescent="0.2">
      <c r="A10" s="309"/>
      <c r="B10" s="655"/>
      <c r="C10" s="643"/>
      <c r="D10" s="643"/>
    </row>
    <row r="11" spans="1:4" x14ac:dyDescent="0.2">
      <c r="A11" s="309"/>
      <c r="B11" s="655"/>
      <c r="C11" s="643"/>
      <c r="D11" s="643"/>
    </row>
    <row r="12" spans="1:4" x14ac:dyDescent="0.2">
      <c r="A12" s="309"/>
      <c r="B12" s="655"/>
      <c r="C12" s="643"/>
      <c r="D12" s="643"/>
    </row>
    <row r="13" spans="1:4" x14ac:dyDescent="0.2">
      <c r="A13" s="309"/>
      <c r="B13" s="655"/>
      <c r="C13" s="643"/>
      <c r="D13" s="643"/>
    </row>
    <row r="14" spans="1:4" x14ac:dyDescent="0.2">
      <c r="A14" s="309"/>
      <c r="B14" s="655"/>
      <c r="C14" s="643"/>
      <c r="D14" s="643"/>
    </row>
    <row r="15" spans="1:4" x14ac:dyDescent="0.2">
      <c r="A15" s="309"/>
    </row>
    <row r="16" spans="1:4" x14ac:dyDescent="0.2">
      <c r="A16" s="309"/>
      <c r="B16" s="309"/>
      <c r="C16" s="309"/>
      <c r="D16" s="309"/>
    </row>
  </sheetData>
  <hyperlinks>
    <hyperlink ref="A4" location="'3.2-01'!A1" display="CUADRO 3.2-01: NÚMERO DE ARTESANOS INSCRITOS EN EL SISTEMA DE INFORMACIÓN NACIONAL DE ARTESANÍA DEL CONSEJO NACIONAL DE LA CULTURA Y LAS ARTES (CNCA) POR SEXO, SEGÚN REGIÓN. 2013" xr:uid="{DCD71564-1BBD-407A-8AF8-17AE5CAA6263}"/>
    <hyperlink ref="A5" location="'3.2-02'!A1" display="CUADRO 3.2-02: NÚMERO DE ARTESANOS INSCRITOS EN EL SISTEMA DE INFORMACIÓN NACIONAL DE ARTESANÍA DEL CONSEJO NACIONAL DE LA CULTURA Y LAS ARTES (CNCA) POR PUEBLO ORIGINARIO, SEGÚN REGIÓN. 2013" xr:uid="{4CFD3845-832F-48AF-8F76-A3FFD32E271A}"/>
    <hyperlink ref="A6" location="'3.2-03'!A1" display="CUADRO 3.2-03: NÚMERO DE ARTESANOS INSCRITOS EN EL SISTEMA DE INFORMACIÓN NACIONAL DE ARTESANÍA DEL CONSEJO NACIONAL DE LA CULTURA Y LAS ARTES (CNCA) POR DISCIPLINA, SEGÚN REGIÓN. 2013" xr:uid="{C47A5B67-861D-4FF8-9A26-E51139C71E3D}"/>
    <hyperlink ref="A7" location="'3.2-04'!A1" display="CUADRO 3.2-04: DISTRIBUCIÓN REGIONAL DE OBJETOS DE ARTESANÍA CON SELLO DE EXCELENCIA DEL CONSEJO NACIONAL DE LA CULTURA Y LAS ARTES (CNCA) Y RECONOCIMIENTO UNESCO. 2008-2013/1" xr:uid="{31B0A8C0-C7F2-4DB1-9E51-97BE0B2326FD}"/>
    <hyperlink ref="A8" location="'3.2-05'!A1" display="CUADRO 3.2-05: NÓMINA DE PRODUCTOS ARTESANALES CON SELLO DE EXCELENCIA DEL CONSEJO NACIONAL DE LA CULTURA Y LAS ARTES (CNCA) Y CON RECONOCIMIENTO UNESCO POR DISCIPLINA, REGIÓN Y COMUNA. 2013/1" xr:uid="{8D299C13-C1E7-4065-ACB6-CF96A0C35E33}"/>
  </hyperlinks>
  <pageMargins left="0.7" right="0.7" top="0.75" bottom="0.75" header="0.3" footer="0.3"/>
  <pageSetup paperSize="14" orientation="portrait"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5EAC0-BCC3-4F6A-AB55-0225FA83D8D5}">
  <sheetPr codeName="Hoja127"/>
  <dimension ref="A2:D23"/>
  <sheetViews>
    <sheetView zoomScaleNormal="100" workbookViewId="0">
      <selection activeCell="D25" sqref="D25"/>
    </sheetView>
  </sheetViews>
  <sheetFormatPr baseColWidth="10" defaultRowHeight="13.2" x14ac:dyDescent="0.25"/>
  <cols>
    <col min="1" max="1" width="32.5546875" customWidth="1"/>
  </cols>
  <sheetData>
    <row r="2" spans="1:4" s="13" customFormat="1" ht="39.75" customHeight="1" x14ac:dyDescent="0.2">
      <c r="A2" s="308" t="s">
        <v>2060</v>
      </c>
      <c r="B2" s="684"/>
      <c r="C2" s="684"/>
      <c r="D2" s="684"/>
    </row>
    <row r="3" spans="1:4" s="13" customFormat="1" ht="9" x14ac:dyDescent="0.15"/>
    <row r="4" spans="1:4" s="2" customFormat="1" ht="15" customHeight="1" x14ac:dyDescent="0.2">
      <c r="A4" s="323" t="s">
        <v>0</v>
      </c>
      <c r="B4" s="323" t="s">
        <v>42</v>
      </c>
      <c r="C4" s="685" t="s">
        <v>2065</v>
      </c>
      <c r="D4" s="685"/>
    </row>
    <row r="5" spans="1:4" s="2" customFormat="1" ht="18" customHeight="1" x14ac:dyDescent="0.2">
      <c r="A5" s="323"/>
      <c r="B5" s="323"/>
      <c r="C5" s="621" t="s">
        <v>123</v>
      </c>
      <c r="D5" s="621" t="s">
        <v>122</v>
      </c>
    </row>
    <row r="6" spans="1:4" s="2" customFormat="1" ht="10.199999999999999" x14ac:dyDescent="0.2">
      <c r="A6" s="44" t="s">
        <v>3</v>
      </c>
      <c r="B6" s="683">
        <f>SUM(B7:B21)</f>
        <v>1261</v>
      </c>
      <c r="C6" s="683">
        <f>SUM(C7:C21)</f>
        <v>801</v>
      </c>
      <c r="D6" s="683">
        <f>SUM(D7:D21)</f>
        <v>460</v>
      </c>
    </row>
    <row r="7" spans="1:4" s="2" customFormat="1" ht="10.199999999999999" x14ac:dyDescent="0.2">
      <c r="A7" s="2" t="s">
        <v>4</v>
      </c>
      <c r="B7" s="655">
        <f t="shared" ref="B7:B21" si="0">SUM(C7:D7)</f>
        <v>36</v>
      </c>
      <c r="C7" s="643">
        <v>30</v>
      </c>
      <c r="D7" s="643">
        <v>6</v>
      </c>
    </row>
    <row r="8" spans="1:4" s="2" customFormat="1" ht="10.199999999999999" x14ac:dyDescent="0.2">
      <c r="A8" s="2" t="s">
        <v>5</v>
      </c>
      <c r="B8" s="655">
        <f t="shared" si="0"/>
        <v>121</v>
      </c>
      <c r="C8" s="643">
        <v>96</v>
      </c>
      <c r="D8" s="643">
        <v>25</v>
      </c>
    </row>
    <row r="9" spans="1:4" s="2" customFormat="1" ht="10.199999999999999" x14ac:dyDescent="0.2">
      <c r="A9" s="2" t="s">
        <v>6</v>
      </c>
      <c r="B9" s="655">
        <f t="shared" si="0"/>
        <v>54</v>
      </c>
      <c r="C9" s="643">
        <v>19</v>
      </c>
      <c r="D9" s="643">
        <v>35</v>
      </c>
    </row>
    <row r="10" spans="1:4" s="2" customFormat="1" ht="10.199999999999999" x14ac:dyDescent="0.2">
      <c r="A10" s="2" t="s">
        <v>7</v>
      </c>
      <c r="B10" s="655">
        <f t="shared" si="0"/>
        <v>20</v>
      </c>
      <c r="C10" s="643">
        <v>17</v>
      </c>
      <c r="D10" s="643">
        <v>3</v>
      </c>
    </row>
    <row r="11" spans="1:4" s="2" customFormat="1" ht="10.199999999999999" x14ac:dyDescent="0.2">
      <c r="A11" s="2" t="s">
        <v>8</v>
      </c>
      <c r="B11" s="655">
        <f t="shared" si="0"/>
        <v>107</v>
      </c>
      <c r="C11" s="643">
        <v>57</v>
      </c>
      <c r="D11" s="643">
        <v>50</v>
      </c>
    </row>
    <row r="12" spans="1:4" s="2" customFormat="1" ht="10.199999999999999" x14ac:dyDescent="0.2">
      <c r="A12" s="2" t="s">
        <v>9</v>
      </c>
      <c r="B12" s="655">
        <f t="shared" si="0"/>
        <v>93</v>
      </c>
      <c r="C12" s="643">
        <v>52</v>
      </c>
      <c r="D12" s="643">
        <v>41</v>
      </c>
    </row>
    <row r="13" spans="1:4" s="2" customFormat="1" ht="10.199999999999999" x14ac:dyDescent="0.2">
      <c r="A13" s="2" t="s">
        <v>10</v>
      </c>
      <c r="B13" s="655">
        <f t="shared" si="0"/>
        <v>240</v>
      </c>
      <c r="C13" s="643">
        <v>95</v>
      </c>
      <c r="D13" s="643">
        <v>145</v>
      </c>
    </row>
    <row r="14" spans="1:4" s="2" customFormat="1" ht="10.199999999999999" x14ac:dyDescent="0.2">
      <c r="A14" s="2" t="s">
        <v>134</v>
      </c>
      <c r="B14" s="655">
        <f t="shared" si="0"/>
        <v>62</v>
      </c>
      <c r="C14" s="643">
        <v>49</v>
      </c>
      <c r="D14" s="643">
        <v>13</v>
      </c>
    </row>
    <row r="15" spans="1:4" s="2" customFormat="1" ht="10.199999999999999" x14ac:dyDescent="0.2">
      <c r="A15" s="2" t="s">
        <v>12</v>
      </c>
      <c r="B15" s="655">
        <f t="shared" si="0"/>
        <v>107</v>
      </c>
      <c r="C15" s="643">
        <v>91</v>
      </c>
      <c r="D15" s="643">
        <v>16</v>
      </c>
    </row>
    <row r="16" spans="1:4" s="2" customFormat="1" ht="10.199999999999999" x14ac:dyDescent="0.2">
      <c r="A16" s="2" t="s">
        <v>13</v>
      </c>
      <c r="B16" s="655">
        <f t="shared" si="0"/>
        <v>116</v>
      </c>
      <c r="C16" s="643">
        <v>88</v>
      </c>
      <c r="D16" s="643">
        <v>28</v>
      </c>
    </row>
    <row r="17" spans="1:4" s="2" customFormat="1" ht="10.199999999999999" x14ac:dyDescent="0.2">
      <c r="A17" s="2" t="s">
        <v>47</v>
      </c>
      <c r="B17" s="655">
        <f t="shared" si="0"/>
        <v>96</v>
      </c>
      <c r="C17" s="643">
        <v>70</v>
      </c>
      <c r="D17" s="643">
        <v>26</v>
      </c>
    </row>
    <row r="18" spans="1:4" s="2" customFormat="1" ht="10.199999999999999" x14ac:dyDescent="0.2">
      <c r="A18" s="2" t="s">
        <v>135</v>
      </c>
      <c r="B18" s="655">
        <f t="shared" si="0"/>
        <v>73</v>
      </c>
      <c r="C18" s="643">
        <v>39</v>
      </c>
      <c r="D18" s="643">
        <v>34</v>
      </c>
    </row>
    <row r="19" spans="1:4" s="2" customFormat="1" ht="10.199999999999999" x14ac:dyDescent="0.2">
      <c r="A19" s="2" t="s">
        <v>136</v>
      </c>
      <c r="B19" s="655">
        <f t="shared" si="0"/>
        <v>106</v>
      </c>
      <c r="C19" s="643">
        <v>82</v>
      </c>
      <c r="D19" s="643">
        <v>24</v>
      </c>
    </row>
    <row r="20" spans="1:4" s="2" customFormat="1" ht="10.199999999999999" x14ac:dyDescent="0.2">
      <c r="A20" s="2" t="s">
        <v>17</v>
      </c>
      <c r="B20" s="655">
        <f t="shared" si="0"/>
        <v>18</v>
      </c>
      <c r="C20" s="643">
        <v>9</v>
      </c>
      <c r="D20" s="643">
        <v>9</v>
      </c>
    </row>
    <row r="21" spans="1:4" s="2" customFormat="1" ht="10.199999999999999" x14ac:dyDescent="0.2">
      <c r="A21" s="2" t="s">
        <v>18</v>
      </c>
      <c r="B21" s="655">
        <f t="shared" si="0"/>
        <v>12</v>
      </c>
      <c r="C21" s="643">
        <v>7</v>
      </c>
      <c r="D21" s="643">
        <v>5</v>
      </c>
    </row>
    <row r="22" spans="1:4" s="686" customFormat="1" ht="10.199999999999999" x14ac:dyDescent="0.2"/>
    <row r="23" spans="1:4" s="686" customFormat="1" ht="27.75" customHeight="1" x14ac:dyDescent="0.2">
      <c r="A23" s="652" t="s">
        <v>2066</v>
      </c>
      <c r="B23" s="652"/>
      <c r="C23" s="652"/>
      <c r="D23" s="652"/>
    </row>
  </sheetData>
  <mergeCells count="5">
    <mergeCell ref="A2:D2"/>
    <mergeCell ref="A4:A5"/>
    <mergeCell ref="B4:B5"/>
    <mergeCell ref="C4:D4"/>
    <mergeCell ref="A23:D23"/>
  </mergeCells>
  <pageMargins left="0.7" right="0.7" top="0.75" bottom="0.75" header="0.3" footer="0.3"/>
  <pageSetup paperSize="14" orientation="portrait"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64329C-0541-4781-BE77-FE6BC4549C32}">
  <sheetPr codeName="Hoja128"/>
  <dimension ref="A1:L26"/>
  <sheetViews>
    <sheetView zoomScaleNormal="100" workbookViewId="0">
      <selection activeCell="D25" sqref="D25"/>
    </sheetView>
  </sheetViews>
  <sheetFormatPr baseColWidth="10" defaultRowHeight="13.2" x14ac:dyDescent="0.25"/>
  <cols>
    <col min="1" max="1" width="17.6640625" customWidth="1"/>
    <col min="3" max="3" width="22.88671875" customWidth="1"/>
  </cols>
  <sheetData>
    <row r="1" spans="1:12" ht="15.6" x14ac:dyDescent="0.25">
      <c r="A1" s="687"/>
    </row>
    <row r="2" spans="1:12" s="338" customFormat="1" ht="24.75" customHeight="1" x14ac:dyDescent="0.25">
      <c r="A2" s="308" t="s">
        <v>2061</v>
      </c>
      <c r="B2" s="308"/>
      <c r="C2" s="308"/>
      <c r="D2" s="308"/>
      <c r="E2" s="308"/>
      <c r="F2" s="308"/>
      <c r="G2" s="308"/>
      <c r="H2" s="308"/>
      <c r="I2" s="308"/>
      <c r="J2" s="308"/>
      <c r="K2" s="308"/>
      <c r="L2" s="308"/>
    </row>
    <row r="3" spans="1:12" s="2" customFormat="1" ht="16.5" customHeight="1" x14ac:dyDescent="0.2"/>
    <row r="4" spans="1:12" s="2" customFormat="1" ht="15.75" customHeight="1" x14ac:dyDescent="0.2">
      <c r="A4" s="323" t="s">
        <v>0</v>
      </c>
      <c r="B4" s="275" t="s">
        <v>42</v>
      </c>
      <c r="C4" s="688" t="s">
        <v>2067</v>
      </c>
      <c r="D4" s="689"/>
      <c r="E4" s="689"/>
      <c r="F4" s="689"/>
      <c r="G4" s="689"/>
      <c r="H4" s="689"/>
      <c r="I4" s="689"/>
      <c r="J4" s="689"/>
      <c r="K4" s="689"/>
      <c r="L4" s="689"/>
    </row>
    <row r="5" spans="1:12" s="324" customFormat="1" ht="19.5" customHeight="1" x14ac:dyDescent="0.25">
      <c r="A5" s="323"/>
      <c r="B5" s="277"/>
      <c r="C5" s="644" t="s">
        <v>2068</v>
      </c>
      <c r="D5" s="644" t="s">
        <v>2069</v>
      </c>
      <c r="E5" s="644" t="s">
        <v>2070</v>
      </c>
      <c r="F5" s="644" t="s">
        <v>2071</v>
      </c>
      <c r="G5" s="644" t="s">
        <v>2072</v>
      </c>
      <c r="H5" s="644" t="s">
        <v>2073</v>
      </c>
      <c r="I5" s="644" t="s">
        <v>2074</v>
      </c>
      <c r="J5" s="644" t="s">
        <v>2075</v>
      </c>
      <c r="K5" s="644" t="s">
        <v>2076</v>
      </c>
      <c r="L5" s="644" t="s">
        <v>2077</v>
      </c>
    </row>
    <row r="6" spans="1:12" s="324" customFormat="1" ht="10.199999999999999" x14ac:dyDescent="0.25">
      <c r="A6" s="44" t="s">
        <v>3</v>
      </c>
      <c r="B6" s="690">
        <f t="shared" ref="B6:L6" si="0">SUM(B7:B21)</f>
        <v>1261</v>
      </c>
      <c r="C6" s="663">
        <f t="shared" si="0"/>
        <v>36</v>
      </c>
      <c r="D6" s="663">
        <f t="shared" si="0"/>
        <v>142</v>
      </c>
      <c r="E6" s="663">
        <f t="shared" si="0"/>
        <v>4</v>
      </c>
      <c r="F6" s="663">
        <f t="shared" si="0"/>
        <v>19</v>
      </c>
      <c r="G6" s="663">
        <f t="shared" si="0"/>
        <v>3</v>
      </c>
      <c r="H6" s="663">
        <f t="shared" si="0"/>
        <v>197</v>
      </c>
      <c r="I6" s="663">
        <f t="shared" si="0"/>
        <v>4</v>
      </c>
      <c r="J6" s="663">
        <f t="shared" si="0"/>
        <v>9</v>
      </c>
      <c r="K6" s="663">
        <f t="shared" si="0"/>
        <v>4</v>
      </c>
      <c r="L6" s="663">
        <f t="shared" si="0"/>
        <v>843</v>
      </c>
    </row>
    <row r="7" spans="1:12" s="2" customFormat="1" ht="10.199999999999999" x14ac:dyDescent="0.2">
      <c r="A7" s="2" t="s">
        <v>4</v>
      </c>
      <c r="B7" s="622">
        <f t="shared" ref="B7:B21" si="1">SUM(C7:L7)</f>
        <v>36</v>
      </c>
      <c r="C7" s="315">
        <v>0</v>
      </c>
      <c r="D7" s="315">
        <v>24</v>
      </c>
      <c r="E7" s="315">
        <v>0</v>
      </c>
      <c r="F7" s="315">
        <v>0</v>
      </c>
      <c r="G7" s="315">
        <v>0</v>
      </c>
      <c r="H7" s="315">
        <v>0</v>
      </c>
      <c r="I7" s="315">
        <v>0</v>
      </c>
      <c r="J7" s="315">
        <v>0</v>
      </c>
      <c r="K7" s="315">
        <v>0</v>
      </c>
      <c r="L7" s="315">
        <v>12</v>
      </c>
    </row>
    <row r="8" spans="1:12" s="2" customFormat="1" ht="10.199999999999999" x14ac:dyDescent="0.2">
      <c r="A8" s="2" t="s">
        <v>5</v>
      </c>
      <c r="B8" s="622">
        <f t="shared" si="1"/>
        <v>121</v>
      </c>
      <c r="C8" s="315">
        <v>0</v>
      </c>
      <c r="D8" s="315">
        <v>110</v>
      </c>
      <c r="E8" s="315">
        <v>0</v>
      </c>
      <c r="F8" s="315">
        <v>0</v>
      </c>
      <c r="G8" s="315">
        <v>0</v>
      </c>
      <c r="H8" s="315">
        <v>1</v>
      </c>
      <c r="I8" s="315">
        <v>0</v>
      </c>
      <c r="J8" s="315">
        <v>0</v>
      </c>
      <c r="K8" s="315">
        <v>0</v>
      </c>
      <c r="L8" s="315">
        <v>10</v>
      </c>
    </row>
    <row r="9" spans="1:12" s="2" customFormat="1" ht="10.199999999999999" x14ac:dyDescent="0.2">
      <c r="A9" s="2" t="s">
        <v>6</v>
      </c>
      <c r="B9" s="622">
        <f t="shared" si="1"/>
        <v>54</v>
      </c>
      <c r="C9" s="315">
        <v>23</v>
      </c>
      <c r="D9" s="315">
        <v>1</v>
      </c>
      <c r="E9" s="315">
        <v>1</v>
      </c>
      <c r="F9" s="315">
        <v>0</v>
      </c>
      <c r="G9" s="315">
        <v>0</v>
      </c>
      <c r="H9" s="315">
        <v>5</v>
      </c>
      <c r="I9" s="315">
        <v>1</v>
      </c>
      <c r="J9" s="315">
        <v>1</v>
      </c>
      <c r="K9" s="315">
        <v>0</v>
      </c>
      <c r="L9" s="315">
        <v>22</v>
      </c>
    </row>
    <row r="10" spans="1:12" s="2" customFormat="1" ht="10.199999999999999" x14ac:dyDescent="0.2">
      <c r="A10" s="2" t="s">
        <v>7</v>
      </c>
      <c r="B10" s="622">
        <f t="shared" si="1"/>
        <v>20</v>
      </c>
      <c r="C10" s="315">
        <v>1</v>
      </c>
      <c r="D10" s="315">
        <v>0</v>
      </c>
      <c r="E10" s="315">
        <v>3</v>
      </c>
      <c r="F10" s="315">
        <v>2</v>
      </c>
      <c r="G10" s="315">
        <v>0</v>
      </c>
      <c r="H10" s="315">
        <v>0</v>
      </c>
      <c r="I10" s="315">
        <v>0</v>
      </c>
      <c r="J10" s="315">
        <v>0</v>
      </c>
      <c r="K10" s="315">
        <v>0</v>
      </c>
      <c r="L10" s="315">
        <v>14</v>
      </c>
    </row>
    <row r="11" spans="1:12" s="2" customFormat="1" ht="10.199999999999999" x14ac:dyDescent="0.2">
      <c r="A11" s="2" t="s">
        <v>8</v>
      </c>
      <c r="B11" s="622">
        <f t="shared" si="1"/>
        <v>107</v>
      </c>
      <c r="C11" s="315">
        <v>3</v>
      </c>
      <c r="D11" s="315">
        <v>1</v>
      </c>
      <c r="E11" s="315">
        <v>0</v>
      </c>
      <c r="F11" s="315">
        <v>8</v>
      </c>
      <c r="G11" s="315">
        <v>0</v>
      </c>
      <c r="H11" s="315">
        <v>5</v>
      </c>
      <c r="I11" s="315">
        <v>0</v>
      </c>
      <c r="J11" s="315">
        <v>0</v>
      </c>
      <c r="K11" s="315">
        <v>0</v>
      </c>
      <c r="L11" s="315">
        <v>90</v>
      </c>
    </row>
    <row r="12" spans="1:12" s="2" customFormat="1" ht="10.199999999999999" x14ac:dyDescent="0.2">
      <c r="A12" s="2" t="s">
        <v>9</v>
      </c>
      <c r="B12" s="622">
        <f t="shared" si="1"/>
        <v>93</v>
      </c>
      <c r="C12" s="315">
        <v>4</v>
      </c>
      <c r="D12" s="315">
        <v>1</v>
      </c>
      <c r="E12" s="315">
        <v>0</v>
      </c>
      <c r="F12" s="315">
        <v>4</v>
      </c>
      <c r="G12" s="315">
        <v>0</v>
      </c>
      <c r="H12" s="315">
        <v>8</v>
      </c>
      <c r="I12" s="315">
        <v>1</v>
      </c>
      <c r="J12" s="315">
        <v>1</v>
      </c>
      <c r="K12" s="315">
        <v>0</v>
      </c>
      <c r="L12" s="315">
        <v>74</v>
      </c>
    </row>
    <row r="13" spans="1:12" s="2" customFormat="1" ht="10.199999999999999" x14ac:dyDescent="0.2">
      <c r="A13" s="2" t="s">
        <v>10</v>
      </c>
      <c r="B13" s="622">
        <f t="shared" si="1"/>
        <v>240</v>
      </c>
      <c r="C13" s="315">
        <v>2</v>
      </c>
      <c r="D13" s="315">
        <v>5</v>
      </c>
      <c r="E13" s="315">
        <v>0</v>
      </c>
      <c r="F13" s="315">
        <v>5</v>
      </c>
      <c r="G13" s="315">
        <v>2</v>
      </c>
      <c r="H13" s="315">
        <v>24</v>
      </c>
      <c r="I13" s="315">
        <v>1</v>
      </c>
      <c r="J13" s="315">
        <v>6</v>
      </c>
      <c r="K13" s="315">
        <v>0</v>
      </c>
      <c r="L13" s="315">
        <v>195</v>
      </c>
    </row>
    <row r="14" spans="1:12" s="2" customFormat="1" ht="10.199999999999999" x14ac:dyDescent="0.2">
      <c r="A14" s="2" t="s">
        <v>134</v>
      </c>
      <c r="B14" s="622">
        <f t="shared" si="1"/>
        <v>62</v>
      </c>
      <c r="C14" s="315">
        <v>0</v>
      </c>
      <c r="D14" s="315">
        <v>0</v>
      </c>
      <c r="E14" s="315">
        <v>0</v>
      </c>
      <c r="F14" s="315">
        <v>0</v>
      </c>
      <c r="G14" s="315">
        <v>0</v>
      </c>
      <c r="H14" s="315">
        <v>2</v>
      </c>
      <c r="I14" s="315">
        <v>0</v>
      </c>
      <c r="J14" s="315">
        <v>0</v>
      </c>
      <c r="K14" s="315">
        <v>0</v>
      </c>
      <c r="L14" s="315">
        <v>60</v>
      </c>
    </row>
    <row r="15" spans="1:12" s="2" customFormat="1" ht="10.199999999999999" x14ac:dyDescent="0.2">
      <c r="A15" s="2" t="s">
        <v>12</v>
      </c>
      <c r="B15" s="622">
        <f t="shared" si="1"/>
        <v>107</v>
      </c>
      <c r="C15" s="315">
        <v>1</v>
      </c>
      <c r="D15" s="315">
        <v>0</v>
      </c>
      <c r="E15" s="315">
        <v>0</v>
      </c>
      <c r="F15" s="315">
        <v>0</v>
      </c>
      <c r="G15" s="315">
        <v>0</v>
      </c>
      <c r="H15" s="315">
        <v>0</v>
      </c>
      <c r="I15" s="315">
        <v>0</v>
      </c>
      <c r="J15" s="315">
        <v>0</v>
      </c>
      <c r="K15" s="315">
        <v>0</v>
      </c>
      <c r="L15" s="315">
        <v>106</v>
      </c>
    </row>
    <row r="16" spans="1:12" s="2" customFormat="1" ht="10.199999999999999" x14ac:dyDescent="0.2">
      <c r="A16" s="2" t="s">
        <v>13</v>
      </c>
      <c r="B16" s="622">
        <f t="shared" si="1"/>
        <v>116</v>
      </c>
      <c r="C16" s="315">
        <v>0</v>
      </c>
      <c r="D16" s="315">
        <v>0</v>
      </c>
      <c r="E16" s="315">
        <v>0</v>
      </c>
      <c r="F16" s="315">
        <v>0</v>
      </c>
      <c r="G16" s="315">
        <v>0</v>
      </c>
      <c r="H16" s="315">
        <v>11</v>
      </c>
      <c r="I16" s="315">
        <v>0</v>
      </c>
      <c r="J16" s="315">
        <v>1</v>
      </c>
      <c r="K16" s="315">
        <v>0</v>
      </c>
      <c r="L16" s="315">
        <v>104</v>
      </c>
    </row>
    <row r="17" spans="1:12" s="2" customFormat="1" ht="10.199999999999999" x14ac:dyDescent="0.2">
      <c r="A17" s="2" t="s">
        <v>47</v>
      </c>
      <c r="B17" s="622">
        <f t="shared" si="1"/>
        <v>96</v>
      </c>
      <c r="C17" s="315">
        <v>1</v>
      </c>
      <c r="D17" s="315">
        <v>0</v>
      </c>
      <c r="E17" s="315">
        <v>0</v>
      </c>
      <c r="F17" s="315">
        <v>0</v>
      </c>
      <c r="G17" s="315">
        <v>0</v>
      </c>
      <c r="H17" s="315">
        <v>76</v>
      </c>
      <c r="I17" s="315">
        <v>0</v>
      </c>
      <c r="J17" s="315">
        <v>0</v>
      </c>
      <c r="K17" s="315">
        <v>0</v>
      </c>
      <c r="L17" s="315">
        <v>19</v>
      </c>
    </row>
    <row r="18" spans="1:12" s="2" customFormat="1" ht="10.199999999999999" x14ac:dyDescent="0.2">
      <c r="A18" s="2" t="s">
        <v>135</v>
      </c>
      <c r="B18" s="622">
        <f t="shared" si="1"/>
        <v>73</v>
      </c>
      <c r="C18" s="315">
        <v>0</v>
      </c>
      <c r="D18" s="315">
        <v>0</v>
      </c>
      <c r="E18" s="315">
        <v>0</v>
      </c>
      <c r="F18" s="315">
        <v>0</v>
      </c>
      <c r="G18" s="315">
        <v>0</v>
      </c>
      <c r="H18" s="315">
        <v>35</v>
      </c>
      <c r="I18" s="315">
        <v>0</v>
      </c>
      <c r="J18" s="315">
        <v>0</v>
      </c>
      <c r="K18" s="315">
        <v>0</v>
      </c>
      <c r="L18" s="315">
        <v>38</v>
      </c>
    </row>
    <row r="19" spans="1:12" s="2" customFormat="1" ht="10.199999999999999" x14ac:dyDescent="0.2">
      <c r="A19" s="2" t="s">
        <v>136</v>
      </c>
      <c r="B19" s="622">
        <f t="shared" si="1"/>
        <v>106</v>
      </c>
      <c r="C19" s="315">
        <v>1</v>
      </c>
      <c r="D19" s="315">
        <v>0</v>
      </c>
      <c r="E19" s="315">
        <v>0</v>
      </c>
      <c r="F19" s="315">
        <v>0</v>
      </c>
      <c r="G19" s="315">
        <v>0</v>
      </c>
      <c r="H19" s="315">
        <v>25</v>
      </c>
      <c r="I19" s="315">
        <v>1</v>
      </c>
      <c r="J19" s="315">
        <v>0</v>
      </c>
      <c r="K19" s="315">
        <v>0</v>
      </c>
      <c r="L19" s="315">
        <v>79</v>
      </c>
    </row>
    <row r="20" spans="1:12" s="2" customFormat="1" ht="10.199999999999999" x14ac:dyDescent="0.2">
      <c r="A20" s="2" t="s">
        <v>17</v>
      </c>
      <c r="B20" s="622">
        <f t="shared" si="1"/>
        <v>18</v>
      </c>
      <c r="C20" s="315">
        <v>0</v>
      </c>
      <c r="D20" s="315">
        <v>0</v>
      </c>
      <c r="E20" s="315">
        <v>0</v>
      </c>
      <c r="F20" s="315">
        <v>0</v>
      </c>
      <c r="G20" s="315">
        <v>0</v>
      </c>
      <c r="H20" s="315">
        <v>4</v>
      </c>
      <c r="I20" s="315">
        <v>0</v>
      </c>
      <c r="J20" s="315">
        <v>0</v>
      </c>
      <c r="K20" s="315">
        <v>0</v>
      </c>
      <c r="L20" s="315">
        <v>14</v>
      </c>
    </row>
    <row r="21" spans="1:12" s="2" customFormat="1" ht="10.199999999999999" x14ac:dyDescent="0.2">
      <c r="A21" s="2" t="s">
        <v>18</v>
      </c>
      <c r="B21" s="622">
        <f t="shared" si="1"/>
        <v>12</v>
      </c>
      <c r="C21" s="315">
        <v>0</v>
      </c>
      <c r="D21" s="315">
        <v>0</v>
      </c>
      <c r="E21" s="315">
        <v>0</v>
      </c>
      <c r="F21" s="315">
        <v>0</v>
      </c>
      <c r="G21" s="315">
        <v>1</v>
      </c>
      <c r="H21" s="315">
        <v>1</v>
      </c>
      <c r="I21" s="315">
        <v>0</v>
      </c>
      <c r="J21" s="315">
        <v>0</v>
      </c>
      <c r="K21" s="315">
        <v>4</v>
      </c>
      <c r="L21" s="315">
        <v>6</v>
      </c>
    </row>
    <row r="22" spans="1:12" s="2" customFormat="1" ht="10.199999999999999" x14ac:dyDescent="0.2"/>
    <row r="23" spans="1:12" s="2" customFormat="1" ht="10.199999999999999" x14ac:dyDescent="0.2">
      <c r="A23" s="2" t="s">
        <v>2078</v>
      </c>
    </row>
    <row r="24" spans="1:12" s="2" customFormat="1" ht="10.199999999999999" x14ac:dyDescent="0.2">
      <c r="A24" s="669" t="s">
        <v>19</v>
      </c>
    </row>
    <row r="25" spans="1:12" s="2" customFormat="1" ht="12" customHeight="1" x14ac:dyDescent="0.2">
      <c r="A25" s="652" t="s">
        <v>2079</v>
      </c>
      <c r="B25" s="652"/>
      <c r="C25" s="652"/>
      <c r="D25" s="652"/>
      <c r="E25" s="652"/>
      <c r="F25" s="652"/>
      <c r="G25" s="652"/>
      <c r="H25" s="652"/>
      <c r="I25" s="652"/>
      <c r="J25" s="652"/>
      <c r="K25" s="652"/>
      <c r="L25" s="652"/>
    </row>
    <row r="26" spans="1:12" x14ac:dyDescent="0.25">
      <c r="A26" s="691"/>
    </row>
  </sheetData>
  <mergeCells count="5">
    <mergeCell ref="A2:L2"/>
    <mergeCell ref="A4:A5"/>
    <mergeCell ref="B4:B5"/>
    <mergeCell ref="C4:L4"/>
    <mergeCell ref="A25:L25"/>
  </mergeCells>
  <pageMargins left="0.7" right="0.7" top="0.75" bottom="0.75" header="0.3" footer="0.3"/>
  <pageSetup paperSize="14" scale="59" orientation="landscape"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B4754-C37F-4897-9A39-42EF19A85FB8}">
  <sheetPr codeName="Hoja129"/>
  <dimension ref="A1:M24"/>
  <sheetViews>
    <sheetView zoomScaleNormal="100" workbookViewId="0">
      <selection activeCell="D25" sqref="D25"/>
    </sheetView>
  </sheetViews>
  <sheetFormatPr baseColWidth="10" defaultRowHeight="13.2" x14ac:dyDescent="0.25"/>
  <cols>
    <col min="1" max="1" width="21.44140625" customWidth="1"/>
    <col min="5" max="5" width="8.44140625" customWidth="1"/>
    <col min="7" max="7" width="13.5546875" customWidth="1"/>
    <col min="9" max="9" width="13.88671875" customWidth="1"/>
  </cols>
  <sheetData>
    <row r="1" spans="1:13" ht="15.6" x14ac:dyDescent="0.25">
      <c r="A1" s="687"/>
    </row>
    <row r="2" spans="1:13" ht="27" customHeight="1" x14ac:dyDescent="0.25">
      <c r="A2" s="308" t="s">
        <v>2062</v>
      </c>
      <c r="B2" s="308"/>
      <c r="C2" s="308"/>
      <c r="D2" s="308"/>
      <c r="E2" s="308"/>
      <c r="F2" s="308"/>
      <c r="G2" s="308"/>
      <c r="H2" s="308"/>
      <c r="I2" s="308"/>
      <c r="J2" s="308"/>
      <c r="K2" s="308"/>
      <c r="L2" s="308"/>
      <c r="M2" s="308"/>
    </row>
    <row r="3" spans="1:13" s="2" customFormat="1" ht="10.199999999999999" x14ac:dyDescent="0.2"/>
    <row r="4" spans="1:13" s="2" customFormat="1" ht="15.75" customHeight="1" x14ac:dyDescent="0.2">
      <c r="A4" s="323" t="s">
        <v>0</v>
      </c>
      <c r="B4" s="275" t="s">
        <v>42</v>
      </c>
      <c r="C4" s="323" t="s">
        <v>2080</v>
      </c>
      <c r="D4" s="323"/>
      <c r="E4" s="323"/>
      <c r="F4" s="323"/>
      <c r="G4" s="323"/>
      <c r="H4" s="323"/>
      <c r="I4" s="323"/>
      <c r="J4" s="323"/>
      <c r="K4" s="323"/>
      <c r="L4" s="323"/>
      <c r="M4" s="323"/>
    </row>
    <row r="5" spans="1:13" s="692" customFormat="1" ht="30.6" x14ac:dyDescent="0.25">
      <c r="A5" s="323"/>
      <c r="B5" s="277"/>
      <c r="C5" s="644" t="s">
        <v>2081</v>
      </c>
      <c r="D5" s="644" t="s">
        <v>2082</v>
      </c>
      <c r="E5" s="644" t="s">
        <v>2083</v>
      </c>
      <c r="F5" s="644" t="s">
        <v>2084</v>
      </c>
      <c r="G5" s="644" t="s">
        <v>2085</v>
      </c>
      <c r="H5" s="644" t="s">
        <v>2086</v>
      </c>
      <c r="I5" s="644" t="s">
        <v>2087</v>
      </c>
      <c r="J5" s="644" t="s">
        <v>2088</v>
      </c>
      <c r="K5" s="644" t="s">
        <v>2089</v>
      </c>
      <c r="L5" s="644" t="s">
        <v>2090</v>
      </c>
      <c r="M5" s="644" t="s">
        <v>2091</v>
      </c>
    </row>
    <row r="6" spans="1:13" s="692" customFormat="1" ht="10.199999999999999" x14ac:dyDescent="0.25">
      <c r="A6" s="44" t="s">
        <v>3</v>
      </c>
      <c r="B6" s="693">
        <f t="shared" ref="B6:B21" si="0">SUM(C6:M6)</f>
        <v>1261</v>
      </c>
      <c r="C6" s="663">
        <f t="shared" ref="C6:M6" si="1">SUM(C7:C21)</f>
        <v>157</v>
      </c>
      <c r="D6" s="663">
        <f t="shared" si="1"/>
        <v>32</v>
      </c>
      <c r="E6" s="663">
        <f t="shared" si="1"/>
        <v>111</v>
      </c>
      <c r="F6" s="663">
        <f t="shared" si="1"/>
        <v>13</v>
      </c>
      <c r="G6" s="663">
        <f t="shared" si="1"/>
        <v>5</v>
      </c>
      <c r="H6" s="663">
        <f t="shared" si="1"/>
        <v>120</v>
      </c>
      <c r="I6" s="663">
        <f t="shared" si="1"/>
        <v>54</v>
      </c>
      <c r="J6" s="663">
        <f t="shared" si="1"/>
        <v>246</v>
      </c>
      <c r="K6" s="663">
        <f t="shared" si="1"/>
        <v>1</v>
      </c>
      <c r="L6" s="663">
        <f t="shared" si="1"/>
        <v>518</v>
      </c>
      <c r="M6" s="663">
        <f t="shared" si="1"/>
        <v>4</v>
      </c>
    </row>
    <row r="7" spans="1:13" s="2" customFormat="1" ht="10.199999999999999" x14ac:dyDescent="0.2">
      <c r="A7" s="2" t="s">
        <v>4</v>
      </c>
      <c r="B7" s="693">
        <f t="shared" si="0"/>
        <v>36</v>
      </c>
      <c r="C7" s="315">
        <v>5</v>
      </c>
      <c r="D7" s="315">
        <v>1</v>
      </c>
      <c r="E7" s="315">
        <v>1</v>
      </c>
      <c r="F7" s="315">
        <v>1</v>
      </c>
      <c r="G7" s="315">
        <v>0</v>
      </c>
      <c r="H7" s="315">
        <v>0</v>
      </c>
      <c r="I7" s="315">
        <v>1</v>
      </c>
      <c r="J7" s="315">
        <v>4</v>
      </c>
      <c r="K7" s="315">
        <v>0</v>
      </c>
      <c r="L7" s="315">
        <v>23</v>
      </c>
      <c r="M7" s="315">
        <v>0</v>
      </c>
    </row>
    <row r="8" spans="1:13" s="2" customFormat="1" ht="10.199999999999999" x14ac:dyDescent="0.2">
      <c r="A8" s="2" t="s">
        <v>5</v>
      </c>
      <c r="B8" s="693">
        <f t="shared" si="0"/>
        <v>121</v>
      </c>
      <c r="C8" s="315">
        <v>1</v>
      </c>
      <c r="D8" s="315">
        <v>0</v>
      </c>
      <c r="E8" s="315">
        <v>2</v>
      </c>
      <c r="F8" s="315">
        <v>0</v>
      </c>
      <c r="G8" s="315">
        <v>0</v>
      </c>
      <c r="H8" s="315">
        <v>4</v>
      </c>
      <c r="I8" s="315">
        <v>1</v>
      </c>
      <c r="J8" s="315">
        <v>2</v>
      </c>
      <c r="K8" s="315">
        <v>0</v>
      </c>
      <c r="L8" s="315">
        <v>111</v>
      </c>
      <c r="M8" s="315">
        <v>0</v>
      </c>
    </row>
    <row r="9" spans="1:13" s="2" customFormat="1" ht="10.199999999999999" x14ac:dyDescent="0.2">
      <c r="A9" s="2" t="s">
        <v>6</v>
      </c>
      <c r="B9" s="693">
        <f t="shared" si="0"/>
        <v>54</v>
      </c>
      <c r="C9" s="315">
        <v>6</v>
      </c>
      <c r="D9" s="315">
        <v>6</v>
      </c>
      <c r="E9" s="315">
        <v>5</v>
      </c>
      <c r="F9" s="315">
        <v>0</v>
      </c>
      <c r="G9" s="315">
        <v>0</v>
      </c>
      <c r="H9" s="315">
        <v>4</v>
      </c>
      <c r="I9" s="315">
        <v>0</v>
      </c>
      <c r="J9" s="315">
        <v>21</v>
      </c>
      <c r="K9" s="315">
        <v>0</v>
      </c>
      <c r="L9" s="315">
        <v>12</v>
      </c>
      <c r="M9" s="315">
        <v>0</v>
      </c>
    </row>
    <row r="10" spans="1:13" s="2" customFormat="1" ht="10.199999999999999" x14ac:dyDescent="0.2">
      <c r="A10" s="2" t="s">
        <v>7</v>
      </c>
      <c r="B10" s="693">
        <f t="shared" si="0"/>
        <v>20</v>
      </c>
      <c r="C10" s="315">
        <v>2</v>
      </c>
      <c r="D10" s="315">
        <v>0</v>
      </c>
      <c r="E10" s="315">
        <v>2</v>
      </c>
      <c r="F10" s="315">
        <v>2</v>
      </c>
      <c r="G10" s="315">
        <v>0</v>
      </c>
      <c r="H10" s="315">
        <v>1</v>
      </c>
      <c r="I10" s="315">
        <v>5</v>
      </c>
      <c r="J10" s="315">
        <v>4</v>
      </c>
      <c r="K10" s="315">
        <v>0</v>
      </c>
      <c r="L10" s="315">
        <v>4</v>
      </c>
      <c r="M10" s="315">
        <v>0</v>
      </c>
    </row>
    <row r="11" spans="1:13" s="2" customFormat="1" ht="10.199999999999999" x14ac:dyDescent="0.2">
      <c r="A11" s="2" t="s">
        <v>8</v>
      </c>
      <c r="B11" s="693">
        <f t="shared" si="0"/>
        <v>107</v>
      </c>
      <c r="C11" s="315">
        <v>4</v>
      </c>
      <c r="D11" s="315">
        <v>13</v>
      </c>
      <c r="E11" s="315">
        <v>3</v>
      </c>
      <c r="F11" s="315">
        <v>1</v>
      </c>
      <c r="G11" s="315">
        <v>2</v>
      </c>
      <c r="H11" s="315">
        <v>4</v>
      </c>
      <c r="I11" s="315">
        <v>7</v>
      </c>
      <c r="J11" s="315">
        <v>40</v>
      </c>
      <c r="K11" s="315">
        <v>0</v>
      </c>
      <c r="L11" s="315">
        <v>33</v>
      </c>
      <c r="M11" s="315">
        <v>0</v>
      </c>
    </row>
    <row r="12" spans="1:13" s="2" customFormat="1" ht="10.199999999999999" x14ac:dyDescent="0.2">
      <c r="A12" s="2" t="s">
        <v>9</v>
      </c>
      <c r="B12" s="693">
        <f t="shared" si="0"/>
        <v>73</v>
      </c>
      <c r="C12" s="315">
        <v>1</v>
      </c>
      <c r="D12" s="315">
        <v>3</v>
      </c>
      <c r="E12" s="315">
        <v>3</v>
      </c>
      <c r="F12" s="315">
        <v>1</v>
      </c>
      <c r="G12" s="315">
        <v>1</v>
      </c>
      <c r="H12" s="315">
        <v>30</v>
      </c>
      <c r="I12" s="315">
        <v>0</v>
      </c>
      <c r="J12" s="315">
        <v>4</v>
      </c>
      <c r="K12" s="315">
        <v>0</v>
      </c>
      <c r="L12" s="315">
        <v>30</v>
      </c>
      <c r="M12" s="315">
        <v>0</v>
      </c>
    </row>
    <row r="13" spans="1:13" s="2" customFormat="1" ht="10.199999999999999" x14ac:dyDescent="0.2">
      <c r="A13" s="2" t="s">
        <v>10</v>
      </c>
      <c r="B13" s="693">
        <f t="shared" si="0"/>
        <v>93</v>
      </c>
      <c r="C13" s="315">
        <v>13</v>
      </c>
      <c r="D13" s="315">
        <v>0</v>
      </c>
      <c r="E13" s="315">
        <v>0</v>
      </c>
      <c r="F13" s="315">
        <v>2</v>
      </c>
      <c r="G13" s="315">
        <v>0</v>
      </c>
      <c r="H13" s="315">
        <v>9</v>
      </c>
      <c r="I13" s="315">
        <v>4</v>
      </c>
      <c r="J13" s="315">
        <v>42</v>
      </c>
      <c r="K13" s="315">
        <v>0</v>
      </c>
      <c r="L13" s="315">
        <v>22</v>
      </c>
      <c r="M13" s="315">
        <v>1</v>
      </c>
    </row>
    <row r="14" spans="1:13" s="2" customFormat="1" ht="10.199999999999999" x14ac:dyDescent="0.2">
      <c r="A14" s="2" t="s">
        <v>134</v>
      </c>
      <c r="B14" s="693">
        <f t="shared" si="0"/>
        <v>240</v>
      </c>
      <c r="C14" s="315">
        <v>37</v>
      </c>
      <c r="D14" s="315">
        <v>3</v>
      </c>
      <c r="E14" s="315">
        <v>6</v>
      </c>
      <c r="F14" s="315">
        <v>4</v>
      </c>
      <c r="G14" s="315">
        <v>2</v>
      </c>
      <c r="H14" s="315">
        <v>34</v>
      </c>
      <c r="I14" s="315">
        <v>15</v>
      </c>
      <c r="J14" s="315">
        <v>86</v>
      </c>
      <c r="K14" s="315">
        <v>1</v>
      </c>
      <c r="L14" s="315">
        <v>49</v>
      </c>
      <c r="M14" s="315">
        <v>3</v>
      </c>
    </row>
    <row r="15" spans="1:13" s="2" customFormat="1" ht="10.199999999999999" x14ac:dyDescent="0.2">
      <c r="A15" s="2" t="s">
        <v>12</v>
      </c>
      <c r="B15" s="693">
        <f t="shared" si="0"/>
        <v>62</v>
      </c>
      <c r="C15" s="315">
        <v>1</v>
      </c>
      <c r="D15" s="315">
        <v>0</v>
      </c>
      <c r="E15" s="315">
        <v>11</v>
      </c>
      <c r="F15" s="315">
        <v>1</v>
      </c>
      <c r="G15" s="315">
        <v>0</v>
      </c>
      <c r="H15" s="315">
        <v>1</v>
      </c>
      <c r="I15" s="315">
        <v>0</v>
      </c>
      <c r="J15" s="315">
        <v>6</v>
      </c>
      <c r="K15" s="315">
        <v>0</v>
      </c>
      <c r="L15" s="315">
        <v>42</v>
      </c>
      <c r="M15" s="315">
        <v>0</v>
      </c>
    </row>
    <row r="16" spans="1:13" s="2" customFormat="1" ht="10.199999999999999" x14ac:dyDescent="0.2">
      <c r="A16" s="2" t="s">
        <v>13</v>
      </c>
      <c r="B16" s="693">
        <f t="shared" si="0"/>
        <v>107</v>
      </c>
      <c r="C16" s="315">
        <v>5</v>
      </c>
      <c r="D16" s="315">
        <v>4</v>
      </c>
      <c r="E16" s="315">
        <v>50</v>
      </c>
      <c r="F16" s="315">
        <v>0</v>
      </c>
      <c r="G16" s="315">
        <v>0</v>
      </c>
      <c r="H16" s="315">
        <v>3</v>
      </c>
      <c r="I16" s="315">
        <v>4</v>
      </c>
      <c r="J16" s="315">
        <v>1</v>
      </c>
      <c r="K16" s="315">
        <v>0</v>
      </c>
      <c r="L16" s="315">
        <v>40</v>
      </c>
      <c r="M16" s="315">
        <v>0</v>
      </c>
    </row>
    <row r="17" spans="1:13" s="2" customFormat="1" ht="10.199999999999999" x14ac:dyDescent="0.2">
      <c r="A17" s="2" t="s">
        <v>47</v>
      </c>
      <c r="B17" s="693">
        <f t="shared" si="0"/>
        <v>116</v>
      </c>
      <c r="C17" s="315">
        <v>72</v>
      </c>
      <c r="D17" s="315">
        <v>0</v>
      </c>
      <c r="E17" s="315">
        <v>6</v>
      </c>
      <c r="F17" s="315">
        <v>0</v>
      </c>
      <c r="G17" s="315">
        <v>0</v>
      </c>
      <c r="H17" s="315">
        <v>4</v>
      </c>
      <c r="I17" s="315">
        <v>8</v>
      </c>
      <c r="J17" s="315">
        <v>17</v>
      </c>
      <c r="K17" s="315">
        <v>0</v>
      </c>
      <c r="L17" s="315">
        <v>9</v>
      </c>
      <c r="M17" s="315">
        <v>0</v>
      </c>
    </row>
    <row r="18" spans="1:13" s="2" customFormat="1" ht="10.199999999999999" x14ac:dyDescent="0.2">
      <c r="A18" s="2" t="s">
        <v>135</v>
      </c>
      <c r="B18" s="693">
        <f t="shared" si="0"/>
        <v>96</v>
      </c>
      <c r="C18" s="315">
        <v>5</v>
      </c>
      <c r="D18" s="315">
        <v>1</v>
      </c>
      <c r="E18" s="315">
        <v>2</v>
      </c>
      <c r="F18" s="315">
        <v>0</v>
      </c>
      <c r="G18" s="315">
        <v>0</v>
      </c>
      <c r="H18" s="315">
        <v>12</v>
      </c>
      <c r="I18" s="315">
        <v>3</v>
      </c>
      <c r="J18" s="315">
        <v>9</v>
      </c>
      <c r="K18" s="315">
        <v>0</v>
      </c>
      <c r="L18" s="315">
        <v>64</v>
      </c>
      <c r="M18" s="315">
        <v>0</v>
      </c>
    </row>
    <row r="19" spans="1:13" s="2" customFormat="1" ht="10.199999999999999" x14ac:dyDescent="0.2">
      <c r="A19" s="2" t="s">
        <v>136</v>
      </c>
      <c r="B19" s="693">
        <f t="shared" si="0"/>
        <v>106</v>
      </c>
      <c r="C19" s="315">
        <v>0</v>
      </c>
      <c r="D19" s="315">
        <v>1</v>
      </c>
      <c r="E19" s="315">
        <v>20</v>
      </c>
      <c r="F19" s="315">
        <v>0</v>
      </c>
      <c r="G19" s="315">
        <v>0</v>
      </c>
      <c r="H19" s="315">
        <v>7</v>
      </c>
      <c r="I19" s="315">
        <v>4</v>
      </c>
      <c r="J19" s="315">
        <v>5</v>
      </c>
      <c r="K19" s="315">
        <v>0</v>
      </c>
      <c r="L19" s="315">
        <v>69</v>
      </c>
      <c r="M19" s="315">
        <v>0</v>
      </c>
    </row>
    <row r="20" spans="1:13" s="2" customFormat="1" ht="10.199999999999999" x14ac:dyDescent="0.2">
      <c r="A20" s="2" t="s">
        <v>17</v>
      </c>
      <c r="B20" s="693">
        <f t="shared" si="0"/>
        <v>18</v>
      </c>
      <c r="C20" s="315">
        <v>3</v>
      </c>
      <c r="D20" s="315">
        <v>0</v>
      </c>
      <c r="E20" s="315">
        <v>0</v>
      </c>
      <c r="F20" s="315">
        <v>0</v>
      </c>
      <c r="G20" s="315">
        <v>0</v>
      </c>
      <c r="H20" s="315">
        <v>4</v>
      </c>
      <c r="I20" s="315">
        <v>2</v>
      </c>
      <c r="J20" s="315">
        <v>2</v>
      </c>
      <c r="K20" s="315">
        <v>0</v>
      </c>
      <c r="L20" s="315">
        <v>7</v>
      </c>
      <c r="M20" s="315">
        <v>0</v>
      </c>
    </row>
    <row r="21" spans="1:13" s="2" customFormat="1" ht="10.199999999999999" x14ac:dyDescent="0.2">
      <c r="A21" s="2" t="s">
        <v>18</v>
      </c>
      <c r="B21" s="693">
        <f t="shared" si="0"/>
        <v>12</v>
      </c>
      <c r="C21" s="315">
        <v>2</v>
      </c>
      <c r="D21" s="315">
        <v>0</v>
      </c>
      <c r="E21" s="315">
        <v>0</v>
      </c>
      <c r="F21" s="315">
        <v>1</v>
      </c>
      <c r="G21" s="315">
        <v>0</v>
      </c>
      <c r="H21" s="315">
        <v>3</v>
      </c>
      <c r="I21" s="315">
        <v>0</v>
      </c>
      <c r="J21" s="315">
        <v>3</v>
      </c>
      <c r="K21" s="315">
        <v>0</v>
      </c>
      <c r="L21" s="315">
        <v>3</v>
      </c>
      <c r="M21" s="315">
        <v>0</v>
      </c>
    </row>
    <row r="22" spans="1:13" s="2" customFormat="1" ht="10.199999999999999" x14ac:dyDescent="0.2">
      <c r="B22" s="693"/>
      <c r="C22" s="315"/>
      <c r="D22" s="315"/>
      <c r="E22" s="315"/>
      <c r="F22" s="315"/>
      <c r="G22" s="315"/>
      <c r="H22" s="315"/>
      <c r="I22" s="315"/>
      <c r="J22" s="315"/>
      <c r="K22" s="315"/>
      <c r="L22" s="315"/>
      <c r="M22" s="315"/>
    </row>
    <row r="23" spans="1:13" s="2" customFormat="1" ht="10.199999999999999" x14ac:dyDescent="0.2">
      <c r="A23" s="669" t="s">
        <v>19</v>
      </c>
      <c r="B23" s="693"/>
      <c r="C23" s="315"/>
      <c r="D23" s="315"/>
      <c r="E23" s="315"/>
      <c r="F23" s="315"/>
      <c r="G23" s="315"/>
      <c r="H23" s="315"/>
      <c r="I23" s="315"/>
      <c r="J23" s="315"/>
      <c r="K23" s="315"/>
      <c r="L23" s="315"/>
      <c r="M23" s="315"/>
    </row>
    <row r="24" spans="1:13" s="2" customFormat="1" ht="10.199999999999999" x14ac:dyDescent="0.2">
      <c r="A24" s="652" t="s">
        <v>2079</v>
      </c>
      <c r="B24" s="652"/>
      <c r="C24" s="652"/>
      <c r="D24" s="652"/>
      <c r="E24" s="652"/>
      <c r="F24" s="652"/>
      <c r="G24" s="652"/>
      <c r="H24" s="652"/>
      <c r="I24" s="652"/>
      <c r="J24" s="652"/>
      <c r="K24" s="652"/>
      <c r="L24" s="652"/>
    </row>
  </sheetData>
  <mergeCells count="5">
    <mergeCell ref="A2:M2"/>
    <mergeCell ref="A4:A5"/>
    <mergeCell ref="B4:B5"/>
    <mergeCell ref="C4:M4"/>
    <mergeCell ref="A24:L24"/>
  </mergeCells>
  <pageMargins left="0.7" right="0.7" top="0.75" bottom="0.75" header="0.3" footer="0.3"/>
  <pageSetup paperSize="14" scale="91"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E42A36-080F-42D4-B6C3-47EF7C108039}">
  <sheetPr codeName="Hoja13">
    <tabColor theme="8"/>
  </sheetPr>
  <dimension ref="A2:A6"/>
  <sheetViews>
    <sheetView workbookViewId="0">
      <selection activeCell="A4" sqref="A4"/>
    </sheetView>
  </sheetViews>
  <sheetFormatPr baseColWidth="10" defaultColWidth="11.44140625" defaultRowHeight="10.199999999999999" x14ac:dyDescent="0.2"/>
  <cols>
    <col min="1" max="16384" width="11.44140625" style="62"/>
  </cols>
  <sheetData>
    <row r="2" spans="1:1" x14ac:dyDescent="0.2">
      <c r="A2" s="63" t="s">
        <v>199</v>
      </c>
    </row>
    <row r="4" spans="1:1" x14ac:dyDescent="0.2">
      <c r="A4" s="1708" t="s">
        <v>200</v>
      </c>
    </row>
    <row r="5" spans="1:1" x14ac:dyDescent="0.2">
      <c r="A5" s="1708" t="s">
        <v>201</v>
      </c>
    </row>
    <row r="6" spans="1:1" x14ac:dyDescent="0.2">
      <c r="A6" s="1708" t="s">
        <v>202</v>
      </c>
    </row>
  </sheetData>
  <hyperlinks>
    <hyperlink ref="A4" location="'2.3-01'!A1" display="CUADRO 2.3-01: TOTAL NACIONAL DE LA ECONOMÍA Y TOTAL DE EMPRESAS Y EMPLEO POR INFORMACIÓN DE MUTUALES DE SEGURIDAD, SEGÚN DOMINIO CULTURAL. 2013" xr:uid="{4E008C2A-A906-4123-A4B0-8A6C6ACFCCBB}"/>
    <hyperlink ref="A5" location="'2.3-02'!A1" display="CUADRO 2.3-02: NÚMERO DE EMPRESAS, TRABAJADORES, TRABAJADORES PROMEDIO Y REMUNERACIONES PROMEDIO PARA EMPRESAS CREATIVAS ASOCIADO A MUTUALES DE SEGURIDAD, SEGÚN DOMINIO Y SUBDOMINIO CULTURAL. 2013/1" xr:uid="{5E43B3C1-2AE9-4CB2-ADDB-D2D3AEC0849F}"/>
    <hyperlink ref="A6" location="'2.3-03'!A1" display="CUADRO 2.3-03: NÚMERO DE EMPRESAS, NÚMERO DE TRABAJADORES Y PROMEDIO DE REMUNERACIONES EN EMPRESAS CREATIVAS, SEGÚN REGIÓN. 2013" xr:uid="{3599D6C2-286F-40D8-B20E-F146BBE00579}"/>
  </hyperlinks>
  <pageMargins left="0.7" right="0.7" top="0.75" bottom="0.75" header="0.3" footer="0.3"/>
  <pageSetup paperSize="14" orientation="portrait"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4A4FB-CB0A-416E-A315-DC3C28BE76EB}">
  <sheetPr codeName="Hoja130"/>
  <dimension ref="A1:XFA29"/>
  <sheetViews>
    <sheetView zoomScaleNormal="100" workbookViewId="0">
      <selection activeCell="D25" sqref="D25"/>
    </sheetView>
  </sheetViews>
  <sheetFormatPr baseColWidth="10" defaultColWidth="11.44140625" defaultRowHeight="13.2" x14ac:dyDescent="0.25"/>
  <cols>
    <col min="1" max="1" width="27.5546875" style="2" customWidth="1"/>
    <col min="2" max="7" width="11.44140625" style="2"/>
    <col min="8" max="10" width="17.33203125" style="2" customWidth="1"/>
    <col min="11" max="11" width="17.33203125" customWidth="1"/>
    <col min="12" max="16384" width="11.44140625" style="2"/>
  </cols>
  <sheetData>
    <row r="1" spans="1:16381" ht="12.75" customHeight="1" x14ac:dyDescent="0.2">
      <c r="A1" s="308"/>
      <c r="B1" s="308"/>
      <c r="C1" s="308"/>
      <c r="D1" s="308"/>
      <c r="E1" s="308"/>
      <c r="F1" s="308"/>
      <c r="G1" s="308"/>
      <c r="H1" s="308"/>
      <c r="I1" s="308"/>
      <c r="J1" s="308"/>
      <c r="K1" s="308"/>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c r="CP1" s="24"/>
      <c r="CQ1" s="24"/>
      <c r="CR1" s="24"/>
      <c r="CS1" s="24"/>
      <c r="CT1" s="24"/>
      <c r="CU1" s="24"/>
      <c r="CV1" s="24"/>
      <c r="CW1" s="24"/>
      <c r="CX1" s="24"/>
      <c r="CY1" s="24"/>
      <c r="CZ1" s="24"/>
      <c r="DA1" s="24"/>
      <c r="DB1" s="24"/>
      <c r="DC1" s="24"/>
      <c r="DD1" s="24"/>
      <c r="DE1" s="24"/>
      <c r="DF1" s="24"/>
      <c r="DG1" s="24"/>
      <c r="DH1" s="24"/>
      <c r="DI1" s="24"/>
      <c r="DJ1" s="24"/>
      <c r="DK1" s="24"/>
      <c r="DL1" s="24"/>
      <c r="DM1" s="24"/>
      <c r="DN1" s="24"/>
      <c r="DO1" s="24"/>
      <c r="DP1" s="24"/>
      <c r="DQ1" s="24"/>
      <c r="DR1" s="24"/>
      <c r="DS1" s="24"/>
      <c r="DT1" s="24"/>
      <c r="DU1" s="24"/>
      <c r="DV1" s="24"/>
      <c r="DW1" s="24"/>
      <c r="DX1" s="24"/>
      <c r="DY1" s="24"/>
      <c r="DZ1" s="24"/>
      <c r="EA1" s="24"/>
      <c r="EB1" s="24"/>
      <c r="EC1" s="24"/>
      <c r="ED1" s="24"/>
      <c r="EE1" s="24"/>
      <c r="EF1" s="24"/>
      <c r="EG1" s="24"/>
      <c r="EH1" s="24"/>
      <c r="EI1" s="24"/>
      <c r="EJ1" s="24"/>
      <c r="EK1" s="24"/>
      <c r="EL1" s="24"/>
      <c r="EM1" s="24"/>
      <c r="EN1" s="24"/>
      <c r="EO1" s="24"/>
      <c r="EP1" s="24"/>
      <c r="EQ1" s="24"/>
      <c r="ER1" s="24"/>
      <c r="ES1" s="24"/>
      <c r="ET1" s="24"/>
      <c r="EU1" s="24"/>
      <c r="EV1" s="24"/>
      <c r="EW1" s="24"/>
      <c r="EX1" s="24"/>
      <c r="EY1" s="24"/>
      <c r="EZ1" s="24"/>
      <c r="FA1" s="24"/>
      <c r="FB1" s="24"/>
      <c r="FC1" s="24"/>
      <c r="FD1" s="24"/>
      <c r="FE1" s="24"/>
      <c r="FF1" s="24"/>
      <c r="FG1" s="24"/>
      <c r="FH1" s="24"/>
      <c r="FI1" s="24"/>
      <c r="FJ1" s="24"/>
      <c r="FK1" s="24"/>
      <c r="FL1" s="24"/>
      <c r="FM1" s="24"/>
      <c r="FN1" s="24"/>
      <c r="FO1" s="24"/>
      <c r="FP1" s="24"/>
      <c r="FQ1" s="24"/>
      <c r="FR1" s="24"/>
      <c r="FS1" s="24"/>
      <c r="FT1" s="24"/>
      <c r="FU1" s="24"/>
      <c r="FV1" s="24"/>
      <c r="FW1" s="24"/>
      <c r="FX1" s="24"/>
      <c r="FY1" s="24"/>
      <c r="FZ1" s="24"/>
      <c r="GA1" s="24"/>
      <c r="GB1" s="24"/>
      <c r="GC1" s="24"/>
      <c r="GD1" s="24"/>
      <c r="GE1" s="24"/>
      <c r="GF1" s="24"/>
      <c r="GG1" s="24"/>
      <c r="GH1" s="24"/>
      <c r="GI1" s="24"/>
      <c r="GJ1" s="24"/>
      <c r="GK1" s="24"/>
      <c r="GL1" s="24"/>
      <c r="GM1" s="24"/>
      <c r="GN1" s="24"/>
      <c r="GO1" s="24"/>
      <c r="GP1" s="24"/>
      <c r="GQ1" s="24"/>
      <c r="GR1" s="24"/>
      <c r="GS1" s="24"/>
      <c r="GT1" s="24"/>
      <c r="GU1" s="24"/>
      <c r="GV1" s="24"/>
      <c r="GW1" s="24"/>
      <c r="GX1" s="24"/>
      <c r="GY1" s="24"/>
      <c r="GZ1" s="24"/>
      <c r="HA1" s="24"/>
      <c r="HB1" s="24"/>
      <c r="HC1" s="24"/>
      <c r="HD1" s="24"/>
      <c r="HE1" s="24"/>
      <c r="HF1" s="24"/>
      <c r="HG1" s="24"/>
      <c r="HH1" s="24"/>
      <c r="HI1" s="24"/>
      <c r="HJ1" s="24"/>
      <c r="HK1" s="24"/>
      <c r="HL1" s="24"/>
      <c r="HM1" s="24"/>
      <c r="HN1" s="24"/>
      <c r="HO1" s="24"/>
      <c r="HP1" s="24"/>
      <c r="HQ1" s="24"/>
      <c r="HR1" s="24"/>
      <c r="HS1" s="24"/>
      <c r="HT1" s="24"/>
      <c r="HU1" s="24"/>
      <c r="HV1" s="24"/>
      <c r="HW1" s="24"/>
      <c r="HX1" s="24"/>
      <c r="HY1" s="24"/>
      <c r="HZ1" s="24"/>
      <c r="IA1" s="24"/>
      <c r="IB1" s="24"/>
      <c r="IC1" s="24"/>
      <c r="ID1" s="24"/>
      <c r="IE1" s="24"/>
      <c r="IF1" s="24"/>
      <c r="IG1" s="24"/>
      <c r="IH1" s="24"/>
      <c r="II1" s="24"/>
      <c r="IJ1" s="24"/>
      <c r="IK1" s="24"/>
      <c r="IL1" s="24"/>
      <c r="IM1" s="24"/>
      <c r="IN1" s="24"/>
      <c r="IO1" s="24"/>
      <c r="IP1" s="24"/>
      <c r="IQ1" s="24"/>
      <c r="IR1" s="24"/>
      <c r="IS1" s="24"/>
      <c r="IT1" s="24"/>
      <c r="IU1" s="24"/>
      <c r="IV1" s="24"/>
      <c r="IW1" s="24"/>
      <c r="IX1" s="24"/>
      <c r="IY1" s="24"/>
      <c r="IZ1" s="24"/>
      <c r="JA1" s="24"/>
      <c r="JB1" s="24"/>
      <c r="JC1" s="24"/>
      <c r="JD1" s="24"/>
      <c r="JE1" s="24"/>
      <c r="JF1" s="24"/>
      <c r="JG1" s="24"/>
      <c r="JH1" s="24"/>
      <c r="JI1" s="24"/>
      <c r="JJ1" s="24"/>
      <c r="JK1" s="24"/>
      <c r="JL1" s="24"/>
      <c r="JM1" s="24"/>
      <c r="JN1" s="24"/>
      <c r="JO1" s="24"/>
      <c r="JP1" s="24"/>
      <c r="JQ1" s="24"/>
      <c r="JR1" s="24"/>
      <c r="JS1" s="24"/>
      <c r="JT1" s="24"/>
      <c r="JU1" s="24"/>
      <c r="JV1" s="24"/>
      <c r="JW1" s="24"/>
      <c r="JX1" s="24"/>
      <c r="JY1" s="24"/>
      <c r="JZ1" s="24"/>
      <c r="KA1" s="24"/>
      <c r="KB1" s="24"/>
      <c r="KC1" s="24"/>
      <c r="KD1" s="24"/>
      <c r="KE1" s="24"/>
      <c r="KF1" s="24"/>
      <c r="KG1" s="24"/>
      <c r="KH1" s="24"/>
      <c r="KI1" s="24"/>
      <c r="KJ1" s="24"/>
      <c r="KK1" s="24"/>
      <c r="KL1" s="24"/>
      <c r="KM1" s="24"/>
      <c r="KN1" s="24"/>
      <c r="KO1" s="24"/>
      <c r="KP1" s="24"/>
      <c r="KQ1" s="24"/>
      <c r="KR1" s="24"/>
      <c r="KS1" s="24"/>
      <c r="KT1" s="24"/>
      <c r="KU1" s="24"/>
      <c r="KV1" s="24"/>
      <c r="KW1" s="24"/>
      <c r="KX1" s="24"/>
      <c r="KY1" s="24"/>
      <c r="KZ1" s="24"/>
      <c r="LA1" s="24"/>
      <c r="LB1" s="24"/>
      <c r="LC1" s="24"/>
      <c r="LD1" s="24"/>
      <c r="LE1" s="24"/>
      <c r="LF1" s="24"/>
      <c r="LG1" s="24"/>
      <c r="LH1" s="24"/>
      <c r="LI1" s="24"/>
      <c r="LJ1" s="24"/>
      <c r="LK1" s="24"/>
      <c r="LL1" s="24"/>
      <c r="LM1" s="24"/>
      <c r="LN1" s="24"/>
      <c r="LO1" s="24"/>
      <c r="LP1" s="24"/>
      <c r="LQ1" s="24"/>
      <c r="LR1" s="24"/>
      <c r="LS1" s="24"/>
      <c r="LT1" s="24"/>
      <c r="LU1" s="24"/>
      <c r="LV1" s="24"/>
      <c r="LW1" s="24"/>
      <c r="LX1" s="24"/>
      <c r="LY1" s="24"/>
      <c r="LZ1" s="24"/>
      <c r="MA1" s="24"/>
      <c r="MB1" s="24"/>
      <c r="MC1" s="24"/>
      <c r="MD1" s="24"/>
      <c r="ME1" s="24"/>
      <c r="MF1" s="24"/>
      <c r="MG1" s="24"/>
      <c r="MH1" s="24"/>
      <c r="MI1" s="24"/>
      <c r="MJ1" s="24"/>
      <c r="MK1" s="24"/>
      <c r="ML1" s="24"/>
      <c r="MM1" s="24"/>
      <c r="MN1" s="24"/>
      <c r="MO1" s="24"/>
      <c r="MP1" s="24"/>
      <c r="MQ1" s="24"/>
      <c r="MR1" s="24"/>
      <c r="MS1" s="24"/>
      <c r="MT1" s="24"/>
      <c r="MU1" s="24"/>
      <c r="MV1" s="24"/>
      <c r="MW1" s="24"/>
      <c r="MX1" s="24"/>
      <c r="MY1" s="24"/>
      <c r="MZ1" s="24"/>
      <c r="NA1" s="24"/>
      <c r="NB1" s="24"/>
      <c r="NC1" s="24"/>
      <c r="ND1" s="24"/>
      <c r="NE1" s="24"/>
      <c r="NF1" s="24"/>
      <c r="NG1" s="24"/>
      <c r="NH1" s="24"/>
      <c r="NI1" s="24"/>
      <c r="NJ1" s="24"/>
      <c r="NK1" s="24"/>
      <c r="NL1" s="24"/>
      <c r="NM1" s="24"/>
      <c r="NN1" s="24"/>
      <c r="NO1" s="24"/>
      <c r="NP1" s="24"/>
      <c r="NQ1" s="24"/>
      <c r="NR1" s="24"/>
      <c r="NS1" s="24"/>
      <c r="NT1" s="24"/>
      <c r="NU1" s="24"/>
      <c r="NV1" s="24"/>
      <c r="NW1" s="24"/>
      <c r="NX1" s="24"/>
      <c r="NY1" s="24"/>
      <c r="NZ1" s="24"/>
      <c r="OA1" s="24"/>
      <c r="OB1" s="24"/>
      <c r="OC1" s="24"/>
      <c r="OD1" s="24"/>
      <c r="OE1" s="24"/>
      <c r="OF1" s="24"/>
      <c r="OG1" s="24"/>
      <c r="OH1" s="24"/>
      <c r="OI1" s="24"/>
      <c r="OJ1" s="24"/>
      <c r="OK1" s="24"/>
      <c r="OL1" s="24"/>
      <c r="OM1" s="24"/>
      <c r="ON1" s="24"/>
      <c r="OO1" s="24"/>
      <c r="OP1" s="24"/>
      <c r="OQ1" s="24"/>
      <c r="OR1" s="24"/>
      <c r="OS1" s="24"/>
      <c r="OT1" s="24"/>
      <c r="OU1" s="24"/>
      <c r="OV1" s="24"/>
      <c r="OW1" s="24"/>
      <c r="OX1" s="24"/>
      <c r="OY1" s="24"/>
      <c r="OZ1" s="24"/>
      <c r="PA1" s="24"/>
      <c r="PB1" s="24"/>
      <c r="PC1" s="24"/>
      <c r="PD1" s="24"/>
      <c r="PE1" s="24"/>
      <c r="PF1" s="24"/>
      <c r="PG1" s="24"/>
      <c r="PH1" s="24"/>
      <c r="PI1" s="24"/>
      <c r="PJ1" s="24"/>
      <c r="PK1" s="24"/>
      <c r="PL1" s="24"/>
      <c r="PM1" s="24"/>
      <c r="PN1" s="24"/>
      <c r="PO1" s="24"/>
      <c r="PP1" s="24"/>
      <c r="PQ1" s="24"/>
      <c r="PR1" s="24"/>
      <c r="PS1" s="24"/>
      <c r="PT1" s="24"/>
      <c r="PU1" s="24"/>
      <c r="PV1" s="24"/>
      <c r="PW1" s="24"/>
      <c r="PX1" s="24"/>
      <c r="PY1" s="24"/>
      <c r="PZ1" s="24"/>
      <c r="QA1" s="24"/>
      <c r="QB1" s="24"/>
      <c r="QC1" s="24"/>
      <c r="QD1" s="24"/>
      <c r="QE1" s="24"/>
      <c r="QF1" s="24"/>
      <c r="QG1" s="24"/>
      <c r="QH1" s="24"/>
      <c r="QI1" s="24"/>
      <c r="QJ1" s="24"/>
      <c r="QK1" s="24"/>
      <c r="QL1" s="24"/>
      <c r="QM1" s="24"/>
      <c r="QN1" s="24"/>
      <c r="QO1" s="24"/>
      <c r="QP1" s="24"/>
      <c r="QQ1" s="24"/>
      <c r="QR1" s="24"/>
      <c r="QS1" s="24"/>
      <c r="QT1" s="24"/>
      <c r="QU1" s="24"/>
      <c r="QV1" s="24"/>
      <c r="QW1" s="24"/>
      <c r="QX1" s="24"/>
      <c r="QY1" s="24"/>
      <c r="QZ1" s="24"/>
      <c r="RA1" s="24"/>
      <c r="RB1" s="24"/>
      <c r="RC1" s="24"/>
      <c r="RD1" s="24"/>
      <c r="RE1" s="24"/>
      <c r="RF1" s="24"/>
      <c r="RG1" s="24"/>
      <c r="RH1" s="24"/>
      <c r="RI1" s="24"/>
      <c r="RJ1" s="24"/>
      <c r="RK1" s="24"/>
      <c r="RL1" s="24"/>
      <c r="RM1" s="24"/>
      <c r="RN1" s="24"/>
      <c r="RO1" s="24"/>
      <c r="RP1" s="24"/>
      <c r="RQ1" s="24"/>
      <c r="RR1" s="24"/>
      <c r="RS1" s="24"/>
      <c r="RT1" s="24"/>
      <c r="RU1" s="24"/>
      <c r="RV1" s="24"/>
      <c r="RW1" s="24"/>
      <c r="RX1" s="24"/>
      <c r="RY1" s="24"/>
      <c r="RZ1" s="24"/>
      <c r="SA1" s="24"/>
      <c r="SB1" s="24"/>
      <c r="SC1" s="24"/>
      <c r="SD1" s="24"/>
      <c r="SE1" s="24"/>
      <c r="SF1" s="24"/>
      <c r="SG1" s="24"/>
      <c r="SH1" s="24"/>
      <c r="SI1" s="24"/>
      <c r="SJ1" s="24"/>
      <c r="SK1" s="24"/>
      <c r="SL1" s="24"/>
      <c r="SM1" s="24"/>
      <c r="SN1" s="24"/>
      <c r="SO1" s="24"/>
      <c r="SP1" s="24"/>
      <c r="SQ1" s="24"/>
      <c r="SR1" s="24"/>
      <c r="SS1" s="24"/>
      <c r="ST1" s="24"/>
      <c r="SU1" s="24"/>
      <c r="SV1" s="24"/>
      <c r="SW1" s="24"/>
      <c r="SX1" s="24"/>
      <c r="SY1" s="24"/>
      <c r="SZ1" s="24"/>
      <c r="TA1" s="24"/>
      <c r="TB1" s="24"/>
      <c r="TC1" s="24"/>
      <c r="TD1" s="24"/>
      <c r="TE1" s="24"/>
      <c r="TF1" s="24"/>
      <c r="TG1" s="24"/>
      <c r="TH1" s="24"/>
      <c r="TI1" s="24"/>
      <c r="TJ1" s="24"/>
      <c r="TK1" s="24"/>
      <c r="TL1" s="24"/>
      <c r="TM1" s="24"/>
      <c r="TN1" s="24"/>
      <c r="TO1" s="24"/>
      <c r="TP1" s="24"/>
      <c r="TQ1" s="24"/>
      <c r="TR1" s="24"/>
      <c r="TS1" s="24"/>
      <c r="TT1" s="24"/>
      <c r="TU1" s="24"/>
      <c r="TV1" s="24"/>
      <c r="TW1" s="24"/>
      <c r="TX1" s="24"/>
      <c r="TY1" s="24"/>
      <c r="TZ1" s="24"/>
      <c r="UA1" s="24"/>
      <c r="UB1" s="24"/>
      <c r="UC1" s="24"/>
      <c r="UD1" s="24"/>
      <c r="UE1" s="24"/>
      <c r="UF1" s="24"/>
      <c r="UG1" s="24"/>
      <c r="UH1" s="24"/>
      <c r="UI1" s="24"/>
      <c r="UJ1" s="24"/>
      <c r="UK1" s="24"/>
      <c r="UL1" s="24"/>
      <c r="UM1" s="24"/>
      <c r="UN1" s="24"/>
      <c r="UO1" s="24"/>
      <c r="UP1" s="24"/>
      <c r="UQ1" s="24"/>
      <c r="UR1" s="24"/>
      <c r="US1" s="24"/>
      <c r="UT1" s="24"/>
      <c r="UU1" s="24"/>
      <c r="UV1" s="24"/>
      <c r="UW1" s="24"/>
      <c r="UX1" s="24"/>
      <c r="UY1" s="24"/>
      <c r="UZ1" s="24"/>
      <c r="VA1" s="24"/>
      <c r="VB1" s="24"/>
      <c r="VC1" s="24"/>
      <c r="VD1" s="24"/>
      <c r="VE1" s="24"/>
      <c r="VF1" s="24"/>
      <c r="VG1" s="24"/>
      <c r="VH1" s="24"/>
      <c r="VI1" s="24"/>
      <c r="VJ1" s="24"/>
      <c r="VK1" s="24"/>
      <c r="VL1" s="24"/>
      <c r="VM1" s="24"/>
      <c r="VN1" s="24"/>
      <c r="VO1" s="24"/>
      <c r="VP1" s="24"/>
      <c r="VQ1" s="24"/>
      <c r="VR1" s="24"/>
      <c r="VS1" s="24"/>
      <c r="VT1" s="24"/>
      <c r="VU1" s="24"/>
      <c r="VV1" s="24"/>
      <c r="VW1" s="24"/>
      <c r="VX1" s="24"/>
      <c r="VY1" s="24"/>
      <c r="VZ1" s="24"/>
      <c r="WA1" s="24"/>
      <c r="WB1" s="24"/>
      <c r="WC1" s="24"/>
      <c r="WD1" s="24"/>
      <c r="WE1" s="24"/>
      <c r="WF1" s="24"/>
      <c r="WG1" s="24"/>
      <c r="WH1" s="24"/>
      <c r="WI1" s="24"/>
      <c r="WJ1" s="24"/>
      <c r="WK1" s="24"/>
      <c r="WL1" s="24"/>
      <c r="WM1" s="24"/>
      <c r="WN1" s="24"/>
      <c r="WO1" s="24"/>
      <c r="WP1" s="24"/>
      <c r="WQ1" s="24"/>
      <c r="WR1" s="24"/>
      <c r="WS1" s="24"/>
      <c r="WT1" s="24"/>
      <c r="WU1" s="24"/>
      <c r="WV1" s="24"/>
      <c r="WW1" s="24"/>
      <c r="WX1" s="24"/>
      <c r="WY1" s="24"/>
      <c r="WZ1" s="24"/>
      <c r="XA1" s="24"/>
      <c r="XB1" s="24"/>
      <c r="XC1" s="24"/>
      <c r="XD1" s="24"/>
      <c r="XE1" s="24"/>
      <c r="XF1" s="24"/>
      <c r="XG1" s="24"/>
      <c r="XH1" s="24"/>
      <c r="XI1" s="24"/>
      <c r="XJ1" s="24"/>
      <c r="XK1" s="24"/>
      <c r="XL1" s="24"/>
      <c r="XM1" s="24"/>
      <c r="XN1" s="24"/>
      <c r="XO1" s="24"/>
      <c r="XP1" s="24"/>
      <c r="XQ1" s="24"/>
      <c r="XR1" s="24"/>
      <c r="XS1" s="24"/>
      <c r="XT1" s="24"/>
      <c r="XU1" s="24"/>
      <c r="XV1" s="24"/>
      <c r="XW1" s="24"/>
      <c r="XX1" s="24"/>
      <c r="XY1" s="24"/>
      <c r="XZ1" s="24"/>
      <c r="YA1" s="24"/>
      <c r="YB1" s="24"/>
      <c r="YC1" s="24"/>
      <c r="YD1" s="24"/>
      <c r="YE1" s="24"/>
      <c r="YF1" s="24"/>
      <c r="YG1" s="24"/>
      <c r="YH1" s="24"/>
      <c r="YI1" s="24"/>
      <c r="YJ1" s="24"/>
      <c r="YK1" s="24"/>
      <c r="YL1" s="24"/>
      <c r="YM1" s="24"/>
      <c r="YN1" s="24"/>
      <c r="YO1" s="24"/>
      <c r="YP1" s="24"/>
      <c r="YQ1" s="24"/>
      <c r="YR1" s="24"/>
      <c r="YS1" s="24"/>
      <c r="YT1" s="24"/>
      <c r="YU1" s="24"/>
      <c r="YV1" s="24"/>
      <c r="YW1" s="24"/>
      <c r="YX1" s="24"/>
      <c r="YY1" s="24"/>
      <c r="YZ1" s="24"/>
      <c r="ZA1" s="24"/>
      <c r="ZB1" s="24"/>
      <c r="ZC1" s="24"/>
      <c r="ZD1" s="24"/>
      <c r="ZE1" s="24"/>
      <c r="ZF1" s="24"/>
      <c r="ZG1" s="24"/>
      <c r="ZH1" s="24"/>
      <c r="ZI1" s="24"/>
      <c r="ZJ1" s="24"/>
      <c r="ZK1" s="24"/>
      <c r="ZL1" s="24"/>
      <c r="ZM1" s="24"/>
      <c r="ZN1" s="24"/>
      <c r="ZO1" s="24"/>
      <c r="ZP1" s="24"/>
      <c r="ZQ1" s="24"/>
      <c r="ZR1" s="24"/>
      <c r="ZS1" s="24"/>
      <c r="ZT1" s="24"/>
      <c r="ZU1" s="24"/>
      <c r="ZV1" s="24"/>
      <c r="ZW1" s="24"/>
      <c r="ZX1" s="24"/>
      <c r="ZY1" s="24"/>
      <c r="ZZ1" s="24"/>
      <c r="AAA1" s="24"/>
      <c r="AAB1" s="24"/>
      <c r="AAC1" s="24"/>
      <c r="AAD1" s="24"/>
      <c r="AAE1" s="24"/>
      <c r="AAF1" s="24"/>
      <c r="AAG1" s="24"/>
      <c r="AAH1" s="24"/>
      <c r="AAI1" s="24"/>
      <c r="AAJ1" s="24"/>
      <c r="AAK1" s="24"/>
      <c r="AAL1" s="24"/>
      <c r="AAM1" s="24"/>
      <c r="AAN1" s="24"/>
      <c r="AAO1" s="24"/>
      <c r="AAP1" s="24"/>
      <c r="AAQ1" s="24"/>
      <c r="AAR1" s="24"/>
      <c r="AAS1" s="24"/>
      <c r="AAT1" s="24"/>
      <c r="AAU1" s="24"/>
      <c r="AAV1" s="24"/>
      <c r="AAW1" s="24"/>
      <c r="AAX1" s="24"/>
      <c r="AAY1" s="24"/>
      <c r="AAZ1" s="24"/>
      <c r="ABA1" s="24"/>
      <c r="ABB1" s="24"/>
      <c r="ABC1" s="24"/>
      <c r="ABD1" s="24"/>
      <c r="ABE1" s="24"/>
      <c r="ABF1" s="24"/>
      <c r="ABG1" s="24"/>
      <c r="ABH1" s="24"/>
      <c r="ABI1" s="24"/>
      <c r="ABJ1" s="24"/>
      <c r="ABK1" s="24"/>
      <c r="ABL1" s="24"/>
      <c r="ABM1" s="24"/>
      <c r="ABN1" s="24"/>
      <c r="ABO1" s="24"/>
      <c r="ABP1" s="24"/>
      <c r="ABQ1" s="24"/>
      <c r="ABR1" s="24"/>
      <c r="ABS1" s="24"/>
      <c r="ABT1" s="24"/>
      <c r="ABU1" s="24"/>
      <c r="ABV1" s="24"/>
      <c r="ABW1" s="24"/>
      <c r="ABX1" s="24"/>
      <c r="ABY1" s="24"/>
      <c r="ABZ1" s="24"/>
      <c r="ACA1" s="24"/>
      <c r="ACB1" s="24"/>
      <c r="ACC1" s="24"/>
      <c r="ACD1" s="24"/>
      <c r="ACE1" s="24"/>
      <c r="ACF1" s="24"/>
      <c r="ACG1" s="24"/>
      <c r="ACH1" s="24"/>
      <c r="ACI1" s="24"/>
      <c r="ACJ1" s="24"/>
      <c r="ACK1" s="24"/>
      <c r="ACL1" s="24"/>
      <c r="ACM1" s="24"/>
      <c r="ACN1" s="24"/>
      <c r="ACO1" s="24"/>
      <c r="ACP1" s="24"/>
      <c r="ACQ1" s="24"/>
      <c r="ACR1" s="24"/>
      <c r="ACS1" s="24"/>
      <c r="ACT1" s="24"/>
      <c r="ACU1" s="24"/>
      <c r="ACV1" s="24"/>
      <c r="ACW1" s="24"/>
      <c r="ACX1" s="24"/>
      <c r="ACY1" s="24"/>
      <c r="ACZ1" s="24"/>
      <c r="ADA1" s="24"/>
      <c r="ADB1" s="24"/>
      <c r="ADC1" s="24"/>
      <c r="ADD1" s="24"/>
      <c r="ADE1" s="24"/>
      <c r="ADF1" s="24"/>
      <c r="ADG1" s="24"/>
      <c r="ADH1" s="24"/>
      <c r="ADI1" s="24"/>
      <c r="ADJ1" s="24"/>
      <c r="ADK1" s="24"/>
      <c r="ADL1" s="24"/>
      <c r="ADM1" s="24"/>
      <c r="ADN1" s="24"/>
      <c r="ADO1" s="24"/>
      <c r="ADP1" s="24"/>
      <c r="ADQ1" s="24"/>
      <c r="ADR1" s="24"/>
      <c r="ADS1" s="24"/>
      <c r="ADT1" s="24"/>
      <c r="ADU1" s="24"/>
      <c r="ADV1" s="24"/>
      <c r="ADW1" s="24"/>
      <c r="ADX1" s="24"/>
      <c r="ADY1" s="24"/>
      <c r="ADZ1" s="24"/>
      <c r="AEA1" s="24"/>
      <c r="AEB1" s="24"/>
      <c r="AEC1" s="24"/>
      <c r="AED1" s="24"/>
      <c r="AEE1" s="24"/>
      <c r="AEF1" s="24"/>
      <c r="AEG1" s="24"/>
      <c r="AEH1" s="24"/>
      <c r="AEI1" s="24"/>
      <c r="AEJ1" s="24"/>
      <c r="AEK1" s="24"/>
      <c r="AEL1" s="24"/>
      <c r="AEM1" s="24"/>
      <c r="AEN1" s="24"/>
      <c r="AEO1" s="24"/>
      <c r="AEP1" s="24"/>
      <c r="AEQ1" s="24"/>
      <c r="AER1" s="24"/>
      <c r="AES1" s="24"/>
      <c r="AET1" s="24"/>
      <c r="AEU1" s="24"/>
      <c r="AEV1" s="24"/>
      <c r="AEW1" s="24"/>
      <c r="AEX1" s="24"/>
      <c r="AEY1" s="24"/>
      <c r="AEZ1" s="24"/>
      <c r="AFA1" s="24"/>
      <c r="AFB1" s="24"/>
      <c r="AFC1" s="24"/>
      <c r="AFD1" s="24"/>
      <c r="AFE1" s="24"/>
      <c r="AFF1" s="24"/>
      <c r="AFG1" s="24"/>
      <c r="AFH1" s="24"/>
      <c r="AFI1" s="24"/>
      <c r="AFJ1" s="24"/>
      <c r="AFK1" s="24"/>
      <c r="AFL1" s="24"/>
      <c r="AFM1" s="24"/>
      <c r="AFN1" s="24"/>
      <c r="AFO1" s="24"/>
      <c r="AFP1" s="24"/>
      <c r="AFQ1" s="24"/>
      <c r="AFR1" s="24"/>
      <c r="AFS1" s="24"/>
      <c r="AFT1" s="24"/>
      <c r="AFU1" s="24"/>
      <c r="AFV1" s="24"/>
      <c r="AFW1" s="24"/>
      <c r="AFX1" s="24"/>
      <c r="AFY1" s="24"/>
      <c r="AFZ1" s="24"/>
      <c r="AGA1" s="24"/>
      <c r="AGB1" s="24"/>
      <c r="AGC1" s="24"/>
      <c r="AGD1" s="24"/>
      <c r="AGE1" s="24"/>
      <c r="AGF1" s="24"/>
      <c r="AGG1" s="24"/>
      <c r="AGH1" s="24"/>
      <c r="AGI1" s="24"/>
      <c r="AGJ1" s="24"/>
      <c r="AGK1" s="24"/>
      <c r="AGL1" s="24"/>
      <c r="AGM1" s="24"/>
      <c r="AGN1" s="24"/>
      <c r="AGO1" s="24"/>
      <c r="AGP1" s="24"/>
      <c r="AGQ1" s="24"/>
      <c r="AGR1" s="24"/>
      <c r="AGS1" s="24"/>
      <c r="AGT1" s="24"/>
      <c r="AGU1" s="24"/>
      <c r="AGV1" s="24"/>
      <c r="AGW1" s="24"/>
      <c r="AGX1" s="24"/>
      <c r="AGY1" s="24"/>
      <c r="AGZ1" s="24"/>
      <c r="AHA1" s="24"/>
      <c r="AHB1" s="24"/>
      <c r="AHC1" s="24"/>
      <c r="AHD1" s="24"/>
      <c r="AHE1" s="24"/>
      <c r="AHF1" s="24"/>
      <c r="AHG1" s="24"/>
      <c r="AHH1" s="24"/>
      <c r="AHI1" s="24"/>
      <c r="AHJ1" s="24"/>
      <c r="AHK1" s="24"/>
      <c r="AHL1" s="24"/>
      <c r="AHM1" s="24"/>
      <c r="AHN1" s="24"/>
      <c r="AHO1" s="24"/>
      <c r="AHP1" s="24"/>
      <c r="AHQ1" s="24"/>
      <c r="AHR1" s="24"/>
      <c r="AHS1" s="24"/>
      <c r="AHT1" s="24"/>
      <c r="AHU1" s="24"/>
      <c r="AHV1" s="24"/>
      <c r="AHW1" s="24"/>
      <c r="AHX1" s="24"/>
      <c r="AHY1" s="24"/>
      <c r="AHZ1" s="24"/>
      <c r="AIA1" s="24"/>
      <c r="AIB1" s="24"/>
      <c r="AIC1" s="24"/>
      <c r="AID1" s="24"/>
      <c r="AIE1" s="24"/>
      <c r="AIF1" s="24"/>
      <c r="AIG1" s="24"/>
      <c r="AIH1" s="24"/>
      <c r="AII1" s="24"/>
      <c r="AIJ1" s="24"/>
      <c r="AIK1" s="24"/>
      <c r="AIL1" s="24"/>
      <c r="AIM1" s="24"/>
      <c r="AIN1" s="24"/>
      <c r="AIO1" s="24"/>
      <c r="AIP1" s="24"/>
      <c r="AIQ1" s="24"/>
      <c r="AIR1" s="24"/>
      <c r="AIS1" s="24"/>
      <c r="AIT1" s="24"/>
      <c r="AIU1" s="24"/>
      <c r="AIV1" s="24"/>
      <c r="AIW1" s="24"/>
      <c r="AIX1" s="24"/>
      <c r="AIY1" s="24"/>
      <c r="AIZ1" s="24"/>
      <c r="AJA1" s="24"/>
      <c r="AJB1" s="24"/>
      <c r="AJC1" s="24"/>
      <c r="AJD1" s="24"/>
      <c r="AJE1" s="24"/>
      <c r="AJF1" s="24"/>
      <c r="AJG1" s="24"/>
      <c r="AJH1" s="24"/>
      <c r="AJI1" s="24"/>
      <c r="AJJ1" s="24"/>
      <c r="AJK1" s="24"/>
      <c r="AJL1" s="24"/>
      <c r="AJM1" s="24"/>
      <c r="AJN1" s="24"/>
      <c r="AJO1" s="24"/>
      <c r="AJP1" s="24"/>
      <c r="AJQ1" s="24"/>
      <c r="AJR1" s="24"/>
      <c r="AJS1" s="24"/>
      <c r="AJT1" s="24"/>
      <c r="AJU1" s="24"/>
      <c r="AJV1" s="24"/>
      <c r="AJW1" s="24"/>
      <c r="AJX1" s="24"/>
      <c r="AJY1" s="24"/>
      <c r="AJZ1" s="24"/>
      <c r="AKA1" s="24"/>
      <c r="AKB1" s="24"/>
      <c r="AKC1" s="24"/>
      <c r="AKD1" s="24"/>
      <c r="AKE1" s="24"/>
      <c r="AKF1" s="24"/>
      <c r="AKG1" s="24"/>
      <c r="AKH1" s="24"/>
      <c r="AKI1" s="24"/>
      <c r="AKJ1" s="24"/>
      <c r="AKK1" s="24"/>
      <c r="AKL1" s="24"/>
      <c r="AKM1" s="24"/>
      <c r="AKN1" s="24"/>
      <c r="AKO1" s="24"/>
      <c r="AKP1" s="24"/>
      <c r="AKQ1" s="24"/>
      <c r="AKR1" s="24"/>
      <c r="AKS1" s="24"/>
      <c r="AKT1" s="24"/>
      <c r="AKU1" s="24"/>
      <c r="AKV1" s="24"/>
      <c r="AKW1" s="24"/>
      <c r="AKX1" s="24"/>
      <c r="AKY1" s="24"/>
      <c r="AKZ1" s="24"/>
      <c r="ALA1" s="24"/>
      <c r="ALB1" s="24"/>
      <c r="ALC1" s="24"/>
      <c r="ALD1" s="24"/>
      <c r="ALE1" s="24"/>
      <c r="ALF1" s="24"/>
      <c r="ALG1" s="24"/>
      <c r="ALH1" s="24"/>
      <c r="ALI1" s="24"/>
      <c r="ALJ1" s="24"/>
      <c r="ALK1" s="24"/>
      <c r="ALL1" s="24"/>
      <c r="ALM1" s="24"/>
      <c r="ALN1" s="24"/>
      <c r="ALO1" s="24"/>
      <c r="ALP1" s="24"/>
      <c r="ALQ1" s="24"/>
      <c r="ALR1" s="24"/>
      <c r="ALS1" s="24"/>
      <c r="ALT1" s="24"/>
      <c r="ALU1" s="24"/>
      <c r="ALV1" s="24"/>
      <c r="ALW1" s="24"/>
      <c r="ALX1" s="24"/>
      <c r="ALY1" s="24"/>
      <c r="ALZ1" s="24"/>
      <c r="AMA1" s="24"/>
      <c r="AMB1" s="24"/>
      <c r="AMC1" s="24"/>
      <c r="AMD1" s="24"/>
      <c r="AME1" s="24"/>
      <c r="AMF1" s="24"/>
      <c r="AMG1" s="24"/>
      <c r="AMH1" s="24"/>
      <c r="AMI1" s="24"/>
      <c r="AMJ1" s="24"/>
      <c r="AMK1" s="24"/>
      <c r="AML1" s="24"/>
      <c r="AMM1" s="24"/>
      <c r="AMN1" s="24"/>
      <c r="AMO1" s="24"/>
      <c r="AMP1" s="24"/>
      <c r="AMQ1" s="24"/>
      <c r="AMR1" s="24"/>
      <c r="AMS1" s="24"/>
      <c r="AMT1" s="24"/>
      <c r="AMU1" s="24"/>
      <c r="AMV1" s="24"/>
      <c r="AMW1" s="24"/>
      <c r="AMX1" s="24"/>
      <c r="AMY1" s="24"/>
      <c r="AMZ1" s="24"/>
      <c r="ANA1" s="24"/>
      <c r="ANB1" s="24"/>
      <c r="ANC1" s="24"/>
      <c r="AND1" s="24"/>
      <c r="ANE1" s="24"/>
      <c r="ANF1" s="24"/>
      <c r="ANG1" s="24"/>
      <c r="ANH1" s="24"/>
      <c r="ANI1" s="24"/>
      <c r="ANJ1" s="24"/>
      <c r="ANK1" s="24"/>
      <c r="ANL1" s="24"/>
      <c r="ANM1" s="24"/>
      <c r="ANN1" s="24"/>
      <c r="ANO1" s="24"/>
      <c r="ANP1" s="24"/>
      <c r="ANQ1" s="24"/>
      <c r="ANR1" s="24"/>
      <c r="ANS1" s="24"/>
      <c r="ANT1" s="24"/>
      <c r="ANU1" s="24"/>
      <c r="ANV1" s="24"/>
      <c r="ANW1" s="24"/>
      <c r="ANX1" s="24"/>
      <c r="ANY1" s="24"/>
      <c r="ANZ1" s="24"/>
      <c r="AOA1" s="24"/>
      <c r="AOB1" s="24"/>
      <c r="AOC1" s="24"/>
      <c r="AOD1" s="24"/>
      <c r="AOE1" s="24"/>
      <c r="AOF1" s="24"/>
      <c r="AOG1" s="24"/>
      <c r="AOH1" s="24"/>
      <c r="AOI1" s="24"/>
      <c r="AOJ1" s="24"/>
      <c r="AOK1" s="24"/>
      <c r="AOL1" s="24"/>
      <c r="AOM1" s="24"/>
      <c r="AON1" s="24"/>
      <c r="AOO1" s="24"/>
      <c r="AOP1" s="24"/>
      <c r="AOQ1" s="24"/>
      <c r="AOR1" s="24"/>
      <c r="AOS1" s="24"/>
      <c r="AOT1" s="24"/>
      <c r="AOU1" s="24"/>
      <c r="AOV1" s="24"/>
      <c r="AOW1" s="24"/>
      <c r="AOX1" s="24"/>
      <c r="AOY1" s="24"/>
      <c r="AOZ1" s="24"/>
      <c r="APA1" s="24"/>
      <c r="APB1" s="24"/>
      <c r="APC1" s="24"/>
      <c r="APD1" s="24"/>
      <c r="APE1" s="24"/>
      <c r="APF1" s="24"/>
      <c r="APG1" s="24"/>
      <c r="APH1" s="24"/>
      <c r="API1" s="24"/>
      <c r="APJ1" s="24"/>
      <c r="APK1" s="24"/>
      <c r="APL1" s="24"/>
      <c r="APM1" s="24"/>
      <c r="APN1" s="24"/>
      <c r="APO1" s="24"/>
      <c r="APP1" s="24"/>
      <c r="APQ1" s="24"/>
      <c r="APR1" s="24"/>
      <c r="APS1" s="24"/>
      <c r="APT1" s="24"/>
      <c r="APU1" s="24"/>
      <c r="APV1" s="24"/>
      <c r="APW1" s="24"/>
      <c r="APX1" s="24"/>
      <c r="APY1" s="24"/>
      <c r="APZ1" s="24"/>
      <c r="AQA1" s="24"/>
      <c r="AQB1" s="24"/>
      <c r="AQC1" s="24"/>
      <c r="AQD1" s="24"/>
      <c r="AQE1" s="24"/>
      <c r="AQF1" s="24"/>
      <c r="AQG1" s="24"/>
      <c r="AQH1" s="24"/>
      <c r="AQI1" s="24"/>
      <c r="AQJ1" s="24"/>
      <c r="AQK1" s="24"/>
      <c r="AQL1" s="24"/>
      <c r="AQM1" s="24"/>
      <c r="AQN1" s="24"/>
      <c r="AQO1" s="24"/>
      <c r="AQP1" s="24"/>
      <c r="AQQ1" s="24"/>
      <c r="AQR1" s="24"/>
      <c r="AQS1" s="24"/>
      <c r="AQT1" s="24"/>
      <c r="AQU1" s="24"/>
      <c r="AQV1" s="24"/>
      <c r="AQW1" s="24"/>
      <c r="AQX1" s="24"/>
      <c r="AQY1" s="24"/>
      <c r="AQZ1" s="24"/>
      <c r="ARA1" s="24"/>
      <c r="ARB1" s="24"/>
      <c r="ARC1" s="24"/>
      <c r="ARD1" s="24"/>
      <c r="ARE1" s="24"/>
      <c r="ARF1" s="24"/>
      <c r="ARG1" s="24"/>
      <c r="ARH1" s="24"/>
      <c r="ARI1" s="24"/>
      <c r="ARJ1" s="24"/>
      <c r="ARK1" s="24"/>
      <c r="ARL1" s="24"/>
      <c r="ARM1" s="24"/>
      <c r="ARN1" s="24"/>
      <c r="ARO1" s="24"/>
      <c r="ARP1" s="24"/>
      <c r="ARQ1" s="24"/>
      <c r="ARR1" s="24"/>
      <c r="ARS1" s="24"/>
      <c r="ART1" s="24"/>
      <c r="ARU1" s="24"/>
      <c r="ARV1" s="24"/>
      <c r="ARW1" s="24"/>
      <c r="ARX1" s="24"/>
      <c r="ARY1" s="24"/>
      <c r="ARZ1" s="24"/>
      <c r="ASA1" s="24"/>
      <c r="ASB1" s="24"/>
      <c r="ASC1" s="24"/>
      <c r="ASD1" s="24"/>
      <c r="ASE1" s="24"/>
      <c r="ASF1" s="24"/>
      <c r="ASG1" s="24"/>
      <c r="ASH1" s="24"/>
      <c r="ASI1" s="24"/>
      <c r="ASJ1" s="24"/>
      <c r="ASK1" s="24"/>
      <c r="ASL1" s="24"/>
      <c r="ASM1" s="24"/>
      <c r="ASN1" s="24"/>
      <c r="ASO1" s="24"/>
      <c r="ASP1" s="24"/>
      <c r="ASQ1" s="24"/>
      <c r="ASR1" s="24"/>
      <c r="ASS1" s="24"/>
      <c r="AST1" s="24"/>
      <c r="ASU1" s="24"/>
      <c r="ASV1" s="24"/>
      <c r="ASW1" s="24"/>
      <c r="ASX1" s="24"/>
      <c r="ASY1" s="24"/>
      <c r="ASZ1" s="24"/>
      <c r="ATA1" s="24"/>
      <c r="ATB1" s="24"/>
      <c r="ATC1" s="24"/>
      <c r="ATD1" s="24"/>
      <c r="ATE1" s="24"/>
      <c r="ATF1" s="24"/>
      <c r="ATG1" s="24"/>
      <c r="ATH1" s="24"/>
      <c r="ATI1" s="24"/>
      <c r="ATJ1" s="24"/>
      <c r="ATK1" s="24"/>
      <c r="ATL1" s="24"/>
      <c r="ATM1" s="24"/>
      <c r="ATN1" s="24"/>
      <c r="ATO1" s="24"/>
      <c r="ATP1" s="24"/>
      <c r="ATQ1" s="24"/>
      <c r="ATR1" s="24"/>
      <c r="ATS1" s="24"/>
      <c r="ATT1" s="24"/>
      <c r="ATU1" s="24"/>
      <c r="ATV1" s="24"/>
      <c r="ATW1" s="24"/>
      <c r="ATX1" s="24"/>
      <c r="ATY1" s="24"/>
      <c r="ATZ1" s="24"/>
      <c r="AUA1" s="24"/>
      <c r="AUB1" s="24"/>
      <c r="AUC1" s="24"/>
      <c r="AUD1" s="24"/>
      <c r="AUE1" s="24"/>
      <c r="AUF1" s="24"/>
      <c r="AUG1" s="24"/>
      <c r="AUH1" s="24"/>
      <c r="AUI1" s="24"/>
      <c r="AUJ1" s="24"/>
      <c r="AUK1" s="24"/>
      <c r="AUL1" s="24"/>
      <c r="AUM1" s="24"/>
      <c r="AUN1" s="24"/>
      <c r="AUO1" s="24"/>
      <c r="AUP1" s="24"/>
      <c r="AUQ1" s="24"/>
      <c r="AUR1" s="24"/>
      <c r="AUS1" s="24"/>
      <c r="AUT1" s="24"/>
      <c r="AUU1" s="24"/>
      <c r="AUV1" s="24"/>
      <c r="AUW1" s="24"/>
      <c r="AUX1" s="24"/>
      <c r="AUY1" s="24"/>
      <c r="AUZ1" s="24"/>
      <c r="AVA1" s="24"/>
      <c r="AVB1" s="24"/>
      <c r="AVC1" s="24"/>
      <c r="AVD1" s="24"/>
      <c r="AVE1" s="24"/>
      <c r="AVF1" s="24"/>
      <c r="AVG1" s="24"/>
      <c r="AVH1" s="24"/>
      <c r="AVI1" s="24"/>
      <c r="AVJ1" s="24"/>
      <c r="AVK1" s="24"/>
      <c r="AVL1" s="24"/>
      <c r="AVM1" s="24"/>
      <c r="AVN1" s="24"/>
      <c r="AVO1" s="24"/>
      <c r="AVP1" s="24"/>
      <c r="AVQ1" s="24"/>
      <c r="AVR1" s="24"/>
      <c r="AVS1" s="24"/>
      <c r="AVT1" s="24"/>
      <c r="AVU1" s="24"/>
      <c r="AVV1" s="24"/>
      <c r="AVW1" s="24"/>
      <c r="AVX1" s="24"/>
      <c r="AVY1" s="24"/>
      <c r="AVZ1" s="24"/>
      <c r="AWA1" s="24"/>
      <c r="AWB1" s="24"/>
      <c r="AWC1" s="24"/>
      <c r="AWD1" s="24"/>
      <c r="AWE1" s="24"/>
      <c r="AWF1" s="24"/>
      <c r="AWG1" s="24"/>
      <c r="AWH1" s="24"/>
      <c r="AWI1" s="24"/>
      <c r="AWJ1" s="24"/>
      <c r="AWK1" s="24"/>
      <c r="AWL1" s="24"/>
      <c r="AWM1" s="24"/>
      <c r="AWN1" s="24"/>
      <c r="AWO1" s="24"/>
      <c r="AWP1" s="24"/>
      <c r="AWQ1" s="24"/>
      <c r="AWR1" s="24"/>
      <c r="AWS1" s="24"/>
      <c r="AWT1" s="24"/>
      <c r="AWU1" s="24"/>
      <c r="AWV1" s="24"/>
      <c r="AWW1" s="24"/>
      <c r="AWX1" s="24"/>
      <c r="AWY1" s="24"/>
      <c r="AWZ1" s="24"/>
      <c r="AXA1" s="24"/>
      <c r="AXB1" s="24"/>
      <c r="AXC1" s="24"/>
      <c r="AXD1" s="24"/>
      <c r="AXE1" s="24"/>
      <c r="AXF1" s="24"/>
      <c r="AXG1" s="24"/>
      <c r="AXH1" s="24"/>
      <c r="AXI1" s="24"/>
      <c r="AXJ1" s="24"/>
      <c r="AXK1" s="24"/>
      <c r="AXL1" s="24"/>
      <c r="AXM1" s="24"/>
      <c r="AXN1" s="24"/>
      <c r="AXO1" s="24"/>
      <c r="AXP1" s="24"/>
      <c r="AXQ1" s="24"/>
      <c r="AXR1" s="24"/>
      <c r="AXS1" s="24"/>
      <c r="AXT1" s="24"/>
      <c r="AXU1" s="24"/>
      <c r="AXV1" s="24"/>
      <c r="AXW1" s="24"/>
      <c r="AXX1" s="24"/>
      <c r="AXY1" s="24"/>
      <c r="AXZ1" s="24"/>
      <c r="AYA1" s="24"/>
      <c r="AYB1" s="24"/>
      <c r="AYC1" s="24"/>
      <c r="AYD1" s="24"/>
      <c r="AYE1" s="24"/>
      <c r="AYF1" s="24"/>
      <c r="AYG1" s="24"/>
      <c r="AYH1" s="24"/>
      <c r="AYI1" s="24"/>
      <c r="AYJ1" s="24"/>
      <c r="AYK1" s="24"/>
      <c r="AYL1" s="24"/>
      <c r="AYM1" s="24"/>
      <c r="AYN1" s="24"/>
      <c r="AYO1" s="24"/>
      <c r="AYP1" s="24"/>
      <c r="AYQ1" s="24"/>
      <c r="AYR1" s="24"/>
      <c r="AYS1" s="24"/>
      <c r="AYT1" s="24"/>
      <c r="AYU1" s="24"/>
      <c r="AYV1" s="24"/>
      <c r="AYW1" s="24"/>
      <c r="AYX1" s="24"/>
      <c r="AYY1" s="24"/>
      <c r="AYZ1" s="24"/>
      <c r="AZA1" s="24"/>
      <c r="AZB1" s="24"/>
      <c r="AZC1" s="24"/>
      <c r="AZD1" s="24"/>
      <c r="AZE1" s="24"/>
      <c r="AZF1" s="24"/>
      <c r="AZG1" s="24"/>
      <c r="AZH1" s="24"/>
      <c r="AZI1" s="24"/>
      <c r="AZJ1" s="24"/>
      <c r="AZK1" s="24"/>
      <c r="AZL1" s="24"/>
      <c r="AZM1" s="24"/>
      <c r="AZN1" s="24"/>
      <c r="AZO1" s="24"/>
      <c r="AZP1" s="24"/>
      <c r="AZQ1" s="24"/>
      <c r="AZR1" s="24"/>
      <c r="AZS1" s="24"/>
      <c r="AZT1" s="24"/>
      <c r="AZU1" s="24"/>
      <c r="AZV1" s="24"/>
      <c r="AZW1" s="24"/>
      <c r="AZX1" s="24"/>
      <c r="AZY1" s="24"/>
      <c r="AZZ1" s="24"/>
      <c r="BAA1" s="24"/>
      <c r="BAB1" s="24"/>
      <c r="BAC1" s="24"/>
      <c r="BAD1" s="24"/>
      <c r="BAE1" s="24"/>
      <c r="BAF1" s="24"/>
      <c r="BAG1" s="24"/>
      <c r="BAH1" s="24"/>
      <c r="BAI1" s="24"/>
      <c r="BAJ1" s="24"/>
      <c r="BAK1" s="24"/>
      <c r="BAL1" s="24"/>
      <c r="BAM1" s="24"/>
      <c r="BAN1" s="24"/>
      <c r="BAO1" s="24"/>
      <c r="BAP1" s="24"/>
      <c r="BAQ1" s="24"/>
      <c r="BAR1" s="24"/>
      <c r="BAS1" s="24"/>
      <c r="BAT1" s="24"/>
      <c r="BAU1" s="24"/>
      <c r="BAV1" s="24"/>
      <c r="BAW1" s="24"/>
      <c r="BAX1" s="24"/>
      <c r="BAY1" s="24"/>
      <c r="BAZ1" s="24"/>
      <c r="BBA1" s="24"/>
      <c r="BBB1" s="24"/>
      <c r="BBC1" s="24"/>
      <c r="BBD1" s="24"/>
      <c r="BBE1" s="24"/>
      <c r="BBF1" s="24"/>
      <c r="BBG1" s="24"/>
      <c r="BBH1" s="24"/>
      <c r="BBI1" s="24"/>
      <c r="BBJ1" s="24"/>
      <c r="BBK1" s="24"/>
      <c r="BBL1" s="24"/>
      <c r="BBM1" s="24"/>
      <c r="BBN1" s="24"/>
      <c r="BBO1" s="24"/>
      <c r="BBP1" s="24"/>
      <c r="BBQ1" s="24"/>
      <c r="BBR1" s="24"/>
      <c r="BBS1" s="24"/>
      <c r="BBT1" s="24"/>
      <c r="BBU1" s="24"/>
      <c r="BBV1" s="24"/>
      <c r="BBW1" s="24"/>
      <c r="BBX1" s="24"/>
      <c r="BBY1" s="24"/>
      <c r="BBZ1" s="24"/>
      <c r="BCA1" s="24"/>
      <c r="BCB1" s="24"/>
      <c r="BCC1" s="24"/>
      <c r="BCD1" s="24"/>
      <c r="BCE1" s="24"/>
      <c r="BCF1" s="24"/>
      <c r="BCG1" s="24"/>
      <c r="BCH1" s="24"/>
      <c r="BCI1" s="24"/>
      <c r="BCJ1" s="24"/>
      <c r="BCK1" s="24"/>
      <c r="BCL1" s="24"/>
      <c r="BCM1" s="24"/>
      <c r="BCN1" s="24"/>
      <c r="BCO1" s="24"/>
      <c r="BCP1" s="24"/>
      <c r="BCQ1" s="24"/>
      <c r="BCR1" s="24"/>
      <c r="BCS1" s="24"/>
      <c r="BCT1" s="24"/>
      <c r="BCU1" s="24"/>
      <c r="BCV1" s="24"/>
      <c r="BCW1" s="24"/>
      <c r="BCX1" s="24"/>
      <c r="BCY1" s="24"/>
      <c r="BCZ1" s="24"/>
      <c r="BDA1" s="24"/>
      <c r="BDB1" s="24"/>
      <c r="BDC1" s="24"/>
      <c r="BDD1" s="24"/>
      <c r="BDE1" s="24"/>
      <c r="BDF1" s="24"/>
      <c r="BDG1" s="24"/>
      <c r="BDH1" s="24"/>
      <c r="BDI1" s="24"/>
      <c r="BDJ1" s="24"/>
      <c r="BDK1" s="24"/>
      <c r="BDL1" s="24"/>
      <c r="BDM1" s="24"/>
      <c r="BDN1" s="24"/>
      <c r="BDO1" s="24"/>
      <c r="BDP1" s="24"/>
      <c r="BDQ1" s="24"/>
      <c r="BDR1" s="24"/>
      <c r="BDS1" s="24"/>
      <c r="BDT1" s="24"/>
      <c r="BDU1" s="24"/>
      <c r="BDV1" s="24"/>
      <c r="BDW1" s="24"/>
      <c r="BDX1" s="24"/>
      <c r="BDY1" s="24"/>
      <c r="BDZ1" s="24"/>
      <c r="BEA1" s="24"/>
      <c r="BEB1" s="24"/>
      <c r="BEC1" s="24"/>
      <c r="BED1" s="24"/>
      <c r="BEE1" s="24"/>
      <c r="BEF1" s="24"/>
      <c r="BEG1" s="24"/>
      <c r="BEH1" s="24"/>
      <c r="BEI1" s="24"/>
      <c r="BEJ1" s="24"/>
      <c r="BEK1" s="24"/>
      <c r="BEL1" s="24"/>
      <c r="BEM1" s="24"/>
      <c r="BEN1" s="24"/>
      <c r="BEO1" s="24"/>
      <c r="BEP1" s="24"/>
      <c r="BEQ1" s="24"/>
      <c r="BER1" s="24"/>
      <c r="BES1" s="24"/>
      <c r="BET1" s="24"/>
      <c r="BEU1" s="24"/>
      <c r="BEV1" s="24"/>
      <c r="BEW1" s="24"/>
      <c r="BEX1" s="24"/>
      <c r="BEY1" s="24"/>
      <c r="BEZ1" s="24"/>
      <c r="BFA1" s="24"/>
      <c r="BFB1" s="24"/>
      <c r="BFC1" s="24"/>
      <c r="BFD1" s="24"/>
      <c r="BFE1" s="24"/>
      <c r="BFF1" s="24"/>
      <c r="BFG1" s="24"/>
      <c r="BFH1" s="24"/>
      <c r="BFI1" s="24"/>
      <c r="BFJ1" s="24"/>
      <c r="BFK1" s="24"/>
      <c r="BFL1" s="24"/>
      <c r="BFM1" s="24"/>
      <c r="BFN1" s="24"/>
      <c r="BFO1" s="24"/>
      <c r="BFP1" s="24"/>
      <c r="BFQ1" s="24"/>
      <c r="BFR1" s="24"/>
      <c r="BFS1" s="24"/>
      <c r="BFT1" s="24"/>
      <c r="BFU1" s="24"/>
      <c r="BFV1" s="24"/>
      <c r="BFW1" s="24"/>
      <c r="BFX1" s="24"/>
      <c r="BFY1" s="24"/>
      <c r="BFZ1" s="24"/>
      <c r="BGA1" s="24"/>
      <c r="BGB1" s="24"/>
      <c r="BGC1" s="24"/>
      <c r="BGD1" s="24"/>
      <c r="BGE1" s="24"/>
      <c r="BGF1" s="24"/>
      <c r="BGG1" s="24"/>
      <c r="BGH1" s="24"/>
      <c r="BGI1" s="24"/>
      <c r="BGJ1" s="24"/>
      <c r="BGK1" s="24"/>
      <c r="BGL1" s="24"/>
      <c r="BGM1" s="24"/>
      <c r="BGN1" s="24"/>
      <c r="BGO1" s="24"/>
      <c r="BGP1" s="24"/>
      <c r="BGQ1" s="24"/>
      <c r="BGR1" s="24"/>
      <c r="BGS1" s="24"/>
      <c r="BGT1" s="24"/>
      <c r="BGU1" s="24"/>
      <c r="BGV1" s="24"/>
      <c r="BGW1" s="24"/>
      <c r="BGX1" s="24"/>
      <c r="BGY1" s="24"/>
      <c r="BGZ1" s="24"/>
      <c r="BHA1" s="24"/>
      <c r="BHB1" s="24"/>
      <c r="BHC1" s="24"/>
      <c r="BHD1" s="24"/>
      <c r="BHE1" s="24"/>
      <c r="BHF1" s="24"/>
      <c r="BHG1" s="24"/>
      <c r="BHH1" s="24"/>
      <c r="BHI1" s="24"/>
      <c r="BHJ1" s="24"/>
      <c r="BHK1" s="24"/>
      <c r="BHL1" s="24"/>
      <c r="BHM1" s="24"/>
      <c r="BHN1" s="24"/>
      <c r="BHO1" s="24"/>
      <c r="BHP1" s="24"/>
      <c r="BHQ1" s="24"/>
      <c r="BHR1" s="24"/>
      <c r="BHS1" s="24"/>
      <c r="BHT1" s="24"/>
      <c r="BHU1" s="24"/>
      <c r="BHV1" s="24"/>
      <c r="BHW1" s="24"/>
      <c r="BHX1" s="24"/>
      <c r="BHY1" s="24"/>
      <c r="BHZ1" s="24"/>
      <c r="BIA1" s="24"/>
      <c r="BIB1" s="24"/>
      <c r="BIC1" s="24"/>
      <c r="BID1" s="24"/>
      <c r="BIE1" s="24"/>
      <c r="BIF1" s="24"/>
      <c r="BIG1" s="24"/>
      <c r="BIH1" s="24"/>
      <c r="BII1" s="24"/>
      <c r="BIJ1" s="24"/>
      <c r="BIK1" s="24"/>
      <c r="BIL1" s="24"/>
      <c r="BIM1" s="24"/>
      <c r="BIN1" s="24"/>
      <c r="BIO1" s="24"/>
      <c r="BIP1" s="24"/>
      <c r="BIQ1" s="24"/>
      <c r="BIR1" s="24"/>
      <c r="BIS1" s="24"/>
      <c r="BIT1" s="24"/>
      <c r="BIU1" s="24"/>
      <c r="BIV1" s="24"/>
      <c r="BIW1" s="24"/>
      <c r="BIX1" s="24"/>
      <c r="BIY1" s="24"/>
      <c r="BIZ1" s="24"/>
      <c r="BJA1" s="24"/>
      <c r="BJB1" s="24"/>
      <c r="BJC1" s="24"/>
      <c r="BJD1" s="24"/>
      <c r="BJE1" s="24"/>
      <c r="BJF1" s="24"/>
      <c r="BJG1" s="24"/>
      <c r="BJH1" s="24"/>
      <c r="BJI1" s="24"/>
      <c r="BJJ1" s="24"/>
      <c r="BJK1" s="24"/>
      <c r="BJL1" s="24"/>
      <c r="BJM1" s="24"/>
      <c r="BJN1" s="24"/>
      <c r="BJO1" s="24"/>
      <c r="BJP1" s="24"/>
      <c r="BJQ1" s="24"/>
      <c r="BJR1" s="24"/>
      <c r="BJS1" s="24"/>
      <c r="BJT1" s="24"/>
      <c r="BJU1" s="24"/>
      <c r="BJV1" s="24"/>
      <c r="BJW1" s="24"/>
      <c r="BJX1" s="24"/>
      <c r="BJY1" s="24"/>
      <c r="BJZ1" s="24"/>
      <c r="BKA1" s="24"/>
      <c r="BKB1" s="24"/>
      <c r="BKC1" s="24"/>
      <c r="BKD1" s="24"/>
      <c r="BKE1" s="24"/>
      <c r="BKF1" s="24"/>
      <c r="BKG1" s="24"/>
      <c r="BKH1" s="24"/>
      <c r="BKI1" s="24"/>
      <c r="BKJ1" s="24"/>
      <c r="BKK1" s="24"/>
      <c r="BKL1" s="24"/>
      <c r="BKM1" s="24"/>
      <c r="BKN1" s="24"/>
      <c r="BKO1" s="24"/>
      <c r="BKP1" s="24"/>
      <c r="BKQ1" s="24"/>
      <c r="BKR1" s="24"/>
      <c r="BKS1" s="24"/>
      <c r="BKT1" s="24"/>
      <c r="BKU1" s="24"/>
      <c r="BKV1" s="24"/>
      <c r="BKW1" s="24"/>
      <c r="BKX1" s="24"/>
      <c r="BKY1" s="24"/>
      <c r="BKZ1" s="24"/>
      <c r="BLA1" s="24"/>
      <c r="BLB1" s="24"/>
      <c r="BLC1" s="24"/>
      <c r="BLD1" s="24"/>
      <c r="BLE1" s="24"/>
      <c r="BLF1" s="24"/>
      <c r="BLG1" s="24"/>
      <c r="BLH1" s="24"/>
      <c r="BLI1" s="24"/>
      <c r="BLJ1" s="24"/>
      <c r="BLK1" s="24"/>
      <c r="BLL1" s="24"/>
      <c r="BLM1" s="24"/>
      <c r="BLN1" s="24"/>
      <c r="BLO1" s="24"/>
      <c r="BLP1" s="24"/>
      <c r="BLQ1" s="24"/>
      <c r="BLR1" s="24"/>
      <c r="BLS1" s="24"/>
      <c r="BLT1" s="24"/>
      <c r="BLU1" s="24"/>
      <c r="BLV1" s="24"/>
      <c r="BLW1" s="24"/>
      <c r="BLX1" s="24"/>
      <c r="BLY1" s="24"/>
      <c r="BLZ1" s="24"/>
      <c r="BMA1" s="24"/>
      <c r="BMB1" s="24"/>
      <c r="BMC1" s="24"/>
      <c r="BMD1" s="24"/>
      <c r="BME1" s="24"/>
      <c r="BMF1" s="24"/>
      <c r="BMG1" s="24"/>
      <c r="BMH1" s="24"/>
      <c r="BMI1" s="24"/>
      <c r="BMJ1" s="24"/>
      <c r="BMK1" s="24"/>
      <c r="BML1" s="24"/>
      <c r="BMM1" s="24"/>
      <c r="BMN1" s="24"/>
      <c r="BMO1" s="24"/>
      <c r="BMP1" s="24"/>
      <c r="BMQ1" s="24"/>
      <c r="BMR1" s="24"/>
      <c r="BMS1" s="24"/>
      <c r="BMT1" s="24"/>
      <c r="BMU1" s="24"/>
      <c r="BMV1" s="24"/>
      <c r="BMW1" s="24"/>
      <c r="BMX1" s="24"/>
      <c r="BMY1" s="24"/>
      <c r="BMZ1" s="24"/>
      <c r="BNA1" s="24"/>
      <c r="BNB1" s="24"/>
      <c r="BNC1" s="24"/>
      <c r="BND1" s="24"/>
      <c r="BNE1" s="24"/>
      <c r="BNF1" s="24"/>
      <c r="BNG1" s="24"/>
      <c r="BNH1" s="24"/>
      <c r="BNI1" s="24"/>
      <c r="BNJ1" s="24"/>
      <c r="BNK1" s="24"/>
      <c r="BNL1" s="24"/>
      <c r="BNM1" s="24"/>
      <c r="BNN1" s="24"/>
      <c r="BNO1" s="24"/>
      <c r="BNP1" s="24"/>
      <c r="BNQ1" s="24"/>
      <c r="BNR1" s="24"/>
      <c r="BNS1" s="24"/>
      <c r="BNT1" s="24"/>
      <c r="BNU1" s="24"/>
      <c r="BNV1" s="24"/>
      <c r="BNW1" s="24"/>
      <c r="BNX1" s="24"/>
      <c r="BNY1" s="24"/>
      <c r="BNZ1" s="24"/>
      <c r="BOA1" s="24"/>
      <c r="BOB1" s="24"/>
      <c r="BOC1" s="24"/>
      <c r="BOD1" s="24"/>
      <c r="BOE1" s="24"/>
      <c r="BOF1" s="24"/>
      <c r="BOG1" s="24"/>
      <c r="BOH1" s="24"/>
      <c r="BOI1" s="24"/>
      <c r="BOJ1" s="24"/>
      <c r="BOK1" s="24"/>
      <c r="BOL1" s="24"/>
      <c r="BOM1" s="24"/>
      <c r="BON1" s="24"/>
      <c r="BOO1" s="24"/>
      <c r="BOP1" s="24"/>
      <c r="BOQ1" s="24"/>
      <c r="BOR1" s="24"/>
      <c r="BOS1" s="24"/>
      <c r="BOT1" s="24"/>
      <c r="BOU1" s="24"/>
      <c r="BOV1" s="24"/>
      <c r="BOW1" s="24"/>
      <c r="BOX1" s="24"/>
      <c r="BOY1" s="24"/>
      <c r="BOZ1" s="24"/>
      <c r="BPA1" s="24"/>
      <c r="BPB1" s="24"/>
      <c r="BPC1" s="24"/>
      <c r="BPD1" s="24"/>
      <c r="BPE1" s="24"/>
      <c r="BPF1" s="24"/>
      <c r="BPG1" s="24"/>
      <c r="BPH1" s="24"/>
      <c r="BPI1" s="24"/>
      <c r="BPJ1" s="24"/>
      <c r="BPK1" s="24"/>
      <c r="BPL1" s="24"/>
      <c r="BPM1" s="24"/>
      <c r="BPN1" s="24"/>
      <c r="BPO1" s="24"/>
      <c r="BPP1" s="24"/>
      <c r="BPQ1" s="24"/>
      <c r="BPR1" s="24"/>
      <c r="BPS1" s="24"/>
      <c r="BPT1" s="24"/>
      <c r="BPU1" s="24"/>
      <c r="BPV1" s="24"/>
      <c r="BPW1" s="24"/>
      <c r="BPX1" s="24"/>
      <c r="BPY1" s="24"/>
      <c r="BPZ1" s="24"/>
      <c r="BQA1" s="24"/>
      <c r="BQB1" s="24"/>
      <c r="BQC1" s="24"/>
      <c r="BQD1" s="24"/>
      <c r="BQE1" s="24"/>
      <c r="BQF1" s="24"/>
      <c r="BQG1" s="24"/>
      <c r="BQH1" s="24"/>
      <c r="BQI1" s="24"/>
      <c r="BQJ1" s="24"/>
      <c r="BQK1" s="24"/>
      <c r="BQL1" s="24"/>
      <c r="BQM1" s="24"/>
      <c r="BQN1" s="24"/>
      <c r="BQO1" s="24"/>
      <c r="BQP1" s="24"/>
      <c r="BQQ1" s="24"/>
      <c r="BQR1" s="24"/>
      <c r="BQS1" s="24"/>
      <c r="BQT1" s="24"/>
      <c r="BQU1" s="24"/>
      <c r="BQV1" s="24"/>
      <c r="BQW1" s="24"/>
      <c r="BQX1" s="24"/>
      <c r="BQY1" s="24"/>
      <c r="BQZ1" s="24"/>
      <c r="BRA1" s="24"/>
      <c r="BRB1" s="24"/>
      <c r="BRC1" s="24"/>
      <c r="BRD1" s="24"/>
      <c r="BRE1" s="24"/>
      <c r="BRF1" s="24"/>
      <c r="BRG1" s="24"/>
      <c r="BRH1" s="24"/>
      <c r="BRI1" s="24"/>
      <c r="BRJ1" s="24"/>
      <c r="BRK1" s="24"/>
      <c r="BRL1" s="24"/>
      <c r="BRM1" s="24"/>
      <c r="BRN1" s="24"/>
      <c r="BRO1" s="24"/>
      <c r="BRP1" s="24"/>
      <c r="BRQ1" s="24"/>
      <c r="BRR1" s="24"/>
      <c r="BRS1" s="24"/>
      <c r="BRT1" s="24"/>
      <c r="BRU1" s="24"/>
      <c r="BRV1" s="24"/>
      <c r="BRW1" s="24"/>
      <c r="BRX1" s="24"/>
      <c r="BRY1" s="24"/>
      <c r="BRZ1" s="24"/>
      <c r="BSA1" s="24"/>
      <c r="BSB1" s="24"/>
      <c r="BSC1" s="24"/>
      <c r="BSD1" s="24"/>
      <c r="BSE1" s="24"/>
      <c r="BSF1" s="24"/>
      <c r="BSG1" s="24"/>
      <c r="BSH1" s="24"/>
      <c r="BSI1" s="24"/>
      <c r="BSJ1" s="24"/>
      <c r="BSK1" s="24"/>
      <c r="BSL1" s="24"/>
      <c r="BSM1" s="24"/>
      <c r="BSN1" s="24"/>
      <c r="BSO1" s="24"/>
      <c r="BSP1" s="24"/>
      <c r="BSQ1" s="24"/>
      <c r="BSR1" s="24"/>
      <c r="BSS1" s="24"/>
      <c r="BST1" s="24"/>
      <c r="BSU1" s="24"/>
      <c r="BSV1" s="24"/>
      <c r="BSW1" s="24"/>
      <c r="BSX1" s="24"/>
      <c r="BSY1" s="24"/>
      <c r="BSZ1" s="24"/>
      <c r="BTA1" s="24"/>
      <c r="BTB1" s="24"/>
      <c r="BTC1" s="24"/>
      <c r="BTD1" s="24"/>
      <c r="BTE1" s="24"/>
      <c r="BTF1" s="24"/>
      <c r="BTG1" s="24"/>
      <c r="BTH1" s="24"/>
      <c r="BTI1" s="24"/>
      <c r="BTJ1" s="24"/>
      <c r="BTK1" s="24"/>
      <c r="BTL1" s="24"/>
      <c r="BTM1" s="24"/>
      <c r="BTN1" s="24"/>
      <c r="BTO1" s="24"/>
      <c r="BTP1" s="24"/>
      <c r="BTQ1" s="24"/>
      <c r="BTR1" s="24"/>
      <c r="BTS1" s="24"/>
      <c r="BTT1" s="24"/>
      <c r="BTU1" s="24"/>
      <c r="BTV1" s="24"/>
      <c r="BTW1" s="24"/>
      <c r="BTX1" s="24"/>
      <c r="BTY1" s="24"/>
      <c r="BTZ1" s="24"/>
      <c r="BUA1" s="24"/>
      <c r="BUB1" s="24"/>
      <c r="BUC1" s="24"/>
      <c r="BUD1" s="24"/>
      <c r="BUE1" s="24"/>
      <c r="BUF1" s="24"/>
      <c r="BUG1" s="24"/>
      <c r="BUH1" s="24"/>
      <c r="BUI1" s="24"/>
      <c r="BUJ1" s="24"/>
      <c r="BUK1" s="24"/>
      <c r="BUL1" s="24"/>
      <c r="BUM1" s="24"/>
      <c r="BUN1" s="24"/>
      <c r="BUO1" s="24"/>
      <c r="BUP1" s="24"/>
      <c r="BUQ1" s="24"/>
      <c r="BUR1" s="24"/>
      <c r="BUS1" s="24"/>
      <c r="BUT1" s="24"/>
      <c r="BUU1" s="24"/>
      <c r="BUV1" s="24"/>
      <c r="BUW1" s="24"/>
      <c r="BUX1" s="24"/>
      <c r="BUY1" s="24"/>
      <c r="BUZ1" s="24"/>
      <c r="BVA1" s="24"/>
      <c r="BVB1" s="24"/>
      <c r="BVC1" s="24"/>
      <c r="BVD1" s="24"/>
      <c r="BVE1" s="24"/>
      <c r="BVF1" s="24"/>
      <c r="BVG1" s="24"/>
      <c r="BVH1" s="24"/>
      <c r="BVI1" s="24"/>
      <c r="BVJ1" s="24"/>
      <c r="BVK1" s="24"/>
      <c r="BVL1" s="24"/>
      <c r="BVM1" s="24"/>
      <c r="BVN1" s="24"/>
      <c r="BVO1" s="24"/>
      <c r="BVP1" s="24"/>
      <c r="BVQ1" s="24"/>
      <c r="BVR1" s="24"/>
      <c r="BVS1" s="24"/>
      <c r="BVT1" s="24"/>
      <c r="BVU1" s="24"/>
      <c r="BVV1" s="24"/>
      <c r="BVW1" s="24"/>
      <c r="BVX1" s="24"/>
      <c r="BVY1" s="24"/>
      <c r="BVZ1" s="24"/>
      <c r="BWA1" s="24"/>
      <c r="BWB1" s="24"/>
      <c r="BWC1" s="24"/>
      <c r="BWD1" s="24"/>
      <c r="BWE1" s="24"/>
      <c r="BWF1" s="24"/>
      <c r="BWG1" s="24"/>
      <c r="BWH1" s="24"/>
      <c r="BWI1" s="24"/>
      <c r="BWJ1" s="24"/>
      <c r="BWK1" s="24"/>
      <c r="BWL1" s="24"/>
      <c r="BWM1" s="24"/>
      <c r="BWN1" s="24"/>
      <c r="BWO1" s="24"/>
      <c r="BWP1" s="24"/>
      <c r="BWQ1" s="24"/>
      <c r="BWR1" s="24"/>
      <c r="BWS1" s="24"/>
      <c r="BWT1" s="24"/>
      <c r="BWU1" s="24"/>
      <c r="BWV1" s="24"/>
      <c r="BWW1" s="24"/>
      <c r="BWX1" s="24"/>
      <c r="BWY1" s="24"/>
      <c r="BWZ1" s="24"/>
      <c r="BXA1" s="24"/>
      <c r="BXB1" s="24"/>
      <c r="BXC1" s="24"/>
      <c r="BXD1" s="24"/>
      <c r="BXE1" s="24"/>
      <c r="BXF1" s="24"/>
      <c r="BXG1" s="24"/>
      <c r="BXH1" s="24"/>
      <c r="BXI1" s="24"/>
      <c r="BXJ1" s="24"/>
      <c r="BXK1" s="24"/>
      <c r="BXL1" s="24"/>
      <c r="BXM1" s="24"/>
      <c r="BXN1" s="24"/>
      <c r="BXO1" s="24"/>
      <c r="BXP1" s="24"/>
      <c r="BXQ1" s="24"/>
      <c r="BXR1" s="24"/>
      <c r="BXS1" s="24"/>
      <c r="BXT1" s="24"/>
      <c r="BXU1" s="24"/>
      <c r="BXV1" s="24"/>
      <c r="BXW1" s="24"/>
      <c r="BXX1" s="24"/>
      <c r="BXY1" s="24"/>
      <c r="BXZ1" s="24"/>
      <c r="BYA1" s="24"/>
      <c r="BYB1" s="24"/>
      <c r="BYC1" s="24"/>
      <c r="BYD1" s="24"/>
      <c r="BYE1" s="24"/>
      <c r="BYF1" s="24"/>
      <c r="BYG1" s="24"/>
      <c r="BYH1" s="24"/>
      <c r="BYI1" s="24"/>
      <c r="BYJ1" s="24"/>
      <c r="BYK1" s="24"/>
      <c r="BYL1" s="24"/>
      <c r="BYM1" s="24"/>
      <c r="BYN1" s="24"/>
      <c r="BYO1" s="24"/>
      <c r="BYP1" s="24"/>
      <c r="BYQ1" s="24"/>
      <c r="BYR1" s="24"/>
      <c r="BYS1" s="24"/>
      <c r="BYT1" s="24"/>
      <c r="BYU1" s="24"/>
      <c r="BYV1" s="24"/>
      <c r="BYW1" s="24"/>
      <c r="BYX1" s="24"/>
      <c r="BYY1" s="24"/>
      <c r="BYZ1" s="24"/>
      <c r="BZA1" s="24"/>
      <c r="BZB1" s="24"/>
      <c r="BZC1" s="24"/>
      <c r="BZD1" s="24"/>
      <c r="BZE1" s="24"/>
      <c r="BZF1" s="24"/>
      <c r="BZG1" s="24"/>
      <c r="BZH1" s="24"/>
      <c r="BZI1" s="24"/>
      <c r="BZJ1" s="24"/>
      <c r="BZK1" s="24"/>
      <c r="BZL1" s="24"/>
      <c r="BZM1" s="24"/>
      <c r="BZN1" s="24"/>
      <c r="BZO1" s="24"/>
      <c r="BZP1" s="24"/>
      <c r="BZQ1" s="24"/>
      <c r="BZR1" s="24"/>
      <c r="BZS1" s="24"/>
      <c r="BZT1" s="24"/>
      <c r="BZU1" s="24"/>
      <c r="BZV1" s="24"/>
      <c r="BZW1" s="24"/>
      <c r="BZX1" s="24"/>
      <c r="BZY1" s="24"/>
      <c r="BZZ1" s="24"/>
      <c r="CAA1" s="24"/>
      <c r="CAB1" s="24"/>
      <c r="CAC1" s="24"/>
      <c r="CAD1" s="24"/>
      <c r="CAE1" s="24"/>
      <c r="CAF1" s="24"/>
      <c r="CAG1" s="24"/>
      <c r="CAH1" s="24"/>
      <c r="CAI1" s="24"/>
      <c r="CAJ1" s="24"/>
      <c r="CAK1" s="24"/>
      <c r="CAL1" s="24"/>
      <c r="CAM1" s="24"/>
      <c r="CAN1" s="24"/>
      <c r="CAO1" s="24"/>
      <c r="CAP1" s="24"/>
      <c r="CAQ1" s="24"/>
      <c r="CAR1" s="24"/>
      <c r="CAS1" s="24"/>
      <c r="CAT1" s="24"/>
      <c r="CAU1" s="24"/>
      <c r="CAV1" s="24"/>
      <c r="CAW1" s="24"/>
      <c r="CAX1" s="24"/>
      <c r="CAY1" s="24"/>
      <c r="CAZ1" s="24"/>
      <c r="CBA1" s="24"/>
      <c r="CBB1" s="24"/>
      <c r="CBC1" s="24"/>
      <c r="CBD1" s="24"/>
      <c r="CBE1" s="24"/>
      <c r="CBF1" s="24"/>
      <c r="CBG1" s="24"/>
      <c r="CBH1" s="24"/>
      <c r="CBI1" s="24"/>
      <c r="CBJ1" s="24"/>
      <c r="CBK1" s="24"/>
      <c r="CBL1" s="24"/>
      <c r="CBM1" s="24"/>
      <c r="CBN1" s="24"/>
      <c r="CBO1" s="24"/>
      <c r="CBP1" s="24"/>
      <c r="CBQ1" s="24"/>
      <c r="CBR1" s="24"/>
      <c r="CBS1" s="24"/>
      <c r="CBT1" s="24"/>
      <c r="CBU1" s="24"/>
      <c r="CBV1" s="24"/>
      <c r="CBW1" s="24"/>
      <c r="CBX1" s="24"/>
      <c r="CBY1" s="24"/>
      <c r="CBZ1" s="24"/>
      <c r="CCA1" s="24"/>
      <c r="CCB1" s="24"/>
      <c r="CCC1" s="24"/>
      <c r="CCD1" s="24"/>
      <c r="CCE1" s="24"/>
      <c r="CCF1" s="24"/>
      <c r="CCG1" s="24"/>
      <c r="CCH1" s="24"/>
      <c r="CCI1" s="24"/>
      <c r="CCJ1" s="24"/>
      <c r="CCK1" s="24"/>
      <c r="CCL1" s="24"/>
      <c r="CCM1" s="24"/>
      <c r="CCN1" s="24"/>
      <c r="CCO1" s="24"/>
      <c r="CCP1" s="24"/>
      <c r="CCQ1" s="24"/>
      <c r="CCR1" s="24"/>
      <c r="CCS1" s="24"/>
      <c r="CCT1" s="24"/>
      <c r="CCU1" s="24"/>
      <c r="CCV1" s="24"/>
      <c r="CCW1" s="24"/>
      <c r="CCX1" s="24"/>
      <c r="CCY1" s="24"/>
      <c r="CCZ1" s="24"/>
      <c r="CDA1" s="24"/>
      <c r="CDB1" s="24"/>
      <c r="CDC1" s="24"/>
      <c r="CDD1" s="24"/>
      <c r="CDE1" s="24"/>
      <c r="CDF1" s="24"/>
      <c r="CDG1" s="24"/>
      <c r="CDH1" s="24"/>
      <c r="CDI1" s="24"/>
      <c r="CDJ1" s="24"/>
      <c r="CDK1" s="24"/>
      <c r="CDL1" s="24"/>
      <c r="CDM1" s="24"/>
      <c r="CDN1" s="24"/>
      <c r="CDO1" s="24"/>
      <c r="CDP1" s="24"/>
      <c r="CDQ1" s="24"/>
      <c r="CDR1" s="24"/>
      <c r="CDS1" s="24"/>
      <c r="CDT1" s="24"/>
      <c r="CDU1" s="24"/>
      <c r="CDV1" s="24"/>
      <c r="CDW1" s="24"/>
      <c r="CDX1" s="24"/>
      <c r="CDY1" s="24"/>
      <c r="CDZ1" s="24"/>
      <c r="CEA1" s="24"/>
      <c r="CEB1" s="24"/>
      <c r="CEC1" s="24"/>
      <c r="CED1" s="24"/>
      <c r="CEE1" s="24"/>
      <c r="CEF1" s="24"/>
      <c r="CEG1" s="24"/>
      <c r="CEH1" s="24"/>
      <c r="CEI1" s="24"/>
      <c r="CEJ1" s="24"/>
      <c r="CEK1" s="24"/>
      <c r="CEL1" s="24"/>
      <c r="CEM1" s="24"/>
      <c r="CEN1" s="24"/>
      <c r="CEO1" s="24"/>
      <c r="CEP1" s="24"/>
      <c r="CEQ1" s="24"/>
      <c r="CER1" s="24"/>
      <c r="CES1" s="24"/>
      <c r="CET1" s="24"/>
      <c r="CEU1" s="24"/>
      <c r="CEV1" s="24"/>
      <c r="CEW1" s="24"/>
      <c r="CEX1" s="24"/>
      <c r="CEY1" s="24"/>
      <c r="CEZ1" s="24"/>
      <c r="CFA1" s="24"/>
      <c r="CFB1" s="24"/>
      <c r="CFC1" s="24"/>
      <c r="CFD1" s="24"/>
      <c r="CFE1" s="24"/>
      <c r="CFF1" s="24"/>
      <c r="CFG1" s="24"/>
      <c r="CFH1" s="24"/>
      <c r="CFI1" s="24"/>
      <c r="CFJ1" s="24"/>
      <c r="CFK1" s="24"/>
      <c r="CFL1" s="24"/>
      <c r="CFM1" s="24"/>
      <c r="CFN1" s="24"/>
      <c r="CFO1" s="24"/>
      <c r="CFP1" s="24"/>
      <c r="CFQ1" s="24"/>
      <c r="CFR1" s="24"/>
      <c r="CFS1" s="24"/>
      <c r="CFT1" s="24"/>
      <c r="CFU1" s="24"/>
      <c r="CFV1" s="24"/>
      <c r="CFW1" s="24"/>
      <c r="CFX1" s="24"/>
      <c r="CFY1" s="24"/>
      <c r="CFZ1" s="24"/>
      <c r="CGA1" s="24"/>
      <c r="CGB1" s="24"/>
      <c r="CGC1" s="24"/>
      <c r="CGD1" s="24"/>
      <c r="CGE1" s="24"/>
      <c r="CGF1" s="24"/>
      <c r="CGG1" s="24"/>
      <c r="CGH1" s="24"/>
      <c r="CGI1" s="24"/>
      <c r="CGJ1" s="24"/>
      <c r="CGK1" s="24"/>
      <c r="CGL1" s="24"/>
      <c r="CGM1" s="24"/>
      <c r="CGN1" s="24"/>
      <c r="CGO1" s="24"/>
      <c r="CGP1" s="24"/>
      <c r="CGQ1" s="24"/>
      <c r="CGR1" s="24"/>
      <c r="CGS1" s="24"/>
      <c r="CGT1" s="24"/>
      <c r="CGU1" s="24"/>
      <c r="CGV1" s="24"/>
      <c r="CGW1" s="24"/>
      <c r="CGX1" s="24"/>
      <c r="CGY1" s="24"/>
      <c r="CGZ1" s="24"/>
      <c r="CHA1" s="24"/>
      <c r="CHB1" s="24"/>
      <c r="CHC1" s="24"/>
      <c r="CHD1" s="24"/>
      <c r="CHE1" s="24"/>
      <c r="CHF1" s="24"/>
      <c r="CHG1" s="24"/>
      <c r="CHH1" s="24"/>
      <c r="CHI1" s="24"/>
      <c r="CHJ1" s="24"/>
      <c r="CHK1" s="24"/>
      <c r="CHL1" s="24"/>
      <c r="CHM1" s="24"/>
      <c r="CHN1" s="24"/>
      <c r="CHO1" s="24"/>
      <c r="CHP1" s="24"/>
      <c r="CHQ1" s="24"/>
      <c r="CHR1" s="24"/>
      <c r="CHS1" s="24"/>
      <c r="CHT1" s="24"/>
      <c r="CHU1" s="24"/>
      <c r="CHV1" s="24"/>
      <c r="CHW1" s="24"/>
      <c r="CHX1" s="24"/>
      <c r="CHY1" s="24"/>
      <c r="CHZ1" s="24"/>
      <c r="CIA1" s="24"/>
      <c r="CIB1" s="24"/>
      <c r="CIC1" s="24"/>
      <c r="CID1" s="24"/>
      <c r="CIE1" s="24"/>
      <c r="CIF1" s="24"/>
      <c r="CIG1" s="24"/>
      <c r="CIH1" s="24"/>
      <c r="CII1" s="24"/>
      <c r="CIJ1" s="24"/>
      <c r="CIK1" s="24"/>
      <c r="CIL1" s="24"/>
      <c r="CIM1" s="24"/>
      <c r="CIN1" s="24"/>
      <c r="CIO1" s="24"/>
      <c r="CIP1" s="24"/>
      <c r="CIQ1" s="24"/>
      <c r="CIR1" s="24"/>
      <c r="CIS1" s="24"/>
      <c r="CIT1" s="24"/>
      <c r="CIU1" s="24"/>
      <c r="CIV1" s="24"/>
      <c r="CIW1" s="24"/>
      <c r="CIX1" s="24"/>
      <c r="CIY1" s="24"/>
      <c r="CIZ1" s="24"/>
      <c r="CJA1" s="24"/>
      <c r="CJB1" s="24"/>
      <c r="CJC1" s="24"/>
      <c r="CJD1" s="24"/>
      <c r="CJE1" s="24"/>
      <c r="CJF1" s="24"/>
      <c r="CJG1" s="24"/>
      <c r="CJH1" s="24"/>
      <c r="CJI1" s="24"/>
      <c r="CJJ1" s="24"/>
      <c r="CJK1" s="24"/>
      <c r="CJL1" s="24"/>
      <c r="CJM1" s="24"/>
      <c r="CJN1" s="24"/>
      <c r="CJO1" s="24"/>
      <c r="CJP1" s="24"/>
      <c r="CJQ1" s="24"/>
      <c r="CJR1" s="24"/>
      <c r="CJS1" s="24"/>
      <c r="CJT1" s="24"/>
      <c r="CJU1" s="24"/>
      <c r="CJV1" s="24"/>
      <c r="CJW1" s="24"/>
      <c r="CJX1" s="24"/>
      <c r="CJY1" s="24"/>
      <c r="CJZ1" s="24"/>
      <c r="CKA1" s="24"/>
      <c r="CKB1" s="24"/>
      <c r="CKC1" s="24"/>
      <c r="CKD1" s="24"/>
      <c r="CKE1" s="24"/>
      <c r="CKF1" s="24"/>
      <c r="CKG1" s="24"/>
      <c r="CKH1" s="24"/>
      <c r="CKI1" s="24"/>
      <c r="CKJ1" s="24"/>
      <c r="CKK1" s="24"/>
      <c r="CKL1" s="24"/>
      <c r="CKM1" s="24"/>
      <c r="CKN1" s="24"/>
      <c r="CKO1" s="24"/>
      <c r="CKP1" s="24"/>
      <c r="CKQ1" s="24"/>
      <c r="CKR1" s="24"/>
      <c r="CKS1" s="24"/>
      <c r="CKT1" s="24"/>
      <c r="CKU1" s="24"/>
      <c r="CKV1" s="24"/>
      <c r="CKW1" s="24"/>
      <c r="CKX1" s="24"/>
      <c r="CKY1" s="24"/>
      <c r="CKZ1" s="24"/>
      <c r="CLA1" s="24"/>
      <c r="CLB1" s="24"/>
      <c r="CLC1" s="24"/>
      <c r="CLD1" s="24"/>
      <c r="CLE1" s="24"/>
      <c r="CLF1" s="24"/>
      <c r="CLG1" s="24"/>
      <c r="CLH1" s="24"/>
      <c r="CLI1" s="24"/>
      <c r="CLJ1" s="24"/>
      <c r="CLK1" s="24"/>
      <c r="CLL1" s="24"/>
      <c r="CLM1" s="24"/>
      <c r="CLN1" s="24"/>
      <c r="CLO1" s="24"/>
      <c r="CLP1" s="24"/>
      <c r="CLQ1" s="24"/>
      <c r="CLR1" s="24"/>
      <c r="CLS1" s="24"/>
      <c r="CLT1" s="24"/>
      <c r="CLU1" s="24"/>
      <c r="CLV1" s="24"/>
      <c r="CLW1" s="24"/>
      <c r="CLX1" s="24"/>
      <c r="CLY1" s="24"/>
      <c r="CLZ1" s="24"/>
      <c r="CMA1" s="24"/>
      <c r="CMB1" s="24"/>
      <c r="CMC1" s="24"/>
      <c r="CMD1" s="24"/>
      <c r="CME1" s="24"/>
      <c r="CMF1" s="24"/>
      <c r="CMG1" s="24"/>
      <c r="CMH1" s="24"/>
      <c r="CMI1" s="24"/>
      <c r="CMJ1" s="24"/>
      <c r="CMK1" s="24"/>
      <c r="CML1" s="24"/>
      <c r="CMM1" s="24"/>
      <c r="CMN1" s="24"/>
      <c r="CMO1" s="24"/>
      <c r="CMP1" s="24"/>
      <c r="CMQ1" s="24"/>
      <c r="CMR1" s="24"/>
      <c r="CMS1" s="24"/>
      <c r="CMT1" s="24"/>
      <c r="CMU1" s="24"/>
      <c r="CMV1" s="24"/>
      <c r="CMW1" s="24"/>
      <c r="CMX1" s="24"/>
      <c r="CMY1" s="24"/>
      <c r="CMZ1" s="24"/>
      <c r="CNA1" s="24"/>
      <c r="CNB1" s="24"/>
      <c r="CNC1" s="24"/>
      <c r="CND1" s="24"/>
      <c r="CNE1" s="24"/>
      <c r="CNF1" s="24"/>
      <c r="CNG1" s="24"/>
      <c r="CNH1" s="24"/>
      <c r="CNI1" s="24"/>
      <c r="CNJ1" s="24"/>
      <c r="CNK1" s="24"/>
      <c r="CNL1" s="24"/>
      <c r="CNM1" s="24"/>
      <c r="CNN1" s="24"/>
      <c r="CNO1" s="24"/>
      <c r="CNP1" s="24"/>
      <c r="CNQ1" s="24"/>
      <c r="CNR1" s="24"/>
      <c r="CNS1" s="24"/>
      <c r="CNT1" s="24"/>
      <c r="CNU1" s="24"/>
      <c r="CNV1" s="24"/>
      <c r="CNW1" s="24"/>
      <c r="CNX1" s="24"/>
      <c r="CNY1" s="24"/>
      <c r="CNZ1" s="24"/>
      <c r="COA1" s="24"/>
      <c r="COB1" s="24"/>
      <c r="COC1" s="24"/>
      <c r="COD1" s="24"/>
      <c r="COE1" s="24"/>
      <c r="COF1" s="24"/>
      <c r="COG1" s="24"/>
      <c r="COH1" s="24"/>
      <c r="COI1" s="24"/>
      <c r="COJ1" s="24"/>
      <c r="COK1" s="24"/>
      <c r="COL1" s="24"/>
      <c r="COM1" s="24"/>
      <c r="CON1" s="24"/>
      <c r="COO1" s="24"/>
      <c r="COP1" s="24"/>
      <c r="COQ1" s="24"/>
      <c r="COR1" s="24"/>
      <c r="COS1" s="24"/>
      <c r="COT1" s="24"/>
      <c r="COU1" s="24"/>
      <c r="COV1" s="24"/>
      <c r="COW1" s="24"/>
      <c r="COX1" s="24"/>
      <c r="COY1" s="24"/>
      <c r="COZ1" s="24"/>
      <c r="CPA1" s="24"/>
      <c r="CPB1" s="24"/>
      <c r="CPC1" s="24"/>
      <c r="CPD1" s="24"/>
      <c r="CPE1" s="24"/>
      <c r="CPF1" s="24"/>
      <c r="CPG1" s="24"/>
      <c r="CPH1" s="24"/>
      <c r="CPI1" s="24"/>
      <c r="CPJ1" s="24"/>
      <c r="CPK1" s="24"/>
      <c r="CPL1" s="24"/>
      <c r="CPM1" s="24"/>
      <c r="CPN1" s="24"/>
      <c r="CPO1" s="24"/>
      <c r="CPP1" s="24"/>
      <c r="CPQ1" s="24"/>
      <c r="CPR1" s="24"/>
      <c r="CPS1" s="24"/>
      <c r="CPT1" s="24"/>
      <c r="CPU1" s="24"/>
      <c r="CPV1" s="24"/>
      <c r="CPW1" s="24"/>
      <c r="CPX1" s="24"/>
      <c r="CPY1" s="24"/>
      <c r="CPZ1" s="24"/>
      <c r="CQA1" s="24"/>
      <c r="CQB1" s="24"/>
      <c r="CQC1" s="24"/>
      <c r="CQD1" s="24"/>
      <c r="CQE1" s="24"/>
      <c r="CQF1" s="24"/>
      <c r="CQG1" s="24"/>
      <c r="CQH1" s="24"/>
      <c r="CQI1" s="24"/>
      <c r="CQJ1" s="24"/>
      <c r="CQK1" s="24"/>
      <c r="CQL1" s="24"/>
      <c r="CQM1" s="24"/>
      <c r="CQN1" s="24"/>
      <c r="CQO1" s="24"/>
      <c r="CQP1" s="24"/>
      <c r="CQQ1" s="24"/>
      <c r="CQR1" s="24"/>
      <c r="CQS1" s="24"/>
      <c r="CQT1" s="24"/>
      <c r="CQU1" s="24"/>
      <c r="CQV1" s="24"/>
      <c r="CQW1" s="24"/>
      <c r="CQX1" s="24"/>
      <c r="CQY1" s="24"/>
      <c r="CQZ1" s="24"/>
      <c r="CRA1" s="24"/>
      <c r="CRB1" s="24"/>
      <c r="CRC1" s="24"/>
      <c r="CRD1" s="24"/>
      <c r="CRE1" s="24"/>
      <c r="CRF1" s="24"/>
      <c r="CRG1" s="24"/>
      <c r="CRH1" s="24"/>
      <c r="CRI1" s="24"/>
      <c r="CRJ1" s="24"/>
      <c r="CRK1" s="24"/>
      <c r="CRL1" s="24"/>
      <c r="CRM1" s="24"/>
      <c r="CRN1" s="24"/>
      <c r="CRO1" s="24"/>
      <c r="CRP1" s="24"/>
      <c r="CRQ1" s="24"/>
      <c r="CRR1" s="24"/>
      <c r="CRS1" s="24"/>
      <c r="CRT1" s="24"/>
      <c r="CRU1" s="24"/>
      <c r="CRV1" s="24"/>
      <c r="CRW1" s="24"/>
      <c r="CRX1" s="24"/>
      <c r="CRY1" s="24"/>
      <c r="CRZ1" s="24"/>
      <c r="CSA1" s="24"/>
      <c r="CSB1" s="24"/>
      <c r="CSC1" s="24"/>
      <c r="CSD1" s="24"/>
      <c r="CSE1" s="24"/>
      <c r="CSF1" s="24"/>
      <c r="CSG1" s="24"/>
      <c r="CSH1" s="24"/>
      <c r="CSI1" s="24"/>
      <c r="CSJ1" s="24"/>
      <c r="CSK1" s="24"/>
      <c r="CSL1" s="24"/>
      <c r="CSM1" s="24"/>
      <c r="CSN1" s="24"/>
      <c r="CSO1" s="24"/>
      <c r="CSP1" s="24"/>
      <c r="CSQ1" s="24"/>
      <c r="CSR1" s="24"/>
      <c r="CSS1" s="24"/>
      <c r="CST1" s="24"/>
      <c r="CSU1" s="24"/>
      <c r="CSV1" s="24"/>
      <c r="CSW1" s="24"/>
      <c r="CSX1" s="24"/>
      <c r="CSY1" s="24"/>
      <c r="CSZ1" s="24"/>
      <c r="CTA1" s="24"/>
      <c r="CTB1" s="24"/>
      <c r="CTC1" s="24"/>
      <c r="CTD1" s="24"/>
      <c r="CTE1" s="24"/>
      <c r="CTF1" s="24"/>
      <c r="CTG1" s="24"/>
      <c r="CTH1" s="24"/>
      <c r="CTI1" s="24"/>
      <c r="CTJ1" s="24"/>
      <c r="CTK1" s="24"/>
      <c r="CTL1" s="24"/>
      <c r="CTM1" s="24"/>
      <c r="CTN1" s="24"/>
      <c r="CTO1" s="24"/>
      <c r="CTP1" s="24"/>
      <c r="CTQ1" s="24"/>
      <c r="CTR1" s="24"/>
      <c r="CTS1" s="24"/>
      <c r="CTT1" s="24"/>
      <c r="CTU1" s="24"/>
      <c r="CTV1" s="24"/>
      <c r="CTW1" s="24"/>
      <c r="CTX1" s="24"/>
      <c r="CTY1" s="24"/>
      <c r="CTZ1" s="24"/>
      <c r="CUA1" s="24"/>
      <c r="CUB1" s="24"/>
      <c r="CUC1" s="24"/>
      <c r="CUD1" s="24"/>
      <c r="CUE1" s="24"/>
      <c r="CUF1" s="24"/>
      <c r="CUG1" s="24"/>
      <c r="CUH1" s="24"/>
      <c r="CUI1" s="24"/>
      <c r="CUJ1" s="24"/>
      <c r="CUK1" s="24"/>
      <c r="CUL1" s="24"/>
      <c r="CUM1" s="24"/>
      <c r="CUN1" s="24"/>
      <c r="CUO1" s="24"/>
      <c r="CUP1" s="24"/>
      <c r="CUQ1" s="24"/>
      <c r="CUR1" s="24"/>
      <c r="CUS1" s="24"/>
      <c r="CUT1" s="24"/>
      <c r="CUU1" s="24"/>
      <c r="CUV1" s="24"/>
      <c r="CUW1" s="24"/>
      <c r="CUX1" s="24"/>
      <c r="CUY1" s="24"/>
      <c r="CUZ1" s="24"/>
      <c r="CVA1" s="24"/>
      <c r="CVB1" s="24"/>
      <c r="CVC1" s="24"/>
      <c r="CVD1" s="24"/>
      <c r="CVE1" s="24"/>
      <c r="CVF1" s="24"/>
      <c r="CVG1" s="24"/>
      <c r="CVH1" s="24"/>
      <c r="CVI1" s="24"/>
      <c r="CVJ1" s="24"/>
      <c r="CVK1" s="24"/>
      <c r="CVL1" s="24"/>
      <c r="CVM1" s="24"/>
      <c r="CVN1" s="24"/>
      <c r="CVO1" s="24"/>
      <c r="CVP1" s="24"/>
      <c r="CVQ1" s="24"/>
      <c r="CVR1" s="24"/>
      <c r="CVS1" s="24"/>
      <c r="CVT1" s="24"/>
      <c r="CVU1" s="24"/>
      <c r="CVV1" s="24"/>
      <c r="CVW1" s="24"/>
      <c r="CVX1" s="24"/>
      <c r="CVY1" s="24"/>
      <c r="CVZ1" s="24"/>
      <c r="CWA1" s="24"/>
      <c r="CWB1" s="24"/>
      <c r="CWC1" s="24"/>
      <c r="CWD1" s="24"/>
      <c r="CWE1" s="24"/>
      <c r="CWF1" s="24"/>
      <c r="CWG1" s="24"/>
      <c r="CWH1" s="24"/>
      <c r="CWI1" s="24"/>
      <c r="CWJ1" s="24"/>
      <c r="CWK1" s="24"/>
      <c r="CWL1" s="24"/>
      <c r="CWM1" s="24"/>
      <c r="CWN1" s="24"/>
      <c r="CWO1" s="24"/>
      <c r="CWP1" s="24"/>
      <c r="CWQ1" s="24"/>
      <c r="CWR1" s="24"/>
      <c r="CWS1" s="24"/>
      <c r="CWT1" s="24"/>
      <c r="CWU1" s="24"/>
      <c r="CWV1" s="24"/>
      <c r="CWW1" s="24"/>
      <c r="CWX1" s="24"/>
      <c r="CWY1" s="24"/>
      <c r="CWZ1" s="24"/>
      <c r="CXA1" s="24"/>
      <c r="CXB1" s="24"/>
      <c r="CXC1" s="24"/>
      <c r="CXD1" s="24"/>
      <c r="CXE1" s="24"/>
      <c r="CXF1" s="24"/>
      <c r="CXG1" s="24"/>
      <c r="CXH1" s="24"/>
      <c r="CXI1" s="24"/>
      <c r="CXJ1" s="24"/>
      <c r="CXK1" s="24"/>
      <c r="CXL1" s="24"/>
      <c r="CXM1" s="24"/>
      <c r="CXN1" s="24"/>
      <c r="CXO1" s="24"/>
      <c r="CXP1" s="24"/>
      <c r="CXQ1" s="24"/>
      <c r="CXR1" s="24"/>
      <c r="CXS1" s="24"/>
      <c r="CXT1" s="24"/>
      <c r="CXU1" s="24"/>
      <c r="CXV1" s="24"/>
      <c r="CXW1" s="24"/>
      <c r="CXX1" s="24"/>
      <c r="CXY1" s="24"/>
      <c r="CXZ1" s="24"/>
      <c r="CYA1" s="24"/>
      <c r="CYB1" s="24"/>
      <c r="CYC1" s="24"/>
      <c r="CYD1" s="24"/>
      <c r="CYE1" s="24"/>
      <c r="CYF1" s="24"/>
      <c r="CYG1" s="24"/>
      <c r="CYH1" s="24"/>
      <c r="CYI1" s="24"/>
      <c r="CYJ1" s="24"/>
      <c r="CYK1" s="24"/>
      <c r="CYL1" s="24"/>
      <c r="CYM1" s="24"/>
      <c r="CYN1" s="24"/>
      <c r="CYO1" s="24"/>
      <c r="CYP1" s="24"/>
      <c r="CYQ1" s="24"/>
      <c r="CYR1" s="24"/>
      <c r="CYS1" s="24"/>
      <c r="CYT1" s="24"/>
      <c r="CYU1" s="24"/>
      <c r="CYV1" s="24"/>
      <c r="CYW1" s="24"/>
      <c r="CYX1" s="24"/>
      <c r="CYY1" s="24"/>
      <c r="CYZ1" s="24"/>
      <c r="CZA1" s="24"/>
      <c r="CZB1" s="24"/>
      <c r="CZC1" s="24"/>
      <c r="CZD1" s="24"/>
      <c r="CZE1" s="24"/>
      <c r="CZF1" s="24"/>
      <c r="CZG1" s="24"/>
      <c r="CZH1" s="24"/>
      <c r="CZI1" s="24"/>
      <c r="CZJ1" s="24"/>
      <c r="CZK1" s="24"/>
      <c r="CZL1" s="24"/>
      <c r="CZM1" s="24"/>
      <c r="CZN1" s="24"/>
      <c r="CZO1" s="24"/>
      <c r="CZP1" s="24"/>
      <c r="CZQ1" s="24"/>
      <c r="CZR1" s="24"/>
      <c r="CZS1" s="24"/>
      <c r="CZT1" s="24"/>
      <c r="CZU1" s="24"/>
      <c r="CZV1" s="24"/>
      <c r="CZW1" s="24"/>
      <c r="CZX1" s="24"/>
      <c r="CZY1" s="24"/>
      <c r="CZZ1" s="24"/>
      <c r="DAA1" s="24"/>
      <c r="DAB1" s="24"/>
      <c r="DAC1" s="24"/>
      <c r="DAD1" s="24"/>
      <c r="DAE1" s="24"/>
      <c r="DAF1" s="24"/>
      <c r="DAG1" s="24"/>
      <c r="DAH1" s="24"/>
      <c r="DAI1" s="24"/>
      <c r="DAJ1" s="24"/>
      <c r="DAK1" s="24"/>
      <c r="DAL1" s="24"/>
      <c r="DAM1" s="24"/>
      <c r="DAN1" s="24"/>
      <c r="DAO1" s="24"/>
      <c r="DAP1" s="24"/>
      <c r="DAQ1" s="24"/>
      <c r="DAR1" s="24"/>
      <c r="DAS1" s="24"/>
      <c r="DAT1" s="24"/>
      <c r="DAU1" s="24"/>
      <c r="DAV1" s="24"/>
      <c r="DAW1" s="24"/>
      <c r="DAX1" s="24"/>
      <c r="DAY1" s="24"/>
      <c r="DAZ1" s="24"/>
      <c r="DBA1" s="24"/>
      <c r="DBB1" s="24"/>
      <c r="DBC1" s="24"/>
      <c r="DBD1" s="24"/>
      <c r="DBE1" s="24"/>
      <c r="DBF1" s="24"/>
      <c r="DBG1" s="24"/>
      <c r="DBH1" s="24"/>
      <c r="DBI1" s="24"/>
      <c r="DBJ1" s="24"/>
      <c r="DBK1" s="24"/>
      <c r="DBL1" s="24"/>
      <c r="DBM1" s="24"/>
      <c r="DBN1" s="24"/>
      <c r="DBO1" s="24"/>
      <c r="DBP1" s="24"/>
      <c r="DBQ1" s="24"/>
      <c r="DBR1" s="24"/>
      <c r="DBS1" s="24"/>
      <c r="DBT1" s="24"/>
      <c r="DBU1" s="24"/>
      <c r="DBV1" s="24"/>
      <c r="DBW1" s="24"/>
      <c r="DBX1" s="24"/>
      <c r="DBY1" s="24"/>
      <c r="DBZ1" s="24"/>
      <c r="DCA1" s="24"/>
      <c r="DCB1" s="24"/>
      <c r="DCC1" s="24"/>
      <c r="DCD1" s="24"/>
      <c r="DCE1" s="24"/>
      <c r="DCF1" s="24"/>
      <c r="DCG1" s="24"/>
      <c r="DCH1" s="24"/>
      <c r="DCI1" s="24"/>
      <c r="DCJ1" s="24"/>
      <c r="DCK1" s="24"/>
      <c r="DCL1" s="24"/>
      <c r="DCM1" s="24"/>
      <c r="DCN1" s="24"/>
      <c r="DCO1" s="24"/>
      <c r="DCP1" s="24"/>
      <c r="DCQ1" s="24"/>
      <c r="DCR1" s="24"/>
      <c r="DCS1" s="24"/>
      <c r="DCT1" s="24"/>
      <c r="DCU1" s="24"/>
      <c r="DCV1" s="24"/>
      <c r="DCW1" s="24"/>
      <c r="DCX1" s="24"/>
      <c r="DCY1" s="24"/>
      <c r="DCZ1" s="24"/>
      <c r="DDA1" s="24"/>
      <c r="DDB1" s="24"/>
      <c r="DDC1" s="24"/>
      <c r="DDD1" s="24"/>
      <c r="DDE1" s="24"/>
      <c r="DDF1" s="24"/>
      <c r="DDG1" s="24"/>
      <c r="DDH1" s="24"/>
      <c r="DDI1" s="24"/>
      <c r="DDJ1" s="24"/>
      <c r="DDK1" s="24"/>
      <c r="DDL1" s="24"/>
      <c r="DDM1" s="24"/>
      <c r="DDN1" s="24"/>
      <c r="DDO1" s="24"/>
      <c r="DDP1" s="24"/>
      <c r="DDQ1" s="24"/>
      <c r="DDR1" s="24"/>
      <c r="DDS1" s="24"/>
      <c r="DDT1" s="24"/>
      <c r="DDU1" s="24"/>
      <c r="DDV1" s="24"/>
      <c r="DDW1" s="24"/>
      <c r="DDX1" s="24"/>
      <c r="DDY1" s="24"/>
      <c r="DDZ1" s="24"/>
      <c r="DEA1" s="24"/>
      <c r="DEB1" s="24"/>
      <c r="DEC1" s="24"/>
      <c r="DED1" s="24"/>
      <c r="DEE1" s="24"/>
      <c r="DEF1" s="24"/>
      <c r="DEG1" s="24"/>
      <c r="DEH1" s="24"/>
      <c r="DEI1" s="24"/>
      <c r="DEJ1" s="24"/>
      <c r="DEK1" s="24"/>
      <c r="DEL1" s="24"/>
      <c r="DEM1" s="24"/>
      <c r="DEN1" s="24"/>
      <c r="DEO1" s="24"/>
      <c r="DEP1" s="24"/>
      <c r="DEQ1" s="24"/>
      <c r="DER1" s="24"/>
      <c r="DES1" s="24"/>
      <c r="DET1" s="24"/>
      <c r="DEU1" s="24"/>
      <c r="DEV1" s="24"/>
      <c r="DEW1" s="24"/>
      <c r="DEX1" s="24"/>
      <c r="DEY1" s="24"/>
      <c r="DEZ1" s="24"/>
      <c r="DFA1" s="24"/>
      <c r="DFB1" s="24"/>
      <c r="DFC1" s="24"/>
      <c r="DFD1" s="24"/>
      <c r="DFE1" s="24"/>
      <c r="DFF1" s="24"/>
      <c r="DFG1" s="24"/>
      <c r="DFH1" s="24"/>
      <c r="DFI1" s="24"/>
      <c r="DFJ1" s="24"/>
      <c r="DFK1" s="24"/>
      <c r="DFL1" s="24"/>
      <c r="DFM1" s="24"/>
      <c r="DFN1" s="24"/>
      <c r="DFO1" s="24"/>
      <c r="DFP1" s="24"/>
      <c r="DFQ1" s="24"/>
      <c r="DFR1" s="24"/>
      <c r="DFS1" s="24"/>
      <c r="DFT1" s="24"/>
      <c r="DFU1" s="24"/>
      <c r="DFV1" s="24"/>
      <c r="DFW1" s="24"/>
      <c r="DFX1" s="24"/>
      <c r="DFY1" s="24"/>
      <c r="DFZ1" s="24"/>
      <c r="DGA1" s="24"/>
      <c r="DGB1" s="24"/>
      <c r="DGC1" s="24"/>
      <c r="DGD1" s="24"/>
      <c r="DGE1" s="24"/>
      <c r="DGF1" s="24"/>
      <c r="DGG1" s="24"/>
      <c r="DGH1" s="24"/>
      <c r="DGI1" s="24"/>
      <c r="DGJ1" s="24"/>
      <c r="DGK1" s="24"/>
      <c r="DGL1" s="24"/>
      <c r="DGM1" s="24"/>
      <c r="DGN1" s="24"/>
      <c r="DGO1" s="24"/>
      <c r="DGP1" s="24"/>
      <c r="DGQ1" s="24"/>
      <c r="DGR1" s="24"/>
      <c r="DGS1" s="24"/>
      <c r="DGT1" s="24"/>
      <c r="DGU1" s="24"/>
      <c r="DGV1" s="24"/>
      <c r="DGW1" s="24"/>
      <c r="DGX1" s="24"/>
      <c r="DGY1" s="24"/>
      <c r="DGZ1" s="24"/>
      <c r="DHA1" s="24"/>
      <c r="DHB1" s="24"/>
      <c r="DHC1" s="24"/>
      <c r="DHD1" s="24"/>
      <c r="DHE1" s="24"/>
      <c r="DHF1" s="24"/>
      <c r="DHG1" s="24"/>
      <c r="DHH1" s="24"/>
      <c r="DHI1" s="24"/>
      <c r="DHJ1" s="24"/>
      <c r="DHK1" s="24"/>
      <c r="DHL1" s="24"/>
      <c r="DHM1" s="24"/>
      <c r="DHN1" s="24"/>
      <c r="DHO1" s="24"/>
      <c r="DHP1" s="24"/>
      <c r="DHQ1" s="24"/>
      <c r="DHR1" s="24"/>
      <c r="DHS1" s="24"/>
      <c r="DHT1" s="24"/>
      <c r="DHU1" s="24"/>
      <c r="DHV1" s="24"/>
      <c r="DHW1" s="24"/>
      <c r="DHX1" s="24"/>
      <c r="DHY1" s="24"/>
      <c r="DHZ1" s="24"/>
      <c r="DIA1" s="24"/>
      <c r="DIB1" s="24"/>
      <c r="DIC1" s="24"/>
      <c r="DID1" s="24"/>
      <c r="DIE1" s="24"/>
      <c r="DIF1" s="24"/>
      <c r="DIG1" s="24"/>
      <c r="DIH1" s="24"/>
      <c r="DII1" s="24"/>
      <c r="DIJ1" s="24"/>
      <c r="DIK1" s="24"/>
      <c r="DIL1" s="24"/>
      <c r="DIM1" s="24"/>
      <c r="DIN1" s="24"/>
      <c r="DIO1" s="24"/>
      <c r="DIP1" s="24"/>
      <c r="DIQ1" s="24"/>
      <c r="DIR1" s="24"/>
      <c r="DIS1" s="24"/>
      <c r="DIT1" s="24"/>
      <c r="DIU1" s="24"/>
      <c r="DIV1" s="24"/>
      <c r="DIW1" s="24"/>
      <c r="DIX1" s="24"/>
      <c r="DIY1" s="24"/>
      <c r="DIZ1" s="24"/>
      <c r="DJA1" s="24"/>
      <c r="DJB1" s="24"/>
      <c r="DJC1" s="24"/>
      <c r="DJD1" s="24"/>
      <c r="DJE1" s="24"/>
      <c r="DJF1" s="24"/>
      <c r="DJG1" s="24"/>
      <c r="DJH1" s="24"/>
      <c r="DJI1" s="24"/>
      <c r="DJJ1" s="24"/>
      <c r="DJK1" s="24"/>
      <c r="DJL1" s="24"/>
      <c r="DJM1" s="24"/>
      <c r="DJN1" s="24"/>
      <c r="DJO1" s="24"/>
      <c r="DJP1" s="24"/>
      <c r="DJQ1" s="24"/>
      <c r="DJR1" s="24"/>
      <c r="DJS1" s="24"/>
      <c r="DJT1" s="24"/>
      <c r="DJU1" s="24"/>
      <c r="DJV1" s="24"/>
      <c r="DJW1" s="24"/>
      <c r="DJX1" s="24"/>
      <c r="DJY1" s="24"/>
      <c r="DJZ1" s="24"/>
      <c r="DKA1" s="24"/>
      <c r="DKB1" s="24"/>
      <c r="DKC1" s="24"/>
      <c r="DKD1" s="24"/>
      <c r="DKE1" s="24"/>
      <c r="DKF1" s="24"/>
      <c r="DKG1" s="24"/>
      <c r="DKH1" s="24"/>
      <c r="DKI1" s="24"/>
      <c r="DKJ1" s="24"/>
      <c r="DKK1" s="24"/>
      <c r="DKL1" s="24"/>
      <c r="DKM1" s="24"/>
      <c r="DKN1" s="24"/>
      <c r="DKO1" s="24"/>
      <c r="DKP1" s="24"/>
      <c r="DKQ1" s="24"/>
      <c r="DKR1" s="24"/>
      <c r="DKS1" s="24"/>
      <c r="DKT1" s="24"/>
      <c r="DKU1" s="24"/>
      <c r="DKV1" s="24"/>
      <c r="DKW1" s="24"/>
      <c r="DKX1" s="24"/>
      <c r="DKY1" s="24"/>
      <c r="DKZ1" s="24"/>
      <c r="DLA1" s="24"/>
      <c r="DLB1" s="24"/>
      <c r="DLC1" s="24"/>
      <c r="DLD1" s="24"/>
      <c r="DLE1" s="24"/>
      <c r="DLF1" s="24"/>
      <c r="DLG1" s="24"/>
      <c r="DLH1" s="24"/>
      <c r="DLI1" s="24"/>
      <c r="DLJ1" s="24"/>
      <c r="DLK1" s="24"/>
      <c r="DLL1" s="24"/>
      <c r="DLM1" s="24"/>
      <c r="DLN1" s="24"/>
      <c r="DLO1" s="24"/>
      <c r="DLP1" s="24"/>
      <c r="DLQ1" s="24"/>
      <c r="DLR1" s="24"/>
      <c r="DLS1" s="24"/>
      <c r="DLT1" s="24"/>
      <c r="DLU1" s="24"/>
      <c r="DLV1" s="24"/>
      <c r="DLW1" s="24"/>
      <c r="DLX1" s="24"/>
      <c r="DLY1" s="24"/>
      <c r="DLZ1" s="24"/>
      <c r="DMA1" s="24"/>
      <c r="DMB1" s="24"/>
      <c r="DMC1" s="24"/>
      <c r="DMD1" s="24"/>
      <c r="DME1" s="24"/>
      <c r="DMF1" s="24"/>
      <c r="DMG1" s="24"/>
      <c r="DMH1" s="24"/>
      <c r="DMI1" s="24"/>
      <c r="DMJ1" s="24"/>
      <c r="DMK1" s="24"/>
      <c r="DML1" s="24"/>
      <c r="DMM1" s="24"/>
      <c r="DMN1" s="24"/>
      <c r="DMO1" s="24"/>
      <c r="DMP1" s="24"/>
      <c r="DMQ1" s="24"/>
      <c r="DMR1" s="24"/>
      <c r="DMS1" s="24"/>
      <c r="DMT1" s="24"/>
      <c r="DMU1" s="24"/>
      <c r="DMV1" s="24"/>
      <c r="DMW1" s="24"/>
      <c r="DMX1" s="24"/>
      <c r="DMY1" s="24"/>
      <c r="DMZ1" s="24"/>
      <c r="DNA1" s="24"/>
      <c r="DNB1" s="24"/>
      <c r="DNC1" s="24"/>
      <c r="DND1" s="24"/>
      <c r="DNE1" s="24"/>
      <c r="DNF1" s="24"/>
      <c r="DNG1" s="24"/>
      <c r="DNH1" s="24"/>
      <c r="DNI1" s="24"/>
      <c r="DNJ1" s="24"/>
      <c r="DNK1" s="24"/>
      <c r="DNL1" s="24"/>
      <c r="DNM1" s="24"/>
      <c r="DNN1" s="24"/>
      <c r="DNO1" s="24"/>
      <c r="DNP1" s="24"/>
      <c r="DNQ1" s="24"/>
      <c r="DNR1" s="24"/>
      <c r="DNS1" s="24"/>
      <c r="DNT1" s="24"/>
      <c r="DNU1" s="24"/>
      <c r="DNV1" s="24"/>
      <c r="DNW1" s="24"/>
      <c r="DNX1" s="24"/>
      <c r="DNY1" s="24"/>
      <c r="DNZ1" s="24"/>
      <c r="DOA1" s="24"/>
      <c r="DOB1" s="24"/>
      <c r="DOC1" s="24"/>
      <c r="DOD1" s="24"/>
      <c r="DOE1" s="24"/>
      <c r="DOF1" s="24"/>
      <c r="DOG1" s="24"/>
      <c r="DOH1" s="24"/>
      <c r="DOI1" s="24"/>
      <c r="DOJ1" s="24"/>
      <c r="DOK1" s="24"/>
      <c r="DOL1" s="24"/>
      <c r="DOM1" s="24"/>
      <c r="DON1" s="24"/>
      <c r="DOO1" s="24"/>
      <c r="DOP1" s="24"/>
      <c r="DOQ1" s="24"/>
      <c r="DOR1" s="24"/>
      <c r="DOS1" s="24"/>
      <c r="DOT1" s="24"/>
      <c r="DOU1" s="24"/>
      <c r="DOV1" s="24"/>
      <c r="DOW1" s="24"/>
      <c r="DOX1" s="24"/>
      <c r="DOY1" s="24"/>
      <c r="DOZ1" s="24"/>
      <c r="DPA1" s="24"/>
      <c r="DPB1" s="24"/>
      <c r="DPC1" s="24"/>
      <c r="DPD1" s="24"/>
      <c r="DPE1" s="24"/>
      <c r="DPF1" s="24"/>
      <c r="DPG1" s="24"/>
      <c r="DPH1" s="24"/>
      <c r="DPI1" s="24"/>
      <c r="DPJ1" s="24"/>
      <c r="DPK1" s="24"/>
      <c r="DPL1" s="24"/>
      <c r="DPM1" s="24"/>
      <c r="DPN1" s="24"/>
      <c r="DPO1" s="24"/>
      <c r="DPP1" s="24"/>
      <c r="DPQ1" s="24"/>
      <c r="DPR1" s="24"/>
      <c r="DPS1" s="24"/>
      <c r="DPT1" s="24"/>
      <c r="DPU1" s="24"/>
      <c r="DPV1" s="24"/>
      <c r="DPW1" s="24"/>
      <c r="DPX1" s="24"/>
      <c r="DPY1" s="24"/>
      <c r="DPZ1" s="24"/>
      <c r="DQA1" s="24"/>
      <c r="DQB1" s="24"/>
      <c r="DQC1" s="24"/>
      <c r="DQD1" s="24"/>
      <c r="DQE1" s="24"/>
      <c r="DQF1" s="24"/>
      <c r="DQG1" s="24"/>
      <c r="DQH1" s="24"/>
      <c r="DQI1" s="24"/>
      <c r="DQJ1" s="24"/>
      <c r="DQK1" s="24"/>
      <c r="DQL1" s="24"/>
      <c r="DQM1" s="24"/>
      <c r="DQN1" s="24"/>
      <c r="DQO1" s="24"/>
      <c r="DQP1" s="24"/>
      <c r="DQQ1" s="24"/>
      <c r="DQR1" s="24"/>
      <c r="DQS1" s="24"/>
      <c r="DQT1" s="24"/>
      <c r="DQU1" s="24"/>
      <c r="DQV1" s="24"/>
      <c r="DQW1" s="24"/>
      <c r="DQX1" s="24"/>
      <c r="DQY1" s="24"/>
      <c r="DQZ1" s="24"/>
      <c r="DRA1" s="24"/>
      <c r="DRB1" s="24"/>
      <c r="DRC1" s="24"/>
      <c r="DRD1" s="24"/>
      <c r="DRE1" s="24"/>
      <c r="DRF1" s="24"/>
      <c r="DRG1" s="24"/>
      <c r="DRH1" s="24"/>
      <c r="DRI1" s="24"/>
      <c r="DRJ1" s="24"/>
      <c r="DRK1" s="24"/>
      <c r="DRL1" s="24"/>
      <c r="DRM1" s="24"/>
      <c r="DRN1" s="24"/>
      <c r="DRO1" s="24"/>
      <c r="DRP1" s="24"/>
      <c r="DRQ1" s="24"/>
      <c r="DRR1" s="24"/>
      <c r="DRS1" s="24"/>
      <c r="DRT1" s="24"/>
      <c r="DRU1" s="24"/>
      <c r="DRV1" s="24"/>
      <c r="DRW1" s="24"/>
      <c r="DRX1" s="24"/>
      <c r="DRY1" s="24"/>
      <c r="DRZ1" s="24"/>
      <c r="DSA1" s="24"/>
      <c r="DSB1" s="24"/>
      <c r="DSC1" s="24"/>
      <c r="DSD1" s="24"/>
      <c r="DSE1" s="24"/>
      <c r="DSF1" s="24"/>
      <c r="DSG1" s="24"/>
      <c r="DSH1" s="24"/>
      <c r="DSI1" s="24"/>
      <c r="DSJ1" s="24"/>
      <c r="DSK1" s="24"/>
      <c r="DSL1" s="24"/>
      <c r="DSM1" s="24"/>
      <c r="DSN1" s="24"/>
      <c r="DSO1" s="24"/>
      <c r="DSP1" s="24"/>
      <c r="DSQ1" s="24"/>
      <c r="DSR1" s="24"/>
      <c r="DSS1" s="24"/>
      <c r="DST1" s="24"/>
      <c r="DSU1" s="24"/>
      <c r="DSV1" s="24"/>
      <c r="DSW1" s="24"/>
      <c r="DSX1" s="24"/>
      <c r="DSY1" s="24"/>
      <c r="DSZ1" s="24"/>
      <c r="DTA1" s="24"/>
      <c r="DTB1" s="24"/>
      <c r="DTC1" s="24"/>
      <c r="DTD1" s="24"/>
      <c r="DTE1" s="24"/>
      <c r="DTF1" s="24"/>
      <c r="DTG1" s="24"/>
      <c r="DTH1" s="24"/>
      <c r="DTI1" s="24"/>
      <c r="DTJ1" s="24"/>
      <c r="DTK1" s="24"/>
      <c r="DTL1" s="24"/>
      <c r="DTM1" s="24"/>
      <c r="DTN1" s="24"/>
      <c r="DTO1" s="24"/>
      <c r="DTP1" s="24"/>
      <c r="DTQ1" s="24"/>
      <c r="DTR1" s="24"/>
      <c r="DTS1" s="24"/>
      <c r="DTT1" s="24"/>
      <c r="DTU1" s="24"/>
      <c r="DTV1" s="24"/>
      <c r="DTW1" s="24"/>
      <c r="DTX1" s="24"/>
      <c r="DTY1" s="24"/>
      <c r="DTZ1" s="24"/>
      <c r="DUA1" s="24"/>
      <c r="DUB1" s="24"/>
      <c r="DUC1" s="24"/>
      <c r="DUD1" s="24"/>
      <c r="DUE1" s="24"/>
      <c r="DUF1" s="24"/>
      <c r="DUG1" s="24"/>
      <c r="DUH1" s="24"/>
      <c r="DUI1" s="24"/>
      <c r="DUJ1" s="24"/>
      <c r="DUK1" s="24"/>
      <c r="DUL1" s="24"/>
      <c r="DUM1" s="24"/>
      <c r="DUN1" s="24"/>
      <c r="DUO1" s="24"/>
      <c r="DUP1" s="24"/>
      <c r="DUQ1" s="24"/>
      <c r="DUR1" s="24"/>
      <c r="DUS1" s="24"/>
      <c r="DUT1" s="24"/>
      <c r="DUU1" s="24"/>
      <c r="DUV1" s="24"/>
      <c r="DUW1" s="24"/>
      <c r="DUX1" s="24"/>
      <c r="DUY1" s="24"/>
      <c r="DUZ1" s="24"/>
      <c r="DVA1" s="24"/>
      <c r="DVB1" s="24"/>
      <c r="DVC1" s="24"/>
      <c r="DVD1" s="24"/>
      <c r="DVE1" s="24"/>
      <c r="DVF1" s="24"/>
      <c r="DVG1" s="24"/>
      <c r="DVH1" s="24"/>
      <c r="DVI1" s="24"/>
      <c r="DVJ1" s="24"/>
      <c r="DVK1" s="24"/>
      <c r="DVL1" s="24"/>
      <c r="DVM1" s="24"/>
      <c r="DVN1" s="24"/>
      <c r="DVO1" s="24"/>
      <c r="DVP1" s="24"/>
      <c r="DVQ1" s="24"/>
      <c r="DVR1" s="24"/>
      <c r="DVS1" s="24"/>
      <c r="DVT1" s="24"/>
      <c r="DVU1" s="24"/>
      <c r="DVV1" s="24"/>
      <c r="DVW1" s="24"/>
      <c r="DVX1" s="24"/>
      <c r="DVY1" s="24"/>
      <c r="DVZ1" s="24"/>
      <c r="DWA1" s="24"/>
      <c r="DWB1" s="24"/>
      <c r="DWC1" s="24"/>
      <c r="DWD1" s="24"/>
      <c r="DWE1" s="24"/>
      <c r="DWF1" s="24"/>
      <c r="DWG1" s="24"/>
      <c r="DWH1" s="24"/>
      <c r="DWI1" s="24"/>
      <c r="DWJ1" s="24"/>
      <c r="DWK1" s="24"/>
      <c r="DWL1" s="24"/>
      <c r="DWM1" s="24"/>
      <c r="DWN1" s="24"/>
      <c r="DWO1" s="24"/>
      <c r="DWP1" s="24"/>
      <c r="DWQ1" s="24"/>
      <c r="DWR1" s="24"/>
      <c r="DWS1" s="24"/>
      <c r="DWT1" s="24"/>
      <c r="DWU1" s="24"/>
      <c r="DWV1" s="24"/>
      <c r="DWW1" s="24"/>
      <c r="DWX1" s="24"/>
      <c r="DWY1" s="24"/>
      <c r="DWZ1" s="24"/>
      <c r="DXA1" s="24"/>
      <c r="DXB1" s="24"/>
      <c r="DXC1" s="24"/>
      <c r="DXD1" s="24"/>
      <c r="DXE1" s="24"/>
      <c r="DXF1" s="24"/>
      <c r="DXG1" s="24"/>
      <c r="DXH1" s="24"/>
      <c r="DXI1" s="24"/>
      <c r="DXJ1" s="24"/>
      <c r="DXK1" s="24"/>
      <c r="DXL1" s="24"/>
      <c r="DXM1" s="24"/>
      <c r="DXN1" s="24"/>
      <c r="DXO1" s="24"/>
      <c r="DXP1" s="24"/>
      <c r="DXQ1" s="24"/>
      <c r="DXR1" s="24"/>
      <c r="DXS1" s="24"/>
      <c r="DXT1" s="24"/>
      <c r="DXU1" s="24"/>
      <c r="DXV1" s="24"/>
      <c r="DXW1" s="24"/>
      <c r="DXX1" s="24"/>
      <c r="DXY1" s="24"/>
      <c r="DXZ1" s="24"/>
      <c r="DYA1" s="24"/>
      <c r="DYB1" s="24"/>
      <c r="DYC1" s="24"/>
      <c r="DYD1" s="24"/>
      <c r="DYE1" s="24"/>
      <c r="DYF1" s="24"/>
      <c r="DYG1" s="24"/>
      <c r="DYH1" s="24"/>
      <c r="DYI1" s="24"/>
      <c r="DYJ1" s="24"/>
      <c r="DYK1" s="24"/>
      <c r="DYL1" s="24"/>
      <c r="DYM1" s="24"/>
      <c r="DYN1" s="24"/>
      <c r="DYO1" s="24"/>
      <c r="DYP1" s="24"/>
      <c r="DYQ1" s="24"/>
      <c r="DYR1" s="24"/>
      <c r="DYS1" s="24"/>
      <c r="DYT1" s="24"/>
      <c r="DYU1" s="24"/>
      <c r="DYV1" s="24"/>
      <c r="DYW1" s="24"/>
      <c r="DYX1" s="24"/>
      <c r="DYY1" s="24"/>
      <c r="DYZ1" s="24"/>
      <c r="DZA1" s="24"/>
      <c r="DZB1" s="24"/>
      <c r="DZC1" s="24"/>
      <c r="DZD1" s="24"/>
      <c r="DZE1" s="24"/>
      <c r="DZF1" s="24"/>
      <c r="DZG1" s="24"/>
      <c r="DZH1" s="24"/>
      <c r="DZI1" s="24"/>
      <c r="DZJ1" s="24"/>
      <c r="DZK1" s="24"/>
      <c r="DZL1" s="24"/>
      <c r="DZM1" s="24"/>
      <c r="DZN1" s="24"/>
      <c r="DZO1" s="24"/>
      <c r="DZP1" s="24"/>
      <c r="DZQ1" s="24"/>
      <c r="DZR1" s="24"/>
      <c r="DZS1" s="24"/>
      <c r="DZT1" s="24"/>
      <c r="DZU1" s="24"/>
      <c r="DZV1" s="24"/>
      <c r="DZW1" s="24"/>
      <c r="DZX1" s="24"/>
      <c r="DZY1" s="24"/>
      <c r="DZZ1" s="24"/>
      <c r="EAA1" s="24"/>
      <c r="EAB1" s="24"/>
      <c r="EAC1" s="24"/>
      <c r="EAD1" s="24"/>
      <c r="EAE1" s="24"/>
      <c r="EAF1" s="24"/>
      <c r="EAG1" s="24"/>
      <c r="EAH1" s="24"/>
      <c r="EAI1" s="24"/>
      <c r="EAJ1" s="24"/>
      <c r="EAK1" s="24"/>
      <c r="EAL1" s="24"/>
      <c r="EAM1" s="24"/>
      <c r="EAN1" s="24"/>
      <c r="EAO1" s="24"/>
      <c r="EAP1" s="24"/>
      <c r="EAQ1" s="24"/>
      <c r="EAR1" s="24"/>
      <c r="EAS1" s="24"/>
      <c r="EAT1" s="24"/>
      <c r="EAU1" s="24"/>
      <c r="EAV1" s="24"/>
      <c r="EAW1" s="24"/>
      <c r="EAX1" s="24"/>
      <c r="EAY1" s="24"/>
      <c r="EAZ1" s="24"/>
      <c r="EBA1" s="24"/>
      <c r="EBB1" s="24"/>
      <c r="EBC1" s="24"/>
      <c r="EBD1" s="24"/>
      <c r="EBE1" s="24"/>
      <c r="EBF1" s="24"/>
      <c r="EBG1" s="24"/>
      <c r="EBH1" s="24"/>
      <c r="EBI1" s="24"/>
      <c r="EBJ1" s="24"/>
      <c r="EBK1" s="24"/>
      <c r="EBL1" s="24"/>
      <c r="EBM1" s="24"/>
      <c r="EBN1" s="24"/>
      <c r="EBO1" s="24"/>
      <c r="EBP1" s="24"/>
      <c r="EBQ1" s="24"/>
      <c r="EBR1" s="24"/>
      <c r="EBS1" s="24"/>
      <c r="EBT1" s="24"/>
      <c r="EBU1" s="24"/>
      <c r="EBV1" s="24"/>
      <c r="EBW1" s="24"/>
      <c r="EBX1" s="24"/>
      <c r="EBY1" s="24"/>
      <c r="EBZ1" s="24"/>
      <c r="ECA1" s="24"/>
      <c r="ECB1" s="24"/>
      <c r="ECC1" s="24"/>
      <c r="ECD1" s="24"/>
      <c r="ECE1" s="24"/>
      <c r="ECF1" s="24"/>
      <c r="ECG1" s="24"/>
      <c r="ECH1" s="24"/>
      <c r="ECI1" s="24"/>
      <c r="ECJ1" s="24"/>
      <c r="ECK1" s="24"/>
      <c r="ECL1" s="24"/>
      <c r="ECM1" s="24"/>
      <c r="ECN1" s="24"/>
      <c r="ECO1" s="24"/>
      <c r="ECP1" s="24"/>
      <c r="ECQ1" s="24"/>
      <c r="ECR1" s="24"/>
      <c r="ECS1" s="24"/>
      <c r="ECT1" s="24"/>
      <c r="ECU1" s="24"/>
      <c r="ECV1" s="24"/>
      <c r="ECW1" s="24"/>
      <c r="ECX1" s="24"/>
      <c r="ECY1" s="24"/>
      <c r="ECZ1" s="24"/>
      <c r="EDA1" s="24"/>
      <c r="EDB1" s="24"/>
      <c r="EDC1" s="24"/>
      <c r="EDD1" s="24"/>
      <c r="EDE1" s="24"/>
      <c r="EDF1" s="24"/>
      <c r="EDG1" s="24"/>
      <c r="EDH1" s="24"/>
      <c r="EDI1" s="24"/>
      <c r="EDJ1" s="24"/>
      <c r="EDK1" s="24"/>
      <c r="EDL1" s="24"/>
      <c r="EDM1" s="24"/>
      <c r="EDN1" s="24"/>
      <c r="EDO1" s="24"/>
      <c r="EDP1" s="24"/>
      <c r="EDQ1" s="24"/>
      <c r="EDR1" s="24"/>
      <c r="EDS1" s="24"/>
      <c r="EDT1" s="24"/>
      <c r="EDU1" s="24"/>
      <c r="EDV1" s="24"/>
      <c r="EDW1" s="24"/>
      <c r="EDX1" s="24"/>
      <c r="EDY1" s="24"/>
      <c r="EDZ1" s="24"/>
      <c r="EEA1" s="24"/>
      <c r="EEB1" s="24"/>
      <c r="EEC1" s="24"/>
      <c r="EED1" s="24"/>
      <c r="EEE1" s="24"/>
      <c r="EEF1" s="24"/>
      <c r="EEG1" s="24"/>
      <c r="EEH1" s="24"/>
      <c r="EEI1" s="24"/>
      <c r="EEJ1" s="24"/>
      <c r="EEK1" s="24"/>
      <c r="EEL1" s="24"/>
      <c r="EEM1" s="24"/>
      <c r="EEN1" s="24"/>
      <c r="EEO1" s="24"/>
      <c r="EEP1" s="24"/>
      <c r="EEQ1" s="24"/>
      <c r="EER1" s="24"/>
      <c r="EES1" s="24"/>
      <c r="EET1" s="24"/>
      <c r="EEU1" s="24"/>
      <c r="EEV1" s="24"/>
      <c r="EEW1" s="24"/>
      <c r="EEX1" s="24"/>
      <c r="EEY1" s="24"/>
      <c r="EEZ1" s="24"/>
      <c r="EFA1" s="24"/>
      <c r="EFB1" s="24"/>
      <c r="EFC1" s="24"/>
      <c r="EFD1" s="24"/>
      <c r="EFE1" s="24"/>
      <c r="EFF1" s="24"/>
      <c r="EFG1" s="24"/>
      <c r="EFH1" s="24"/>
      <c r="EFI1" s="24"/>
      <c r="EFJ1" s="24"/>
      <c r="EFK1" s="24"/>
      <c r="EFL1" s="24"/>
      <c r="EFM1" s="24"/>
      <c r="EFN1" s="24"/>
      <c r="EFO1" s="24"/>
      <c r="EFP1" s="24"/>
      <c r="EFQ1" s="24"/>
      <c r="EFR1" s="24"/>
      <c r="EFS1" s="24"/>
      <c r="EFT1" s="24"/>
      <c r="EFU1" s="24"/>
      <c r="EFV1" s="24"/>
      <c r="EFW1" s="24"/>
      <c r="EFX1" s="24"/>
      <c r="EFY1" s="24"/>
      <c r="EFZ1" s="24"/>
      <c r="EGA1" s="24"/>
      <c r="EGB1" s="24"/>
      <c r="EGC1" s="24"/>
      <c r="EGD1" s="24"/>
      <c r="EGE1" s="24"/>
      <c r="EGF1" s="24"/>
      <c r="EGG1" s="24"/>
      <c r="EGH1" s="24"/>
      <c r="EGI1" s="24"/>
      <c r="EGJ1" s="24"/>
      <c r="EGK1" s="24"/>
      <c r="EGL1" s="24"/>
      <c r="EGM1" s="24"/>
      <c r="EGN1" s="24"/>
      <c r="EGO1" s="24"/>
      <c r="EGP1" s="24"/>
      <c r="EGQ1" s="24"/>
      <c r="EGR1" s="24"/>
      <c r="EGS1" s="24"/>
      <c r="EGT1" s="24"/>
      <c r="EGU1" s="24"/>
      <c r="EGV1" s="24"/>
      <c r="EGW1" s="24"/>
      <c r="EGX1" s="24"/>
      <c r="EGY1" s="24"/>
      <c r="EGZ1" s="24"/>
      <c r="EHA1" s="24"/>
      <c r="EHB1" s="24"/>
      <c r="EHC1" s="24"/>
      <c r="EHD1" s="24"/>
      <c r="EHE1" s="24"/>
      <c r="EHF1" s="24"/>
      <c r="EHG1" s="24"/>
      <c r="EHH1" s="24"/>
      <c r="EHI1" s="24"/>
      <c r="EHJ1" s="24"/>
      <c r="EHK1" s="24"/>
      <c r="EHL1" s="24"/>
      <c r="EHM1" s="24"/>
      <c r="EHN1" s="24"/>
      <c r="EHO1" s="24"/>
      <c r="EHP1" s="24"/>
      <c r="EHQ1" s="24"/>
      <c r="EHR1" s="24"/>
      <c r="EHS1" s="24"/>
      <c r="EHT1" s="24"/>
      <c r="EHU1" s="24"/>
      <c r="EHV1" s="24"/>
      <c r="EHW1" s="24"/>
      <c r="EHX1" s="24"/>
      <c r="EHY1" s="24"/>
      <c r="EHZ1" s="24"/>
      <c r="EIA1" s="24"/>
      <c r="EIB1" s="24"/>
      <c r="EIC1" s="24"/>
      <c r="EID1" s="24"/>
      <c r="EIE1" s="24"/>
      <c r="EIF1" s="24"/>
      <c r="EIG1" s="24"/>
      <c r="EIH1" s="24"/>
      <c r="EII1" s="24"/>
      <c r="EIJ1" s="24"/>
      <c r="EIK1" s="24"/>
      <c r="EIL1" s="24"/>
      <c r="EIM1" s="24"/>
      <c r="EIN1" s="24"/>
      <c r="EIO1" s="24"/>
      <c r="EIP1" s="24"/>
      <c r="EIQ1" s="24"/>
      <c r="EIR1" s="24"/>
      <c r="EIS1" s="24"/>
      <c r="EIT1" s="24"/>
      <c r="EIU1" s="24"/>
      <c r="EIV1" s="24"/>
      <c r="EIW1" s="24"/>
      <c r="EIX1" s="24"/>
      <c r="EIY1" s="24"/>
      <c r="EIZ1" s="24"/>
      <c r="EJA1" s="24"/>
      <c r="EJB1" s="24"/>
      <c r="EJC1" s="24"/>
      <c r="EJD1" s="24"/>
      <c r="EJE1" s="24"/>
      <c r="EJF1" s="24"/>
      <c r="EJG1" s="24"/>
      <c r="EJH1" s="24"/>
      <c r="EJI1" s="24"/>
      <c r="EJJ1" s="24"/>
      <c r="EJK1" s="24"/>
      <c r="EJL1" s="24"/>
      <c r="EJM1" s="24"/>
      <c r="EJN1" s="24"/>
      <c r="EJO1" s="24"/>
      <c r="EJP1" s="24"/>
      <c r="EJQ1" s="24"/>
      <c r="EJR1" s="24"/>
      <c r="EJS1" s="24"/>
      <c r="EJT1" s="24"/>
      <c r="EJU1" s="24"/>
      <c r="EJV1" s="24"/>
      <c r="EJW1" s="24"/>
      <c r="EJX1" s="24"/>
      <c r="EJY1" s="24"/>
      <c r="EJZ1" s="24"/>
      <c r="EKA1" s="24"/>
      <c r="EKB1" s="24"/>
      <c r="EKC1" s="24"/>
      <c r="EKD1" s="24"/>
      <c r="EKE1" s="24"/>
      <c r="EKF1" s="24"/>
      <c r="EKG1" s="24"/>
      <c r="EKH1" s="24"/>
      <c r="EKI1" s="24"/>
      <c r="EKJ1" s="24"/>
      <c r="EKK1" s="24"/>
      <c r="EKL1" s="24"/>
      <c r="EKM1" s="24"/>
      <c r="EKN1" s="24"/>
      <c r="EKO1" s="24"/>
      <c r="EKP1" s="24"/>
      <c r="EKQ1" s="24"/>
      <c r="EKR1" s="24"/>
      <c r="EKS1" s="24"/>
      <c r="EKT1" s="24"/>
      <c r="EKU1" s="24"/>
      <c r="EKV1" s="24"/>
      <c r="EKW1" s="24"/>
      <c r="EKX1" s="24"/>
      <c r="EKY1" s="24"/>
      <c r="EKZ1" s="24"/>
      <c r="ELA1" s="24"/>
      <c r="ELB1" s="24"/>
      <c r="ELC1" s="24"/>
      <c r="ELD1" s="24"/>
      <c r="ELE1" s="24"/>
      <c r="ELF1" s="24"/>
      <c r="ELG1" s="24"/>
      <c r="ELH1" s="24"/>
      <c r="ELI1" s="24"/>
      <c r="ELJ1" s="24"/>
      <c r="ELK1" s="24"/>
      <c r="ELL1" s="24"/>
      <c r="ELM1" s="24"/>
      <c r="ELN1" s="24"/>
      <c r="ELO1" s="24"/>
      <c r="ELP1" s="24"/>
      <c r="ELQ1" s="24"/>
      <c r="ELR1" s="24"/>
      <c r="ELS1" s="24"/>
      <c r="ELT1" s="24"/>
      <c r="ELU1" s="24"/>
      <c r="ELV1" s="24"/>
      <c r="ELW1" s="24"/>
      <c r="ELX1" s="24"/>
      <c r="ELY1" s="24"/>
      <c r="ELZ1" s="24"/>
      <c r="EMA1" s="24"/>
      <c r="EMB1" s="24"/>
      <c r="EMC1" s="24"/>
      <c r="EMD1" s="24"/>
      <c r="EME1" s="24"/>
      <c r="EMF1" s="24"/>
      <c r="EMG1" s="24"/>
      <c r="EMH1" s="24"/>
      <c r="EMI1" s="24"/>
      <c r="EMJ1" s="24"/>
      <c r="EMK1" s="24"/>
      <c r="EML1" s="24"/>
      <c r="EMM1" s="24"/>
      <c r="EMN1" s="24"/>
      <c r="EMO1" s="24"/>
      <c r="EMP1" s="24"/>
      <c r="EMQ1" s="24"/>
      <c r="EMR1" s="24"/>
      <c r="EMS1" s="24"/>
      <c r="EMT1" s="24"/>
      <c r="EMU1" s="24"/>
      <c r="EMV1" s="24"/>
      <c r="EMW1" s="24"/>
      <c r="EMX1" s="24"/>
      <c r="EMY1" s="24"/>
      <c r="EMZ1" s="24"/>
      <c r="ENA1" s="24"/>
      <c r="ENB1" s="24"/>
      <c r="ENC1" s="24"/>
      <c r="END1" s="24"/>
      <c r="ENE1" s="24"/>
      <c r="ENF1" s="24"/>
      <c r="ENG1" s="24"/>
      <c r="ENH1" s="24"/>
      <c r="ENI1" s="24"/>
      <c r="ENJ1" s="24"/>
      <c r="ENK1" s="24"/>
      <c r="ENL1" s="24"/>
      <c r="ENM1" s="24"/>
      <c r="ENN1" s="24"/>
      <c r="ENO1" s="24"/>
      <c r="ENP1" s="24"/>
      <c r="ENQ1" s="24"/>
      <c r="ENR1" s="24"/>
      <c r="ENS1" s="24"/>
      <c r="ENT1" s="24"/>
      <c r="ENU1" s="24"/>
      <c r="ENV1" s="24"/>
      <c r="ENW1" s="24"/>
      <c r="ENX1" s="24"/>
      <c r="ENY1" s="24"/>
      <c r="ENZ1" s="24"/>
      <c r="EOA1" s="24"/>
      <c r="EOB1" s="24"/>
      <c r="EOC1" s="24"/>
      <c r="EOD1" s="24"/>
      <c r="EOE1" s="24"/>
      <c r="EOF1" s="24"/>
      <c r="EOG1" s="24"/>
      <c r="EOH1" s="24"/>
      <c r="EOI1" s="24"/>
      <c r="EOJ1" s="24"/>
      <c r="EOK1" s="24"/>
      <c r="EOL1" s="24"/>
      <c r="EOM1" s="24"/>
      <c r="EON1" s="24"/>
      <c r="EOO1" s="24"/>
      <c r="EOP1" s="24"/>
      <c r="EOQ1" s="24"/>
      <c r="EOR1" s="24"/>
      <c r="EOS1" s="24"/>
      <c r="EOT1" s="24"/>
      <c r="EOU1" s="24"/>
      <c r="EOV1" s="24"/>
      <c r="EOW1" s="24"/>
      <c r="EOX1" s="24"/>
      <c r="EOY1" s="24"/>
      <c r="EOZ1" s="24"/>
      <c r="EPA1" s="24"/>
      <c r="EPB1" s="24"/>
      <c r="EPC1" s="24"/>
      <c r="EPD1" s="24"/>
      <c r="EPE1" s="24"/>
      <c r="EPF1" s="24"/>
      <c r="EPG1" s="24"/>
      <c r="EPH1" s="24"/>
      <c r="EPI1" s="24"/>
      <c r="EPJ1" s="24"/>
      <c r="EPK1" s="24"/>
      <c r="EPL1" s="24"/>
      <c r="EPM1" s="24"/>
      <c r="EPN1" s="24"/>
      <c r="EPO1" s="24"/>
      <c r="EPP1" s="24"/>
      <c r="EPQ1" s="24"/>
      <c r="EPR1" s="24"/>
      <c r="EPS1" s="24"/>
      <c r="EPT1" s="24"/>
      <c r="EPU1" s="24"/>
      <c r="EPV1" s="24"/>
      <c r="EPW1" s="24"/>
      <c r="EPX1" s="24"/>
      <c r="EPY1" s="24"/>
      <c r="EPZ1" s="24"/>
      <c r="EQA1" s="24"/>
      <c r="EQB1" s="24"/>
      <c r="EQC1" s="24"/>
      <c r="EQD1" s="24"/>
      <c r="EQE1" s="24"/>
      <c r="EQF1" s="24"/>
      <c r="EQG1" s="24"/>
      <c r="EQH1" s="24"/>
      <c r="EQI1" s="24"/>
      <c r="EQJ1" s="24"/>
      <c r="EQK1" s="24"/>
      <c r="EQL1" s="24"/>
      <c r="EQM1" s="24"/>
      <c r="EQN1" s="24"/>
      <c r="EQO1" s="24"/>
      <c r="EQP1" s="24"/>
      <c r="EQQ1" s="24"/>
      <c r="EQR1" s="24"/>
      <c r="EQS1" s="24"/>
      <c r="EQT1" s="24"/>
      <c r="EQU1" s="24"/>
      <c r="EQV1" s="24"/>
      <c r="EQW1" s="24"/>
      <c r="EQX1" s="24"/>
      <c r="EQY1" s="24"/>
      <c r="EQZ1" s="24"/>
      <c r="ERA1" s="24"/>
      <c r="ERB1" s="24"/>
      <c r="ERC1" s="24"/>
      <c r="ERD1" s="24"/>
      <c r="ERE1" s="24"/>
      <c r="ERF1" s="24"/>
      <c r="ERG1" s="24"/>
      <c r="ERH1" s="24"/>
      <c r="ERI1" s="24"/>
      <c r="ERJ1" s="24"/>
      <c r="ERK1" s="24"/>
      <c r="ERL1" s="24"/>
      <c r="ERM1" s="24"/>
      <c r="ERN1" s="24"/>
      <c r="ERO1" s="24"/>
      <c r="ERP1" s="24"/>
      <c r="ERQ1" s="24"/>
      <c r="ERR1" s="24"/>
      <c r="ERS1" s="24"/>
      <c r="ERT1" s="24"/>
      <c r="ERU1" s="24"/>
      <c r="ERV1" s="24"/>
      <c r="ERW1" s="24"/>
      <c r="ERX1" s="24"/>
      <c r="ERY1" s="24"/>
      <c r="ERZ1" s="24"/>
      <c r="ESA1" s="24"/>
      <c r="ESB1" s="24"/>
      <c r="ESC1" s="24"/>
      <c r="ESD1" s="24"/>
      <c r="ESE1" s="24"/>
      <c r="ESF1" s="24"/>
      <c r="ESG1" s="24"/>
      <c r="ESH1" s="24"/>
      <c r="ESI1" s="24"/>
      <c r="ESJ1" s="24"/>
      <c r="ESK1" s="24"/>
      <c r="ESL1" s="24"/>
      <c r="ESM1" s="24"/>
      <c r="ESN1" s="24"/>
      <c r="ESO1" s="24"/>
      <c r="ESP1" s="24"/>
      <c r="ESQ1" s="24"/>
      <c r="ESR1" s="24"/>
      <c r="ESS1" s="24"/>
      <c r="EST1" s="24"/>
      <c r="ESU1" s="24"/>
      <c r="ESV1" s="24"/>
      <c r="ESW1" s="24"/>
      <c r="ESX1" s="24"/>
      <c r="ESY1" s="24"/>
      <c r="ESZ1" s="24"/>
      <c r="ETA1" s="24"/>
      <c r="ETB1" s="24"/>
      <c r="ETC1" s="24"/>
      <c r="ETD1" s="24"/>
      <c r="ETE1" s="24"/>
      <c r="ETF1" s="24"/>
      <c r="ETG1" s="24"/>
      <c r="ETH1" s="24"/>
      <c r="ETI1" s="24"/>
      <c r="ETJ1" s="24"/>
      <c r="ETK1" s="24"/>
      <c r="ETL1" s="24"/>
      <c r="ETM1" s="24"/>
      <c r="ETN1" s="24"/>
      <c r="ETO1" s="24"/>
      <c r="ETP1" s="24"/>
      <c r="ETQ1" s="24"/>
      <c r="ETR1" s="24"/>
      <c r="ETS1" s="24"/>
      <c r="ETT1" s="24"/>
      <c r="ETU1" s="24"/>
      <c r="ETV1" s="24"/>
      <c r="ETW1" s="24"/>
      <c r="ETX1" s="24"/>
      <c r="ETY1" s="24"/>
      <c r="ETZ1" s="24"/>
      <c r="EUA1" s="24"/>
      <c r="EUB1" s="24"/>
      <c r="EUC1" s="24"/>
      <c r="EUD1" s="24"/>
      <c r="EUE1" s="24"/>
      <c r="EUF1" s="24"/>
      <c r="EUG1" s="24"/>
      <c r="EUH1" s="24"/>
      <c r="EUI1" s="24"/>
      <c r="EUJ1" s="24"/>
      <c r="EUK1" s="24"/>
      <c r="EUL1" s="24"/>
      <c r="EUM1" s="24"/>
      <c r="EUN1" s="24"/>
      <c r="EUO1" s="24"/>
      <c r="EUP1" s="24"/>
      <c r="EUQ1" s="24"/>
      <c r="EUR1" s="24"/>
      <c r="EUS1" s="24"/>
      <c r="EUT1" s="24"/>
      <c r="EUU1" s="24"/>
      <c r="EUV1" s="24"/>
      <c r="EUW1" s="24"/>
      <c r="EUX1" s="24"/>
      <c r="EUY1" s="24"/>
      <c r="EUZ1" s="24"/>
      <c r="EVA1" s="24"/>
      <c r="EVB1" s="24"/>
      <c r="EVC1" s="24"/>
      <c r="EVD1" s="24"/>
      <c r="EVE1" s="24"/>
      <c r="EVF1" s="24"/>
      <c r="EVG1" s="24"/>
      <c r="EVH1" s="24"/>
      <c r="EVI1" s="24"/>
      <c r="EVJ1" s="24"/>
      <c r="EVK1" s="24"/>
      <c r="EVL1" s="24"/>
      <c r="EVM1" s="24"/>
      <c r="EVN1" s="24"/>
      <c r="EVO1" s="24"/>
      <c r="EVP1" s="24"/>
      <c r="EVQ1" s="24"/>
      <c r="EVR1" s="24"/>
      <c r="EVS1" s="24"/>
      <c r="EVT1" s="24"/>
      <c r="EVU1" s="24"/>
      <c r="EVV1" s="24"/>
      <c r="EVW1" s="24"/>
      <c r="EVX1" s="24"/>
      <c r="EVY1" s="24"/>
      <c r="EVZ1" s="24"/>
      <c r="EWA1" s="24"/>
      <c r="EWB1" s="24"/>
      <c r="EWC1" s="24"/>
      <c r="EWD1" s="24"/>
      <c r="EWE1" s="24"/>
      <c r="EWF1" s="24"/>
      <c r="EWG1" s="24"/>
      <c r="EWH1" s="24"/>
      <c r="EWI1" s="24"/>
      <c r="EWJ1" s="24"/>
      <c r="EWK1" s="24"/>
      <c r="EWL1" s="24"/>
      <c r="EWM1" s="24"/>
      <c r="EWN1" s="24"/>
      <c r="EWO1" s="24"/>
      <c r="EWP1" s="24"/>
      <c r="EWQ1" s="24"/>
      <c r="EWR1" s="24"/>
      <c r="EWS1" s="24"/>
      <c r="EWT1" s="24"/>
      <c r="EWU1" s="24"/>
      <c r="EWV1" s="24"/>
      <c r="EWW1" s="24"/>
      <c r="EWX1" s="24"/>
      <c r="EWY1" s="24"/>
      <c r="EWZ1" s="24"/>
      <c r="EXA1" s="24"/>
      <c r="EXB1" s="24"/>
      <c r="EXC1" s="24"/>
      <c r="EXD1" s="24"/>
      <c r="EXE1" s="24"/>
      <c r="EXF1" s="24"/>
      <c r="EXG1" s="24"/>
      <c r="EXH1" s="24"/>
      <c r="EXI1" s="24"/>
      <c r="EXJ1" s="24"/>
      <c r="EXK1" s="24"/>
      <c r="EXL1" s="24"/>
      <c r="EXM1" s="24"/>
      <c r="EXN1" s="24"/>
      <c r="EXO1" s="24"/>
      <c r="EXP1" s="24"/>
      <c r="EXQ1" s="24"/>
      <c r="EXR1" s="24"/>
      <c r="EXS1" s="24"/>
      <c r="EXT1" s="24"/>
      <c r="EXU1" s="24"/>
      <c r="EXV1" s="24"/>
      <c r="EXW1" s="24"/>
      <c r="EXX1" s="24"/>
      <c r="EXY1" s="24"/>
      <c r="EXZ1" s="24"/>
      <c r="EYA1" s="24"/>
      <c r="EYB1" s="24"/>
      <c r="EYC1" s="24"/>
      <c r="EYD1" s="24"/>
      <c r="EYE1" s="24"/>
      <c r="EYF1" s="24"/>
      <c r="EYG1" s="24"/>
      <c r="EYH1" s="24"/>
      <c r="EYI1" s="24"/>
      <c r="EYJ1" s="24"/>
      <c r="EYK1" s="24"/>
      <c r="EYL1" s="24"/>
      <c r="EYM1" s="24"/>
      <c r="EYN1" s="24"/>
      <c r="EYO1" s="24"/>
      <c r="EYP1" s="24"/>
      <c r="EYQ1" s="24"/>
      <c r="EYR1" s="24"/>
      <c r="EYS1" s="24"/>
      <c r="EYT1" s="24"/>
      <c r="EYU1" s="24"/>
      <c r="EYV1" s="24"/>
      <c r="EYW1" s="24"/>
      <c r="EYX1" s="24"/>
      <c r="EYY1" s="24"/>
      <c r="EYZ1" s="24"/>
      <c r="EZA1" s="24"/>
      <c r="EZB1" s="24"/>
      <c r="EZC1" s="24"/>
      <c r="EZD1" s="24"/>
      <c r="EZE1" s="24"/>
      <c r="EZF1" s="24"/>
      <c r="EZG1" s="24"/>
      <c r="EZH1" s="24"/>
      <c r="EZI1" s="24"/>
      <c r="EZJ1" s="24"/>
      <c r="EZK1" s="24"/>
      <c r="EZL1" s="24"/>
      <c r="EZM1" s="24"/>
      <c r="EZN1" s="24"/>
      <c r="EZO1" s="24"/>
      <c r="EZP1" s="24"/>
      <c r="EZQ1" s="24"/>
      <c r="EZR1" s="24"/>
      <c r="EZS1" s="24"/>
      <c r="EZT1" s="24"/>
      <c r="EZU1" s="24"/>
      <c r="EZV1" s="24"/>
      <c r="EZW1" s="24"/>
      <c r="EZX1" s="24"/>
      <c r="EZY1" s="24"/>
      <c r="EZZ1" s="24"/>
      <c r="FAA1" s="24"/>
      <c r="FAB1" s="24"/>
      <c r="FAC1" s="24"/>
      <c r="FAD1" s="24"/>
      <c r="FAE1" s="24"/>
      <c r="FAF1" s="24"/>
      <c r="FAG1" s="24"/>
      <c r="FAH1" s="24"/>
      <c r="FAI1" s="24"/>
      <c r="FAJ1" s="24"/>
      <c r="FAK1" s="24"/>
      <c r="FAL1" s="24"/>
      <c r="FAM1" s="24"/>
      <c r="FAN1" s="24"/>
      <c r="FAO1" s="24"/>
      <c r="FAP1" s="24"/>
      <c r="FAQ1" s="24"/>
      <c r="FAR1" s="24"/>
      <c r="FAS1" s="24"/>
      <c r="FAT1" s="24"/>
      <c r="FAU1" s="24"/>
      <c r="FAV1" s="24"/>
      <c r="FAW1" s="24"/>
      <c r="FAX1" s="24"/>
      <c r="FAY1" s="24"/>
      <c r="FAZ1" s="24"/>
      <c r="FBA1" s="24"/>
      <c r="FBB1" s="24"/>
      <c r="FBC1" s="24"/>
      <c r="FBD1" s="24"/>
      <c r="FBE1" s="24"/>
      <c r="FBF1" s="24"/>
      <c r="FBG1" s="24"/>
      <c r="FBH1" s="24"/>
      <c r="FBI1" s="24"/>
      <c r="FBJ1" s="24"/>
      <c r="FBK1" s="24"/>
      <c r="FBL1" s="24"/>
      <c r="FBM1" s="24"/>
      <c r="FBN1" s="24"/>
      <c r="FBO1" s="24"/>
      <c r="FBP1" s="24"/>
      <c r="FBQ1" s="24"/>
      <c r="FBR1" s="24"/>
      <c r="FBS1" s="24"/>
      <c r="FBT1" s="24"/>
      <c r="FBU1" s="24"/>
      <c r="FBV1" s="24"/>
      <c r="FBW1" s="24"/>
      <c r="FBX1" s="24"/>
      <c r="FBY1" s="24"/>
      <c r="FBZ1" s="24"/>
      <c r="FCA1" s="24"/>
      <c r="FCB1" s="24"/>
      <c r="FCC1" s="24"/>
      <c r="FCD1" s="24"/>
      <c r="FCE1" s="24"/>
      <c r="FCF1" s="24"/>
      <c r="FCG1" s="24"/>
      <c r="FCH1" s="24"/>
      <c r="FCI1" s="24"/>
      <c r="FCJ1" s="24"/>
      <c r="FCK1" s="24"/>
      <c r="FCL1" s="24"/>
      <c r="FCM1" s="24"/>
      <c r="FCN1" s="24"/>
      <c r="FCO1" s="24"/>
      <c r="FCP1" s="24"/>
      <c r="FCQ1" s="24"/>
      <c r="FCR1" s="24"/>
      <c r="FCS1" s="24"/>
      <c r="FCT1" s="24"/>
      <c r="FCU1" s="24"/>
      <c r="FCV1" s="24"/>
      <c r="FCW1" s="24"/>
      <c r="FCX1" s="24"/>
      <c r="FCY1" s="24"/>
      <c r="FCZ1" s="24"/>
      <c r="FDA1" s="24"/>
      <c r="FDB1" s="24"/>
      <c r="FDC1" s="24"/>
      <c r="FDD1" s="24"/>
      <c r="FDE1" s="24"/>
      <c r="FDF1" s="24"/>
      <c r="FDG1" s="24"/>
      <c r="FDH1" s="24"/>
      <c r="FDI1" s="24"/>
      <c r="FDJ1" s="24"/>
      <c r="FDK1" s="24"/>
      <c r="FDL1" s="24"/>
      <c r="FDM1" s="24"/>
      <c r="FDN1" s="24"/>
      <c r="FDO1" s="24"/>
      <c r="FDP1" s="24"/>
      <c r="FDQ1" s="24"/>
      <c r="FDR1" s="24"/>
      <c r="FDS1" s="24"/>
      <c r="FDT1" s="24"/>
      <c r="FDU1" s="24"/>
      <c r="FDV1" s="24"/>
      <c r="FDW1" s="24"/>
      <c r="FDX1" s="24"/>
      <c r="FDY1" s="24"/>
      <c r="FDZ1" s="24"/>
      <c r="FEA1" s="24"/>
      <c r="FEB1" s="24"/>
      <c r="FEC1" s="24"/>
      <c r="FED1" s="24"/>
      <c r="FEE1" s="24"/>
      <c r="FEF1" s="24"/>
      <c r="FEG1" s="24"/>
      <c r="FEH1" s="24"/>
      <c r="FEI1" s="24"/>
      <c r="FEJ1" s="24"/>
      <c r="FEK1" s="24"/>
      <c r="FEL1" s="24"/>
      <c r="FEM1" s="24"/>
      <c r="FEN1" s="24"/>
      <c r="FEO1" s="24"/>
      <c r="FEP1" s="24"/>
      <c r="FEQ1" s="24"/>
      <c r="FER1" s="24"/>
      <c r="FES1" s="24"/>
      <c r="FET1" s="24"/>
      <c r="FEU1" s="24"/>
      <c r="FEV1" s="24"/>
      <c r="FEW1" s="24"/>
      <c r="FEX1" s="24"/>
      <c r="FEY1" s="24"/>
      <c r="FEZ1" s="24"/>
      <c r="FFA1" s="24"/>
      <c r="FFB1" s="24"/>
      <c r="FFC1" s="24"/>
      <c r="FFD1" s="24"/>
      <c r="FFE1" s="24"/>
      <c r="FFF1" s="24"/>
      <c r="FFG1" s="24"/>
      <c r="FFH1" s="24"/>
      <c r="FFI1" s="24"/>
      <c r="FFJ1" s="24"/>
      <c r="FFK1" s="24"/>
      <c r="FFL1" s="24"/>
      <c r="FFM1" s="24"/>
      <c r="FFN1" s="24"/>
      <c r="FFO1" s="24"/>
      <c r="FFP1" s="24"/>
      <c r="FFQ1" s="24"/>
      <c r="FFR1" s="24"/>
      <c r="FFS1" s="24"/>
      <c r="FFT1" s="24"/>
      <c r="FFU1" s="24"/>
      <c r="FFV1" s="24"/>
      <c r="FFW1" s="24"/>
      <c r="FFX1" s="24"/>
      <c r="FFY1" s="24"/>
      <c r="FFZ1" s="24"/>
      <c r="FGA1" s="24"/>
      <c r="FGB1" s="24"/>
      <c r="FGC1" s="24"/>
      <c r="FGD1" s="24"/>
      <c r="FGE1" s="24"/>
      <c r="FGF1" s="24"/>
      <c r="FGG1" s="24"/>
      <c r="FGH1" s="24"/>
      <c r="FGI1" s="24"/>
      <c r="FGJ1" s="24"/>
      <c r="FGK1" s="24"/>
      <c r="FGL1" s="24"/>
      <c r="FGM1" s="24"/>
      <c r="FGN1" s="24"/>
      <c r="FGO1" s="24"/>
      <c r="FGP1" s="24"/>
      <c r="FGQ1" s="24"/>
      <c r="FGR1" s="24"/>
      <c r="FGS1" s="24"/>
      <c r="FGT1" s="24"/>
      <c r="FGU1" s="24"/>
      <c r="FGV1" s="24"/>
      <c r="FGW1" s="24"/>
      <c r="FGX1" s="24"/>
      <c r="FGY1" s="24"/>
      <c r="FGZ1" s="24"/>
      <c r="FHA1" s="24"/>
      <c r="FHB1" s="24"/>
      <c r="FHC1" s="24"/>
      <c r="FHD1" s="24"/>
      <c r="FHE1" s="24"/>
      <c r="FHF1" s="24"/>
      <c r="FHG1" s="24"/>
      <c r="FHH1" s="24"/>
      <c r="FHI1" s="24"/>
      <c r="FHJ1" s="24"/>
      <c r="FHK1" s="24"/>
      <c r="FHL1" s="24"/>
      <c r="FHM1" s="24"/>
      <c r="FHN1" s="24"/>
      <c r="FHO1" s="24"/>
      <c r="FHP1" s="24"/>
      <c r="FHQ1" s="24"/>
      <c r="FHR1" s="24"/>
      <c r="FHS1" s="24"/>
      <c r="FHT1" s="24"/>
      <c r="FHU1" s="24"/>
      <c r="FHV1" s="24"/>
      <c r="FHW1" s="24"/>
      <c r="FHX1" s="24"/>
      <c r="FHY1" s="24"/>
      <c r="FHZ1" s="24"/>
      <c r="FIA1" s="24"/>
      <c r="FIB1" s="24"/>
      <c r="FIC1" s="24"/>
      <c r="FID1" s="24"/>
      <c r="FIE1" s="24"/>
      <c r="FIF1" s="24"/>
      <c r="FIG1" s="24"/>
      <c r="FIH1" s="24"/>
      <c r="FII1" s="24"/>
      <c r="FIJ1" s="24"/>
      <c r="FIK1" s="24"/>
      <c r="FIL1" s="24"/>
      <c r="FIM1" s="24"/>
      <c r="FIN1" s="24"/>
      <c r="FIO1" s="24"/>
      <c r="FIP1" s="24"/>
      <c r="FIQ1" s="24"/>
      <c r="FIR1" s="24"/>
      <c r="FIS1" s="24"/>
      <c r="FIT1" s="24"/>
      <c r="FIU1" s="24"/>
      <c r="FIV1" s="24"/>
      <c r="FIW1" s="24"/>
      <c r="FIX1" s="24"/>
      <c r="FIY1" s="24"/>
      <c r="FIZ1" s="24"/>
      <c r="FJA1" s="24"/>
      <c r="FJB1" s="24"/>
      <c r="FJC1" s="24"/>
      <c r="FJD1" s="24"/>
      <c r="FJE1" s="24"/>
      <c r="FJF1" s="24"/>
      <c r="FJG1" s="24"/>
      <c r="FJH1" s="24"/>
      <c r="FJI1" s="24"/>
      <c r="FJJ1" s="24"/>
      <c r="FJK1" s="24"/>
      <c r="FJL1" s="24"/>
      <c r="FJM1" s="24"/>
      <c r="FJN1" s="24"/>
      <c r="FJO1" s="24"/>
      <c r="FJP1" s="24"/>
      <c r="FJQ1" s="24"/>
      <c r="FJR1" s="24"/>
      <c r="FJS1" s="24"/>
      <c r="FJT1" s="24"/>
      <c r="FJU1" s="24"/>
      <c r="FJV1" s="24"/>
      <c r="FJW1" s="24"/>
      <c r="FJX1" s="24"/>
      <c r="FJY1" s="24"/>
      <c r="FJZ1" s="24"/>
      <c r="FKA1" s="24"/>
      <c r="FKB1" s="24"/>
      <c r="FKC1" s="24"/>
      <c r="FKD1" s="24"/>
      <c r="FKE1" s="24"/>
      <c r="FKF1" s="24"/>
      <c r="FKG1" s="24"/>
      <c r="FKH1" s="24"/>
      <c r="FKI1" s="24"/>
      <c r="FKJ1" s="24"/>
      <c r="FKK1" s="24"/>
      <c r="FKL1" s="24"/>
      <c r="FKM1" s="24"/>
      <c r="FKN1" s="24"/>
      <c r="FKO1" s="24"/>
      <c r="FKP1" s="24"/>
      <c r="FKQ1" s="24"/>
      <c r="FKR1" s="24"/>
      <c r="FKS1" s="24"/>
      <c r="FKT1" s="24"/>
      <c r="FKU1" s="24"/>
      <c r="FKV1" s="24"/>
      <c r="FKW1" s="24"/>
      <c r="FKX1" s="24"/>
      <c r="FKY1" s="24"/>
      <c r="FKZ1" s="24"/>
      <c r="FLA1" s="24"/>
      <c r="FLB1" s="24"/>
      <c r="FLC1" s="24"/>
      <c r="FLD1" s="24"/>
      <c r="FLE1" s="24"/>
      <c r="FLF1" s="24"/>
      <c r="FLG1" s="24"/>
      <c r="FLH1" s="24"/>
      <c r="FLI1" s="24"/>
      <c r="FLJ1" s="24"/>
      <c r="FLK1" s="24"/>
      <c r="FLL1" s="24"/>
      <c r="FLM1" s="24"/>
      <c r="FLN1" s="24"/>
      <c r="FLO1" s="24"/>
      <c r="FLP1" s="24"/>
      <c r="FLQ1" s="24"/>
      <c r="FLR1" s="24"/>
      <c r="FLS1" s="24"/>
      <c r="FLT1" s="24"/>
      <c r="FLU1" s="24"/>
      <c r="FLV1" s="24"/>
      <c r="FLW1" s="24"/>
      <c r="FLX1" s="24"/>
      <c r="FLY1" s="24"/>
      <c r="FLZ1" s="24"/>
      <c r="FMA1" s="24"/>
      <c r="FMB1" s="24"/>
      <c r="FMC1" s="24"/>
      <c r="FMD1" s="24"/>
      <c r="FME1" s="24"/>
      <c r="FMF1" s="24"/>
      <c r="FMG1" s="24"/>
      <c r="FMH1" s="24"/>
      <c r="FMI1" s="24"/>
      <c r="FMJ1" s="24"/>
      <c r="FMK1" s="24"/>
      <c r="FML1" s="24"/>
      <c r="FMM1" s="24"/>
      <c r="FMN1" s="24"/>
      <c r="FMO1" s="24"/>
      <c r="FMP1" s="24"/>
      <c r="FMQ1" s="24"/>
      <c r="FMR1" s="24"/>
      <c r="FMS1" s="24"/>
      <c r="FMT1" s="24"/>
      <c r="FMU1" s="24"/>
      <c r="FMV1" s="24"/>
      <c r="FMW1" s="24"/>
      <c r="FMX1" s="24"/>
      <c r="FMY1" s="24"/>
      <c r="FMZ1" s="24"/>
      <c r="FNA1" s="24"/>
      <c r="FNB1" s="24"/>
      <c r="FNC1" s="24"/>
      <c r="FND1" s="24"/>
      <c r="FNE1" s="24"/>
      <c r="FNF1" s="24"/>
      <c r="FNG1" s="24"/>
      <c r="FNH1" s="24"/>
      <c r="FNI1" s="24"/>
      <c r="FNJ1" s="24"/>
      <c r="FNK1" s="24"/>
      <c r="FNL1" s="24"/>
      <c r="FNM1" s="24"/>
      <c r="FNN1" s="24"/>
      <c r="FNO1" s="24"/>
      <c r="FNP1" s="24"/>
      <c r="FNQ1" s="24"/>
      <c r="FNR1" s="24"/>
      <c r="FNS1" s="24"/>
      <c r="FNT1" s="24"/>
      <c r="FNU1" s="24"/>
      <c r="FNV1" s="24"/>
      <c r="FNW1" s="24"/>
      <c r="FNX1" s="24"/>
      <c r="FNY1" s="24"/>
      <c r="FNZ1" s="24"/>
      <c r="FOA1" s="24"/>
      <c r="FOB1" s="24"/>
      <c r="FOC1" s="24"/>
      <c r="FOD1" s="24"/>
      <c r="FOE1" s="24"/>
      <c r="FOF1" s="24"/>
      <c r="FOG1" s="24"/>
      <c r="FOH1" s="24"/>
      <c r="FOI1" s="24"/>
      <c r="FOJ1" s="24"/>
      <c r="FOK1" s="24"/>
      <c r="FOL1" s="24"/>
      <c r="FOM1" s="24"/>
      <c r="FON1" s="24"/>
      <c r="FOO1" s="24"/>
      <c r="FOP1" s="24"/>
      <c r="FOQ1" s="24"/>
      <c r="FOR1" s="24"/>
      <c r="FOS1" s="24"/>
      <c r="FOT1" s="24"/>
      <c r="FOU1" s="24"/>
      <c r="FOV1" s="24"/>
      <c r="FOW1" s="24"/>
      <c r="FOX1" s="24"/>
      <c r="FOY1" s="24"/>
      <c r="FOZ1" s="24"/>
      <c r="FPA1" s="24"/>
      <c r="FPB1" s="24"/>
      <c r="FPC1" s="24"/>
      <c r="FPD1" s="24"/>
      <c r="FPE1" s="24"/>
      <c r="FPF1" s="24"/>
      <c r="FPG1" s="24"/>
      <c r="FPH1" s="24"/>
      <c r="FPI1" s="24"/>
      <c r="FPJ1" s="24"/>
      <c r="FPK1" s="24"/>
      <c r="FPL1" s="24"/>
      <c r="FPM1" s="24"/>
      <c r="FPN1" s="24"/>
      <c r="FPO1" s="24"/>
      <c r="FPP1" s="24"/>
      <c r="FPQ1" s="24"/>
      <c r="FPR1" s="24"/>
      <c r="FPS1" s="24"/>
      <c r="FPT1" s="24"/>
      <c r="FPU1" s="24"/>
      <c r="FPV1" s="24"/>
      <c r="FPW1" s="24"/>
      <c r="FPX1" s="24"/>
      <c r="FPY1" s="24"/>
      <c r="FPZ1" s="24"/>
      <c r="FQA1" s="24"/>
      <c r="FQB1" s="24"/>
      <c r="FQC1" s="24"/>
      <c r="FQD1" s="24"/>
      <c r="FQE1" s="24"/>
      <c r="FQF1" s="24"/>
      <c r="FQG1" s="24"/>
      <c r="FQH1" s="24"/>
      <c r="FQI1" s="24"/>
      <c r="FQJ1" s="24"/>
      <c r="FQK1" s="24"/>
      <c r="FQL1" s="24"/>
      <c r="FQM1" s="24"/>
      <c r="FQN1" s="24"/>
      <c r="FQO1" s="24"/>
      <c r="FQP1" s="24"/>
      <c r="FQQ1" s="24"/>
      <c r="FQR1" s="24"/>
      <c r="FQS1" s="24"/>
      <c r="FQT1" s="24"/>
      <c r="FQU1" s="24"/>
      <c r="FQV1" s="24"/>
      <c r="FQW1" s="24"/>
      <c r="FQX1" s="24"/>
      <c r="FQY1" s="24"/>
      <c r="FQZ1" s="24"/>
      <c r="FRA1" s="24"/>
      <c r="FRB1" s="24"/>
      <c r="FRC1" s="24"/>
      <c r="FRD1" s="24"/>
      <c r="FRE1" s="24"/>
      <c r="FRF1" s="24"/>
      <c r="FRG1" s="24"/>
      <c r="FRH1" s="24"/>
      <c r="FRI1" s="24"/>
      <c r="FRJ1" s="24"/>
      <c r="FRK1" s="24"/>
      <c r="FRL1" s="24"/>
      <c r="FRM1" s="24"/>
      <c r="FRN1" s="24"/>
      <c r="FRO1" s="24"/>
      <c r="FRP1" s="24"/>
      <c r="FRQ1" s="24"/>
      <c r="FRR1" s="24"/>
      <c r="FRS1" s="24"/>
      <c r="FRT1" s="24"/>
      <c r="FRU1" s="24"/>
      <c r="FRV1" s="24"/>
      <c r="FRW1" s="24"/>
      <c r="FRX1" s="24"/>
      <c r="FRY1" s="24"/>
      <c r="FRZ1" s="24"/>
      <c r="FSA1" s="24"/>
      <c r="FSB1" s="24"/>
      <c r="FSC1" s="24"/>
      <c r="FSD1" s="24"/>
      <c r="FSE1" s="24"/>
      <c r="FSF1" s="24"/>
      <c r="FSG1" s="24"/>
      <c r="FSH1" s="24"/>
      <c r="FSI1" s="24"/>
      <c r="FSJ1" s="24"/>
      <c r="FSK1" s="24"/>
      <c r="FSL1" s="24"/>
      <c r="FSM1" s="24"/>
      <c r="FSN1" s="24"/>
      <c r="FSO1" s="24"/>
      <c r="FSP1" s="24"/>
      <c r="FSQ1" s="24"/>
      <c r="FSR1" s="24"/>
      <c r="FSS1" s="24"/>
      <c r="FST1" s="24"/>
      <c r="FSU1" s="24"/>
      <c r="FSV1" s="24"/>
      <c r="FSW1" s="24"/>
      <c r="FSX1" s="24"/>
      <c r="FSY1" s="24"/>
      <c r="FSZ1" s="24"/>
      <c r="FTA1" s="24"/>
      <c r="FTB1" s="24"/>
      <c r="FTC1" s="24"/>
      <c r="FTD1" s="24"/>
      <c r="FTE1" s="24"/>
      <c r="FTF1" s="24"/>
      <c r="FTG1" s="24"/>
      <c r="FTH1" s="24"/>
      <c r="FTI1" s="24"/>
      <c r="FTJ1" s="24"/>
      <c r="FTK1" s="24"/>
      <c r="FTL1" s="24"/>
      <c r="FTM1" s="24"/>
      <c r="FTN1" s="24"/>
      <c r="FTO1" s="24"/>
      <c r="FTP1" s="24"/>
      <c r="FTQ1" s="24"/>
      <c r="FTR1" s="24"/>
      <c r="FTS1" s="24"/>
      <c r="FTT1" s="24"/>
      <c r="FTU1" s="24"/>
      <c r="FTV1" s="24"/>
      <c r="FTW1" s="24"/>
      <c r="FTX1" s="24"/>
      <c r="FTY1" s="24"/>
      <c r="FTZ1" s="24"/>
      <c r="FUA1" s="24"/>
      <c r="FUB1" s="24"/>
      <c r="FUC1" s="24"/>
      <c r="FUD1" s="24"/>
      <c r="FUE1" s="24"/>
      <c r="FUF1" s="24"/>
      <c r="FUG1" s="24"/>
      <c r="FUH1" s="24"/>
      <c r="FUI1" s="24"/>
      <c r="FUJ1" s="24"/>
      <c r="FUK1" s="24"/>
      <c r="FUL1" s="24"/>
      <c r="FUM1" s="24"/>
      <c r="FUN1" s="24"/>
      <c r="FUO1" s="24"/>
      <c r="FUP1" s="24"/>
      <c r="FUQ1" s="24"/>
      <c r="FUR1" s="24"/>
      <c r="FUS1" s="24"/>
      <c r="FUT1" s="24"/>
      <c r="FUU1" s="24"/>
      <c r="FUV1" s="24"/>
      <c r="FUW1" s="24"/>
      <c r="FUX1" s="24"/>
      <c r="FUY1" s="24"/>
      <c r="FUZ1" s="24"/>
      <c r="FVA1" s="24"/>
      <c r="FVB1" s="24"/>
      <c r="FVC1" s="24"/>
      <c r="FVD1" s="24"/>
      <c r="FVE1" s="24"/>
      <c r="FVF1" s="24"/>
      <c r="FVG1" s="24"/>
      <c r="FVH1" s="24"/>
      <c r="FVI1" s="24"/>
      <c r="FVJ1" s="24"/>
      <c r="FVK1" s="24"/>
      <c r="FVL1" s="24"/>
      <c r="FVM1" s="24"/>
      <c r="FVN1" s="24"/>
      <c r="FVO1" s="24"/>
      <c r="FVP1" s="24"/>
      <c r="FVQ1" s="24"/>
      <c r="FVR1" s="24"/>
      <c r="FVS1" s="24"/>
      <c r="FVT1" s="24"/>
      <c r="FVU1" s="24"/>
      <c r="FVV1" s="24"/>
      <c r="FVW1" s="24"/>
      <c r="FVX1" s="24"/>
      <c r="FVY1" s="24"/>
      <c r="FVZ1" s="24"/>
      <c r="FWA1" s="24"/>
      <c r="FWB1" s="24"/>
      <c r="FWC1" s="24"/>
      <c r="FWD1" s="24"/>
      <c r="FWE1" s="24"/>
      <c r="FWF1" s="24"/>
      <c r="FWG1" s="24"/>
      <c r="FWH1" s="24"/>
      <c r="FWI1" s="24"/>
      <c r="FWJ1" s="24"/>
      <c r="FWK1" s="24"/>
      <c r="FWL1" s="24"/>
      <c r="FWM1" s="24"/>
      <c r="FWN1" s="24"/>
      <c r="FWO1" s="24"/>
      <c r="FWP1" s="24"/>
      <c r="FWQ1" s="24"/>
      <c r="FWR1" s="24"/>
      <c r="FWS1" s="24"/>
      <c r="FWT1" s="24"/>
      <c r="FWU1" s="24"/>
      <c r="FWV1" s="24"/>
      <c r="FWW1" s="24"/>
      <c r="FWX1" s="24"/>
      <c r="FWY1" s="24"/>
      <c r="FWZ1" s="24"/>
      <c r="FXA1" s="24"/>
      <c r="FXB1" s="24"/>
      <c r="FXC1" s="24"/>
      <c r="FXD1" s="24"/>
      <c r="FXE1" s="24"/>
      <c r="FXF1" s="24"/>
      <c r="FXG1" s="24"/>
      <c r="FXH1" s="24"/>
      <c r="FXI1" s="24"/>
      <c r="FXJ1" s="24"/>
      <c r="FXK1" s="24"/>
      <c r="FXL1" s="24"/>
      <c r="FXM1" s="24"/>
      <c r="FXN1" s="24"/>
      <c r="FXO1" s="24"/>
      <c r="FXP1" s="24"/>
      <c r="FXQ1" s="24"/>
      <c r="FXR1" s="24"/>
      <c r="FXS1" s="24"/>
      <c r="FXT1" s="24"/>
      <c r="FXU1" s="24"/>
      <c r="FXV1" s="24"/>
      <c r="FXW1" s="24"/>
      <c r="FXX1" s="24"/>
      <c r="FXY1" s="24"/>
      <c r="FXZ1" s="24"/>
      <c r="FYA1" s="24"/>
      <c r="FYB1" s="24"/>
      <c r="FYC1" s="24"/>
      <c r="FYD1" s="24"/>
      <c r="FYE1" s="24"/>
      <c r="FYF1" s="24"/>
      <c r="FYG1" s="24"/>
      <c r="FYH1" s="24"/>
      <c r="FYI1" s="24"/>
      <c r="FYJ1" s="24"/>
      <c r="FYK1" s="24"/>
      <c r="FYL1" s="24"/>
      <c r="FYM1" s="24"/>
      <c r="FYN1" s="24"/>
      <c r="FYO1" s="24"/>
      <c r="FYP1" s="24"/>
      <c r="FYQ1" s="24"/>
      <c r="FYR1" s="24"/>
      <c r="FYS1" s="24"/>
      <c r="FYT1" s="24"/>
      <c r="FYU1" s="24"/>
      <c r="FYV1" s="24"/>
      <c r="FYW1" s="24"/>
      <c r="FYX1" s="24"/>
      <c r="FYY1" s="24"/>
      <c r="FYZ1" s="24"/>
      <c r="FZA1" s="24"/>
      <c r="FZB1" s="24"/>
      <c r="FZC1" s="24"/>
      <c r="FZD1" s="24"/>
      <c r="FZE1" s="24"/>
      <c r="FZF1" s="24"/>
      <c r="FZG1" s="24"/>
      <c r="FZH1" s="24"/>
      <c r="FZI1" s="24"/>
      <c r="FZJ1" s="24"/>
      <c r="FZK1" s="24"/>
      <c r="FZL1" s="24"/>
      <c r="FZM1" s="24"/>
      <c r="FZN1" s="24"/>
      <c r="FZO1" s="24"/>
      <c r="FZP1" s="24"/>
      <c r="FZQ1" s="24"/>
      <c r="FZR1" s="24"/>
      <c r="FZS1" s="24"/>
      <c r="FZT1" s="24"/>
      <c r="FZU1" s="24"/>
      <c r="FZV1" s="24"/>
      <c r="FZW1" s="24"/>
      <c r="FZX1" s="24"/>
      <c r="FZY1" s="24"/>
      <c r="FZZ1" s="24"/>
      <c r="GAA1" s="24"/>
      <c r="GAB1" s="24"/>
      <c r="GAC1" s="24"/>
      <c r="GAD1" s="24"/>
      <c r="GAE1" s="24"/>
      <c r="GAF1" s="24"/>
      <c r="GAG1" s="24"/>
      <c r="GAH1" s="24"/>
      <c r="GAI1" s="24"/>
      <c r="GAJ1" s="24"/>
      <c r="GAK1" s="24"/>
      <c r="GAL1" s="24"/>
      <c r="GAM1" s="24"/>
      <c r="GAN1" s="24"/>
      <c r="GAO1" s="24"/>
      <c r="GAP1" s="24"/>
      <c r="GAQ1" s="24"/>
      <c r="GAR1" s="24"/>
      <c r="GAS1" s="24"/>
      <c r="GAT1" s="24"/>
      <c r="GAU1" s="24"/>
      <c r="GAV1" s="24"/>
      <c r="GAW1" s="24"/>
      <c r="GAX1" s="24"/>
      <c r="GAY1" s="24"/>
      <c r="GAZ1" s="24"/>
      <c r="GBA1" s="24"/>
      <c r="GBB1" s="24"/>
      <c r="GBC1" s="24"/>
      <c r="GBD1" s="24"/>
      <c r="GBE1" s="24"/>
      <c r="GBF1" s="24"/>
      <c r="GBG1" s="24"/>
      <c r="GBH1" s="24"/>
      <c r="GBI1" s="24"/>
      <c r="GBJ1" s="24"/>
      <c r="GBK1" s="24"/>
      <c r="GBL1" s="24"/>
      <c r="GBM1" s="24"/>
      <c r="GBN1" s="24"/>
      <c r="GBO1" s="24"/>
      <c r="GBP1" s="24"/>
      <c r="GBQ1" s="24"/>
      <c r="GBR1" s="24"/>
      <c r="GBS1" s="24"/>
      <c r="GBT1" s="24"/>
      <c r="GBU1" s="24"/>
      <c r="GBV1" s="24"/>
      <c r="GBW1" s="24"/>
      <c r="GBX1" s="24"/>
      <c r="GBY1" s="24"/>
      <c r="GBZ1" s="24"/>
      <c r="GCA1" s="24"/>
      <c r="GCB1" s="24"/>
      <c r="GCC1" s="24"/>
      <c r="GCD1" s="24"/>
      <c r="GCE1" s="24"/>
      <c r="GCF1" s="24"/>
      <c r="GCG1" s="24"/>
      <c r="GCH1" s="24"/>
      <c r="GCI1" s="24"/>
      <c r="GCJ1" s="24"/>
      <c r="GCK1" s="24"/>
      <c r="GCL1" s="24"/>
      <c r="GCM1" s="24"/>
      <c r="GCN1" s="24"/>
      <c r="GCO1" s="24"/>
      <c r="GCP1" s="24"/>
      <c r="GCQ1" s="24"/>
      <c r="GCR1" s="24"/>
      <c r="GCS1" s="24"/>
      <c r="GCT1" s="24"/>
      <c r="GCU1" s="24"/>
      <c r="GCV1" s="24"/>
      <c r="GCW1" s="24"/>
      <c r="GCX1" s="24"/>
      <c r="GCY1" s="24"/>
      <c r="GCZ1" s="24"/>
      <c r="GDA1" s="24"/>
      <c r="GDB1" s="24"/>
      <c r="GDC1" s="24"/>
      <c r="GDD1" s="24"/>
      <c r="GDE1" s="24"/>
      <c r="GDF1" s="24"/>
      <c r="GDG1" s="24"/>
      <c r="GDH1" s="24"/>
      <c r="GDI1" s="24"/>
      <c r="GDJ1" s="24"/>
      <c r="GDK1" s="24"/>
      <c r="GDL1" s="24"/>
      <c r="GDM1" s="24"/>
      <c r="GDN1" s="24"/>
      <c r="GDO1" s="24"/>
      <c r="GDP1" s="24"/>
      <c r="GDQ1" s="24"/>
      <c r="GDR1" s="24"/>
      <c r="GDS1" s="24"/>
      <c r="GDT1" s="24"/>
      <c r="GDU1" s="24"/>
      <c r="GDV1" s="24"/>
      <c r="GDW1" s="24"/>
      <c r="GDX1" s="24"/>
      <c r="GDY1" s="24"/>
      <c r="GDZ1" s="24"/>
      <c r="GEA1" s="24"/>
      <c r="GEB1" s="24"/>
      <c r="GEC1" s="24"/>
      <c r="GED1" s="24"/>
      <c r="GEE1" s="24"/>
      <c r="GEF1" s="24"/>
      <c r="GEG1" s="24"/>
      <c r="GEH1" s="24"/>
      <c r="GEI1" s="24"/>
      <c r="GEJ1" s="24"/>
      <c r="GEK1" s="24"/>
      <c r="GEL1" s="24"/>
      <c r="GEM1" s="24"/>
      <c r="GEN1" s="24"/>
      <c r="GEO1" s="24"/>
      <c r="GEP1" s="24"/>
      <c r="GEQ1" s="24"/>
      <c r="GER1" s="24"/>
      <c r="GES1" s="24"/>
      <c r="GET1" s="24"/>
      <c r="GEU1" s="24"/>
      <c r="GEV1" s="24"/>
      <c r="GEW1" s="24"/>
      <c r="GEX1" s="24"/>
      <c r="GEY1" s="24"/>
      <c r="GEZ1" s="24"/>
      <c r="GFA1" s="24"/>
      <c r="GFB1" s="24"/>
      <c r="GFC1" s="24"/>
      <c r="GFD1" s="24"/>
      <c r="GFE1" s="24"/>
      <c r="GFF1" s="24"/>
      <c r="GFG1" s="24"/>
      <c r="GFH1" s="24"/>
      <c r="GFI1" s="24"/>
      <c r="GFJ1" s="24"/>
      <c r="GFK1" s="24"/>
      <c r="GFL1" s="24"/>
      <c r="GFM1" s="24"/>
      <c r="GFN1" s="24"/>
      <c r="GFO1" s="24"/>
      <c r="GFP1" s="24"/>
      <c r="GFQ1" s="24"/>
      <c r="GFR1" s="24"/>
      <c r="GFS1" s="24"/>
      <c r="GFT1" s="24"/>
      <c r="GFU1" s="24"/>
      <c r="GFV1" s="24"/>
      <c r="GFW1" s="24"/>
      <c r="GFX1" s="24"/>
      <c r="GFY1" s="24"/>
      <c r="GFZ1" s="24"/>
      <c r="GGA1" s="24"/>
      <c r="GGB1" s="24"/>
      <c r="GGC1" s="24"/>
      <c r="GGD1" s="24"/>
      <c r="GGE1" s="24"/>
      <c r="GGF1" s="24"/>
      <c r="GGG1" s="24"/>
      <c r="GGH1" s="24"/>
      <c r="GGI1" s="24"/>
      <c r="GGJ1" s="24"/>
      <c r="GGK1" s="24"/>
      <c r="GGL1" s="24"/>
      <c r="GGM1" s="24"/>
      <c r="GGN1" s="24"/>
      <c r="GGO1" s="24"/>
      <c r="GGP1" s="24"/>
      <c r="GGQ1" s="24"/>
      <c r="GGR1" s="24"/>
      <c r="GGS1" s="24"/>
      <c r="GGT1" s="24"/>
      <c r="GGU1" s="24"/>
      <c r="GGV1" s="24"/>
      <c r="GGW1" s="24"/>
      <c r="GGX1" s="24"/>
      <c r="GGY1" s="24"/>
      <c r="GGZ1" s="24"/>
      <c r="GHA1" s="24"/>
      <c r="GHB1" s="24"/>
      <c r="GHC1" s="24"/>
      <c r="GHD1" s="24"/>
      <c r="GHE1" s="24"/>
      <c r="GHF1" s="24"/>
      <c r="GHG1" s="24"/>
      <c r="GHH1" s="24"/>
      <c r="GHI1" s="24"/>
      <c r="GHJ1" s="24"/>
      <c r="GHK1" s="24"/>
      <c r="GHL1" s="24"/>
      <c r="GHM1" s="24"/>
      <c r="GHN1" s="24"/>
      <c r="GHO1" s="24"/>
      <c r="GHP1" s="24"/>
      <c r="GHQ1" s="24"/>
      <c r="GHR1" s="24"/>
      <c r="GHS1" s="24"/>
      <c r="GHT1" s="24"/>
      <c r="GHU1" s="24"/>
      <c r="GHV1" s="24"/>
      <c r="GHW1" s="24"/>
      <c r="GHX1" s="24"/>
      <c r="GHY1" s="24"/>
      <c r="GHZ1" s="24"/>
      <c r="GIA1" s="24"/>
      <c r="GIB1" s="24"/>
      <c r="GIC1" s="24"/>
      <c r="GID1" s="24"/>
      <c r="GIE1" s="24"/>
      <c r="GIF1" s="24"/>
      <c r="GIG1" s="24"/>
      <c r="GIH1" s="24"/>
      <c r="GII1" s="24"/>
      <c r="GIJ1" s="24"/>
      <c r="GIK1" s="24"/>
      <c r="GIL1" s="24"/>
      <c r="GIM1" s="24"/>
      <c r="GIN1" s="24"/>
      <c r="GIO1" s="24"/>
      <c r="GIP1" s="24"/>
      <c r="GIQ1" s="24"/>
      <c r="GIR1" s="24"/>
      <c r="GIS1" s="24"/>
      <c r="GIT1" s="24"/>
      <c r="GIU1" s="24"/>
      <c r="GIV1" s="24"/>
      <c r="GIW1" s="24"/>
      <c r="GIX1" s="24"/>
      <c r="GIY1" s="24"/>
      <c r="GIZ1" s="24"/>
      <c r="GJA1" s="24"/>
      <c r="GJB1" s="24"/>
      <c r="GJC1" s="24"/>
      <c r="GJD1" s="24"/>
      <c r="GJE1" s="24"/>
      <c r="GJF1" s="24"/>
      <c r="GJG1" s="24"/>
      <c r="GJH1" s="24"/>
      <c r="GJI1" s="24"/>
      <c r="GJJ1" s="24"/>
      <c r="GJK1" s="24"/>
      <c r="GJL1" s="24"/>
      <c r="GJM1" s="24"/>
      <c r="GJN1" s="24"/>
      <c r="GJO1" s="24"/>
      <c r="GJP1" s="24"/>
      <c r="GJQ1" s="24"/>
      <c r="GJR1" s="24"/>
      <c r="GJS1" s="24"/>
      <c r="GJT1" s="24"/>
      <c r="GJU1" s="24"/>
      <c r="GJV1" s="24"/>
      <c r="GJW1" s="24"/>
      <c r="GJX1" s="24"/>
      <c r="GJY1" s="24"/>
      <c r="GJZ1" s="24"/>
      <c r="GKA1" s="24"/>
      <c r="GKB1" s="24"/>
      <c r="GKC1" s="24"/>
      <c r="GKD1" s="24"/>
      <c r="GKE1" s="24"/>
      <c r="GKF1" s="24"/>
      <c r="GKG1" s="24"/>
      <c r="GKH1" s="24"/>
      <c r="GKI1" s="24"/>
      <c r="GKJ1" s="24"/>
      <c r="GKK1" s="24"/>
      <c r="GKL1" s="24"/>
      <c r="GKM1" s="24"/>
      <c r="GKN1" s="24"/>
      <c r="GKO1" s="24"/>
      <c r="GKP1" s="24"/>
      <c r="GKQ1" s="24"/>
      <c r="GKR1" s="24"/>
      <c r="GKS1" s="24"/>
      <c r="GKT1" s="24"/>
      <c r="GKU1" s="24"/>
      <c r="GKV1" s="24"/>
      <c r="GKW1" s="24"/>
      <c r="GKX1" s="24"/>
      <c r="GKY1" s="24"/>
      <c r="GKZ1" s="24"/>
      <c r="GLA1" s="24"/>
      <c r="GLB1" s="24"/>
      <c r="GLC1" s="24"/>
      <c r="GLD1" s="24"/>
      <c r="GLE1" s="24"/>
      <c r="GLF1" s="24"/>
      <c r="GLG1" s="24"/>
      <c r="GLH1" s="24"/>
      <c r="GLI1" s="24"/>
      <c r="GLJ1" s="24"/>
      <c r="GLK1" s="24"/>
      <c r="GLL1" s="24"/>
      <c r="GLM1" s="24"/>
      <c r="GLN1" s="24"/>
      <c r="GLO1" s="24"/>
      <c r="GLP1" s="24"/>
      <c r="GLQ1" s="24"/>
      <c r="GLR1" s="24"/>
      <c r="GLS1" s="24"/>
      <c r="GLT1" s="24"/>
      <c r="GLU1" s="24"/>
      <c r="GLV1" s="24"/>
      <c r="GLW1" s="24"/>
      <c r="GLX1" s="24"/>
      <c r="GLY1" s="24"/>
      <c r="GLZ1" s="24"/>
      <c r="GMA1" s="24"/>
      <c r="GMB1" s="24"/>
      <c r="GMC1" s="24"/>
      <c r="GMD1" s="24"/>
      <c r="GME1" s="24"/>
      <c r="GMF1" s="24"/>
      <c r="GMG1" s="24"/>
      <c r="GMH1" s="24"/>
      <c r="GMI1" s="24"/>
      <c r="GMJ1" s="24"/>
      <c r="GMK1" s="24"/>
      <c r="GML1" s="24"/>
      <c r="GMM1" s="24"/>
      <c r="GMN1" s="24"/>
      <c r="GMO1" s="24"/>
      <c r="GMP1" s="24"/>
      <c r="GMQ1" s="24"/>
      <c r="GMR1" s="24"/>
      <c r="GMS1" s="24"/>
      <c r="GMT1" s="24"/>
      <c r="GMU1" s="24"/>
      <c r="GMV1" s="24"/>
      <c r="GMW1" s="24"/>
      <c r="GMX1" s="24"/>
      <c r="GMY1" s="24"/>
      <c r="GMZ1" s="24"/>
      <c r="GNA1" s="24"/>
      <c r="GNB1" s="24"/>
      <c r="GNC1" s="24"/>
      <c r="GND1" s="24"/>
      <c r="GNE1" s="24"/>
      <c r="GNF1" s="24"/>
      <c r="GNG1" s="24"/>
      <c r="GNH1" s="24"/>
      <c r="GNI1" s="24"/>
      <c r="GNJ1" s="24"/>
      <c r="GNK1" s="24"/>
      <c r="GNL1" s="24"/>
      <c r="GNM1" s="24"/>
      <c r="GNN1" s="24"/>
      <c r="GNO1" s="24"/>
      <c r="GNP1" s="24"/>
      <c r="GNQ1" s="24"/>
      <c r="GNR1" s="24"/>
      <c r="GNS1" s="24"/>
      <c r="GNT1" s="24"/>
      <c r="GNU1" s="24"/>
      <c r="GNV1" s="24"/>
      <c r="GNW1" s="24"/>
      <c r="GNX1" s="24"/>
      <c r="GNY1" s="24"/>
      <c r="GNZ1" s="24"/>
      <c r="GOA1" s="24"/>
      <c r="GOB1" s="24"/>
      <c r="GOC1" s="24"/>
      <c r="GOD1" s="24"/>
      <c r="GOE1" s="24"/>
      <c r="GOF1" s="24"/>
      <c r="GOG1" s="24"/>
      <c r="GOH1" s="24"/>
      <c r="GOI1" s="24"/>
      <c r="GOJ1" s="24"/>
      <c r="GOK1" s="24"/>
      <c r="GOL1" s="24"/>
      <c r="GOM1" s="24"/>
      <c r="GON1" s="24"/>
      <c r="GOO1" s="24"/>
      <c r="GOP1" s="24"/>
      <c r="GOQ1" s="24"/>
      <c r="GOR1" s="24"/>
      <c r="GOS1" s="24"/>
      <c r="GOT1" s="24"/>
      <c r="GOU1" s="24"/>
      <c r="GOV1" s="24"/>
      <c r="GOW1" s="24"/>
      <c r="GOX1" s="24"/>
      <c r="GOY1" s="24"/>
      <c r="GOZ1" s="24"/>
      <c r="GPA1" s="24"/>
      <c r="GPB1" s="24"/>
      <c r="GPC1" s="24"/>
      <c r="GPD1" s="24"/>
      <c r="GPE1" s="24"/>
      <c r="GPF1" s="24"/>
      <c r="GPG1" s="24"/>
      <c r="GPH1" s="24"/>
      <c r="GPI1" s="24"/>
      <c r="GPJ1" s="24"/>
      <c r="GPK1" s="24"/>
      <c r="GPL1" s="24"/>
      <c r="GPM1" s="24"/>
      <c r="GPN1" s="24"/>
      <c r="GPO1" s="24"/>
      <c r="GPP1" s="24"/>
      <c r="GPQ1" s="24"/>
      <c r="GPR1" s="24"/>
      <c r="GPS1" s="24"/>
      <c r="GPT1" s="24"/>
      <c r="GPU1" s="24"/>
      <c r="GPV1" s="24"/>
      <c r="GPW1" s="24"/>
      <c r="GPX1" s="24"/>
      <c r="GPY1" s="24"/>
      <c r="GPZ1" s="24"/>
      <c r="GQA1" s="24"/>
      <c r="GQB1" s="24"/>
      <c r="GQC1" s="24"/>
      <c r="GQD1" s="24"/>
      <c r="GQE1" s="24"/>
      <c r="GQF1" s="24"/>
      <c r="GQG1" s="24"/>
      <c r="GQH1" s="24"/>
      <c r="GQI1" s="24"/>
      <c r="GQJ1" s="24"/>
      <c r="GQK1" s="24"/>
      <c r="GQL1" s="24"/>
      <c r="GQM1" s="24"/>
      <c r="GQN1" s="24"/>
      <c r="GQO1" s="24"/>
      <c r="GQP1" s="24"/>
      <c r="GQQ1" s="24"/>
      <c r="GQR1" s="24"/>
      <c r="GQS1" s="24"/>
      <c r="GQT1" s="24"/>
      <c r="GQU1" s="24"/>
      <c r="GQV1" s="24"/>
      <c r="GQW1" s="24"/>
      <c r="GQX1" s="24"/>
      <c r="GQY1" s="24"/>
      <c r="GQZ1" s="24"/>
      <c r="GRA1" s="24"/>
      <c r="GRB1" s="24"/>
      <c r="GRC1" s="24"/>
      <c r="GRD1" s="24"/>
      <c r="GRE1" s="24"/>
      <c r="GRF1" s="24"/>
      <c r="GRG1" s="24"/>
      <c r="GRH1" s="24"/>
      <c r="GRI1" s="24"/>
      <c r="GRJ1" s="24"/>
      <c r="GRK1" s="24"/>
      <c r="GRL1" s="24"/>
      <c r="GRM1" s="24"/>
      <c r="GRN1" s="24"/>
      <c r="GRO1" s="24"/>
      <c r="GRP1" s="24"/>
      <c r="GRQ1" s="24"/>
      <c r="GRR1" s="24"/>
      <c r="GRS1" s="24"/>
      <c r="GRT1" s="24"/>
      <c r="GRU1" s="24"/>
      <c r="GRV1" s="24"/>
      <c r="GRW1" s="24"/>
      <c r="GRX1" s="24"/>
      <c r="GRY1" s="24"/>
      <c r="GRZ1" s="24"/>
      <c r="GSA1" s="24"/>
      <c r="GSB1" s="24"/>
      <c r="GSC1" s="24"/>
      <c r="GSD1" s="24"/>
      <c r="GSE1" s="24"/>
      <c r="GSF1" s="24"/>
      <c r="GSG1" s="24"/>
      <c r="GSH1" s="24"/>
      <c r="GSI1" s="24"/>
      <c r="GSJ1" s="24"/>
      <c r="GSK1" s="24"/>
      <c r="GSL1" s="24"/>
      <c r="GSM1" s="24"/>
      <c r="GSN1" s="24"/>
      <c r="GSO1" s="24"/>
      <c r="GSP1" s="24"/>
      <c r="GSQ1" s="24"/>
      <c r="GSR1" s="24"/>
      <c r="GSS1" s="24"/>
      <c r="GST1" s="24"/>
      <c r="GSU1" s="24"/>
      <c r="GSV1" s="24"/>
      <c r="GSW1" s="24"/>
      <c r="GSX1" s="24"/>
      <c r="GSY1" s="24"/>
      <c r="GSZ1" s="24"/>
      <c r="GTA1" s="24"/>
      <c r="GTB1" s="24"/>
      <c r="GTC1" s="24"/>
      <c r="GTD1" s="24"/>
      <c r="GTE1" s="24"/>
      <c r="GTF1" s="24"/>
      <c r="GTG1" s="24"/>
      <c r="GTH1" s="24"/>
      <c r="GTI1" s="24"/>
      <c r="GTJ1" s="24"/>
      <c r="GTK1" s="24"/>
      <c r="GTL1" s="24"/>
      <c r="GTM1" s="24"/>
      <c r="GTN1" s="24"/>
      <c r="GTO1" s="24"/>
      <c r="GTP1" s="24"/>
      <c r="GTQ1" s="24"/>
      <c r="GTR1" s="24"/>
      <c r="GTS1" s="24"/>
      <c r="GTT1" s="24"/>
      <c r="GTU1" s="24"/>
      <c r="GTV1" s="24"/>
      <c r="GTW1" s="24"/>
      <c r="GTX1" s="24"/>
      <c r="GTY1" s="24"/>
      <c r="GTZ1" s="24"/>
      <c r="GUA1" s="24"/>
      <c r="GUB1" s="24"/>
      <c r="GUC1" s="24"/>
      <c r="GUD1" s="24"/>
      <c r="GUE1" s="24"/>
      <c r="GUF1" s="24"/>
      <c r="GUG1" s="24"/>
      <c r="GUH1" s="24"/>
      <c r="GUI1" s="24"/>
      <c r="GUJ1" s="24"/>
      <c r="GUK1" s="24"/>
      <c r="GUL1" s="24"/>
      <c r="GUM1" s="24"/>
      <c r="GUN1" s="24"/>
      <c r="GUO1" s="24"/>
      <c r="GUP1" s="24"/>
      <c r="GUQ1" s="24"/>
      <c r="GUR1" s="24"/>
      <c r="GUS1" s="24"/>
      <c r="GUT1" s="24"/>
      <c r="GUU1" s="24"/>
      <c r="GUV1" s="24"/>
      <c r="GUW1" s="24"/>
      <c r="GUX1" s="24"/>
      <c r="GUY1" s="24"/>
      <c r="GUZ1" s="24"/>
      <c r="GVA1" s="24"/>
      <c r="GVB1" s="24"/>
      <c r="GVC1" s="24"/>
      <c r="GVD1" s="24"/>
      <c r="GVE1" s="24"/>
      <c r="GVF1" s="24"/>
      <c r="GVG1" s="24"/>
      <c r="GVH1" s="24"/>
      <c r="GVI1" s="24"/>
      <c r="GVJ1" s="24"/>
      <c r="GVK1" s="24"/>
      <c r="GVL1" s="24"/>
      <c r="GVM1" s="24"/>
      <c r="GVN1" s="24"/>
      <c r="GVO1" s="24"/>
      <c r="GVP1" s="24"/>
      <c r="GVQ1" s="24"/>
      <c r="GVR1" s="24"/>
      <c r="GVS1" s="24"/>
      <c r="GVT1" s="24"/>
      <c r="GVU1" s="24"/>
      <c r="GVV1" s="24"/>
      <c r="GVW1" s="24"/>
      <c r="GVX1" s="24"/>
      <c r="GVY1" s="24"/>
      <c r="GVZ1" s="24"/>
      <c r="GWA1" s="24"/>
      <c r="GWB1" s="24"/>
      <c r="GWC1" s="24"/>
      <c r="GWD1" s="24"/>
      <c r="GWE1" s="24"/>
      <c r="GWF1" s="24"/>
      <c r="GWG1" s="24"/>
      <c r="GWH1" s="24"/>
      <c r="GWI1" s="24"/>
      <c r="GWJ1" s="24"/>
      <c r="GWK1" s="24"/>
      <c r="GWL1" s="24"/>
      <c r="GWM1" s="24"/>
      <c r="GWN1" s="24"/>
      <c r="GWO1" s="24"/>
      <c r="GWP1" s="24"/>
      <c r="GWQ1" s="24"/>
      <c r="GWR1" s="24"/>
      <c r="GWS1" s="24"/>
      <c r="GWT1" s="24"/>
      <c r="GWU1" s="24"/>
      <c r="GWV1" s="24"/>
      <c r="GWW1" s="24"/>
      <c r="GWX1" s="24"/>
      <c r="GWY1" s="24"/>
      <c r="GWZ1" s="24"/>
      <c r="GXA1" s="24"/>
      <c r="GXB1" s="24"/>
      <c r="GXC1" s="24"/>
      <c r="GXD1" s="24"/>
      <c r="GXE1" s="24"/>
      <c r="GXF1" s="24"/>
      <c r="GXG1" s="24"/>
      <c r="GXH1" s="24"/>
      <c r="GXI1" s="24"/>
      <c r="GXJ1" s="24"/>
      <c r="GXK1" s="24"/>
      <c r="GXL1" s="24"/>
      <c r="GXM1" s="24"/>
      <c r="GXN1" s="24"/>
      <c r="GXO1" s="24"/>
      <c r="GXP1" s="24"/>
      <c r="GXQ1" s="24"/>
      <c r="GXR1" s="24"/>
      <c r="GXS1" s="24"/>
      <c r="GXT1" s="24"/>
      <c r="GXU1" s="24"/>
      <c r="GXV1" s="24"/>
      <c r="GXW1" s="24"/>
      <c r="GXX1" s="24"/>
      <c r="GXY1" s="24"/>
      <c r="GXZ1" s="24"/>
      <c r="GYA1" s="24"/>
      <c r="GYB1" s="24"/>
      <c r="GYC1" s="24"/>
      <c r="GYD1" s="24"/>
      <c r="GYE1" s="24"/>
      <c r="GYF1" s="24"/>
      <c r="GYG1" s="24"/>
      <c r="GYH1" s="24"/>
      <c r="GYI1" s="24"/>
      <c r="GYJ1" s="24"/>
      <c r="GYK1" s="24"/>
      <c r="GYL1" s="24"/>
      <c r="GYM1" s="24"/>
      <c r="GYN1" s="24"/>
      <c r="GYO1" s="24"/>
      <c r="GYP1" s="24"/>
      <c r="GYQ1" s="24"/>
      <c r="GYR1" s="24"/>
      <c r="GYS1" s="24"/>
      <c r="GYT1" s="24"/>
      <c r="GYU1" s="24"/>
      <c r="GYV1" s="24"/>
      <c r="GYW1" s="24"/>
      <c r="GYX1" s="24"/>
      <c r="GYY1" s="24"/>
      <c r="GYZ1" s="24"/>
      <c r="GZA1" s="24"/>
      <c r="GZB1" s="24"/>
      <c r="GZC1" s="24"/>
      <c r="GZD1" s="24"/>
      <c r="GZE1" s="24"/>
      <c r="GZF1" s="24"/>
      <c r="GZG1" s="24"/>
      <c r="GZH1" s="24"/>
      <c r="GZI1" s="24"/>
      <c r="GZJ1" s="24"/>
      <c r="GZK1" s="24"/>
      <c r="GZL1" s="24"/>
      <c r="GZM1" s="24"/>
      <c r="GZN1" s="24"/>
      <c r="GZO1" s="24"/>
      <c r="GZP1" s="24"/>
      <c r="GZQ1" s="24"/>
      <c r="GZR1" s="24"/>
      <c r="GZS1" s="24"/>
      <c r="GZT1" s="24"/>
      <c r="GZU1" s="24"/>
      <c r="GZV1" s="24"/>
      <c r="GZW1" s="24"/>
      <c r="GZX1" s="24"/>
      <c r="GZY1" s="24"/>
      <c r="GZZ1" s="24"/>
      <c r="HAA1" s="24"/>
      <c r="HAB1" s="24"/>
      <c r="HAC1" s="24"/>
      <c r="HAD1" s="24"/>
      <c r="HAE1" s="24"/>
      <c r="HAF1" s="24"/>
      <c r="HAG1" s="24"/>
      <c r="HAH1" s="24"/>
      <c r="HAI1" s="24"/>
      <c r="HAJ1" s="24"/>
      <c r="HAK1" s="24"/>
      <c r="HAL1" s="24"/>
      <c r="HAM1" s="24"/>
      <c r="HAN1" s="24"/>
      <c r="HAO1" s="24"/>
      <c r="HAP1" s="24"/>
      <c r="HAQ1" s="24"/>
      <c r="HAR1" s="24"/>
      <c r="HAS1" s="24"/>
      <c r="HAT1" s="24"/>
      <c r="HAU1" s="24"/>
      <c r="HAV1" s="24"/>
      <c r="HAW1" s="24"/>
      <c r="HAX1" s="24"/>
      <c r="HAY1" s="24"/>
      <c r="HAZ1" s="24"/>
      <c r="HBA1" s="24"/>
      <c r="HBB1" s="24"/>
      <c r="HBC1" s="24"/>
      <c r="HBD1" s="24"/>
      <c r="HBE1" s="24"/>
      <c r="HBF1" s="24"/>
      <c r="HBG1" s="24"/>
      <c r="HBH1" s="24"/>
      <c r="HBI1" s="24"/>
      <c r="HBJ1" s="24"/>
      <c r="HBK1" s="24"/>
      <c r="HBL1" s="24"/>
      <c r="HBM1" s="24"/>
      <c r="HBN1" s="24"/>
      <c r="HBO1" s="24"/>
      <c r="HBP1" s="24"/>
      <c r="HBQ1" s="24"/>
      <c r="HBR1" s="24"/>
      <c r="HBS1" s="24"/>
      <c r="HBT1" s="24"/>
      <c r="HBU1" s="24"/>
      <c r="HBV1" s="24"/>
      <c r="HBW1" s="24"/>
      <c r="HBX1" s="24"/>
      <c r="HBY1" s="24"/>
      <c r="HBZ1" s="24"/>
      <c r="HCA1" s="24"/>
      <c r="HCB1" s="24"/>
      <c r="HCC1" s="24"/>
      <c r="HCD1" s="24"/>
      <c r="HCE1" s="24"/>
      <c r="HCF1" s="24"/>
      <c r="HCG1" s="24"/>
      <c r="HCH1" s="24"/>
      <c r="HCI1" s="24"/>
      <c r="HCJ1" s="24"/>
      <c r="HCK1" s="24"/>
      <c r="HCL1" s="24"/>
      <c r="HCM1" s="24"/>
      <c r="HCN1" s="24"/>
      <c r="HCO1" s="24"/>
      <c r="HCP1" s="24"/>
      <c r="HCQ1" s="24"/>
      <c r="HCR1" s="24"/>
      <c r="HCS1" s="24"/>
      <c r="HCT1" s="24"/>
      <c r="HCU1" s="24"/>
      <c r="HCV1" s="24"/>
      <c r="HCW1" s="24"/>
      <c r="HCX1" s="24"/>
      <c r="HCY1" s="24"/>
      <c r="HCZ1" s="24"/>
      <c r="HDA1" s="24"/>
      <c r="HDB1" s="24"/>
      <c r="HDC1" s="24"/>
      <c r="HDD1" s="24"/>
      <c r="HDE1" s="24"/>
      <c r="HDF1" s="24"/>
      <c r="HDG1" s="24"/>
      <c r="HDH1" s="24"/>
      <c r="HDI1" s="24"/>
      <c r="HDJ1" s="24"/>
      <c r="HDK1" s="24"/>
      <c r="HDL1" s="24"/>
      <c r="HDM1" s="24"/>
      <c r="HDN1" s="24"/>
      <c r="HDO1" s="24"/>
      <c r="HDP1" s="24"/>
      <c r="HDQ1" s="24"/>
      <c r="HDR1" s="24"/>
      <c r="HDS1" s="24"/>
      <c r="HDT1" s="24"/>
      <c r="HDU1" s="24"/>
      <c r="HDV1" s="24"/>
      <c r="HDW1" s="24"/>
      <c r="HDX1" s="24"/>
      <c r="HDY1" s="24"/>
      <c r="HDZ1" s="24"/>
      <c r="HEA1" s="24"/>
      <c r="HEB1" s="24"/>
      <c r="HEC1" s="24"/>
      <c r="HED1" s="24"/>
      <c r="HEE1" s="24"/>
      <c r="HEF1" s="24"/>
      <c r="HEG1" s="24"/>
      <c r="HEH1" s="24"/>
      <c r="HEI1" s="24"/>
      <c r="HEJ1" s="24"/>
      <c r="HEK1" s="24"/>
      <c r="HEL1" s="24"/>
      <c r="HEM1" s="24"/>
      <c r="HEN1" s="24"/>
      <c r="HEO1" s="24"/>
      <c r="HEP1" s="24"/>
      <c r="HEQ1" s="24"/>
      <c r="HER1" s="24"/>
      <c r="HES1" s="24"/>
      <c r="HET1" s="24"/>
      <c r="HEU1" s="24"/>
      <c r="HEV1" s="24"/>
      <c r="HEW1" s="24"/>
      <c r="HEX1" s="24"/>
      <c r="HEY1" s="24"/>
      <c r="HEZ1" s="24"/>
      <c r="HFA1" s="24"/>
      <c r="HFB1" s="24"/>
      <c r="HFC1" s="24"/>
      <c r="HFD1" s="24"/>
      <c r="HFE1" s="24"/>
      <c r="HFF1" s="24"/>
      <c r="HFG1" s="24"/>
      <c r="HFH1" s="24"/>
      <c r="HFI1" s="24"/>
      <c r="HFJ1" s="24"/>
      <c r="HFK1" s="24"/>
      <c r="HFL1" s="24"/>
      <c r="HFM1" s="24"/>
      <c r="HFN1" s="24"/>
      <c r="HFO1" s="24"/>
      <c r="HFP1" s="24"/>
      <c r="HFQ1" s="24"/>
      <c r="HFR1" s="24"/>
      <c r="HFS1" s="24"/>
      <c r="HFT1" s="24"/>
      <c r="HFU1" s="24"/>
      <c r="HFV1" s="24"/>
      <c r="HFW1" s="24"/>
      <c r="HFX1" s="24"/>
      <c r="HFY1" s="24"/>
      <c r="HFZ1" s="24"/>
      <c r="HGA1" s="24"/>
      <c r="HGB1" s="24"/>
      <c r="HGC1" s="24"/>
      <c r="HGD1" s="24"/>
      <c r="HGE1" s="24"/>
      <c r="HGF1" s="24"/>
      <c r="HGG1" s="24"/>
      <c r="HGH1" s="24"/>
      <c r="HGI1" s="24"/>
      <c r="HGJ1" s="24"/>
      <c r="HGK1" s="24"/>
      <c r="HGL1" s="24"/>
      <c r="HGM1" s="24"/>
      <c r="HGN1" s="24"/>
      <c r="HGO1" s="24"/>
      <c r="HGP1" s="24"/>
      <c r="HGQ1" s="24"/>
      <c r="HGR1" s="24"/>
      <c r="HGS1" s="24"/>
      <c r="HGT1" s="24"/>
      <c r="HGU1" s="24"/>
      <c r="HGV1" s="24"/>
      <c r="HGW1" s="24"/>
      <c r="HGX1" s="24"/>
      <c r="HGY1" s="24"/>
      <c r="HGZ1" s="24"/>
      <c r="HHA1" s="24"/>
      <c r="HHB1" s="24"/>
      <c r="HHC1" s="24"/>
      <c r="HHD1" s="24"/>
      <c r="HHE1" s="24"/>
      <c r="HHF1" s="24"/>
      <c r="HHG1" s="24"/>
      <c r="HHH1" s="24"/>
      <c r="HHI1" s="24"/>
      <c r="HHJ1" s="24"/>
      <c r="HHK1" s="24"/>
      <c r="HHL1" s="24"/>
      <c r="HHM1" s="24"/>
      <c r="HHN1" s="24"/>
      <c r="HHO1" s="24"/>
      <c r="HHP1" s="24"/>
      <c r="HHQ1" s="24"/>
      <c r="HHR1" s="24"/>
      <c r="HHS1" s="24"/>
      <c r="HHT1" s="24"/>
      <c r="HHU1" s="24"/>
      <c r="HHV1" s="24"/>
      <c r="HHW1" s="24"/>
      <c r="HHX1" s="24"/>
      <c r="HHY1" s="24"/>
      <c r="HHZ1" s="24"/>
      <c r="HIA1" s="24"/>
      <c r="HIB1" s="24"/>
      <c r="HIC1" s="24"/>
      <c r="HID1" s="24"/>
      <c r="HIE1" s="24"/>
      <c r="HIF1" s="24"/>
      <c r="HIG1" s="24"/>
      <c r="HIH1" s="24"/>
      <c r="HII1" s="24"/>
      <c r="HIJ1" s="24"/>
      <c r="HIK1" s="24"/>
      <c r="HIL1" s="24"/>
      <c r="HIM1" s="24"/>
      <c r="HIN1" s="24"/>
      <c r="HIO1" s="24"/>
      <c r="HIP1" s="24"/>
      <c r="HIQ1" s="24"/>
      <c r="HIR1" s="24"/>
      <c r="HIS1" s="24"/>
      <c r="HIT1" s="24"/>
      <c r="HIU1" s="24"/>
      <c r="HIV1" s="24"/>
      <c r="HIW1" s="24"/>
      <c r="HIX1" s="24"/>
      <c r="HIY1" s="24"/>
      <c r="HIZ1" s="24"/>
      <c r="HJA1" s="24"/>
      <c r="HJB1" s="24"/>
      <c r="HJC1" s="24"/>
      <c r="HJD1" s="24"/>
      <c r="HJE1" s="24"/>
      <c r="HJF1" s="24"/>
      <c r="HJG1" s="24"/>
      <c r="HJH1" s="24"/>
      <c r="HJI1" s="24"/>
      <c r="HJJ1" s="24"/>
      <c r="HJK1" s="24"/>
      <c r="HJL1" s="24"/>
      <c r="HJM1" s="24"/>
      <c r="HJN1" s="24"/>
      <c r="HJO1" s="24"/>
      <c r="HJP1" s="24"/>
      <c r="HJQ1" s="24"/>
      <c r="HJR1" s="24"/>
      <c r="HJS1" s="24"/>
      <c r="HJT1" s="24"/>
      <c r="HJU1" s="24"/>
      <c r="HJV1" s="24"/>
      <c r="HJW1" s="24"/>
      <c r="HJX1" s="24"/>
      <c r="HJY1" s="24"/>
      <c r="HJZ1" s="24"/>
      <c r="HKA1" s="24"/>
      <c r="HKB1" s="24"/>
      <c r="HKC1" s="24"/>
      <c r="HKD1" s="24"/>
      <c r="HKE1" s="24"/>
      <c r="HKF1" s="24"/>
      <c r="HKG1" s="24"/>
      <c r="HKH1" s="24"/>
      <c r="HKI1" s="24"/>
      <c r="HKJ1" s="24"/>
      <c r="HKK1" s="24"/>
      <c r="HKL1" s="24"/>
      <c r="HKM1" s="24"/>
      <c r="HKN1" s="24"/>
      <c r="HKO1" s="24"/>
      <c r="HKP1" s="24"/>
      <c r="HKQ1" s="24"/>
      <c r="HKR1" s="24"/>
      <c r="HKS1" s="24"/>
      <c r="HKT1" s="24"/>
      <c r="HKU1" s="24"/>
      <c r="HKV1" s="24"/>
      <c r="HKW1" s="24"/>
      <c r="HKX1" s="24"/>
      <c r="HKY1" s="24"/>
      <c r="HKZ1" s="24"/>
      <c r="HLA1" s="24"/>
      <c r="HLB1" s="24"/>
      <c r="HLC1" s="24"/>
      <c r="HLD1" s="24"/>
      <c r="HLE1" s="24"/>
      <c r="HLF1" s="24"/>
      <c r="HLG1" s="24"/>
      <c r="HLH1" s="24"/>
      <c r="HLI1" s="24"/>
      <c r="HLJ1" s="24"/>
      <c r="HLK1" s="24"/>
      <c r="HLL1" s="24"/>
      <c r="HLM1" s="24"/>
      <c r="HLN1" s="24"/>
      <c r="HLO1" s="24"/>
      <c r="HLP1" s="24"/>
      <c r="HLQ1" s="24"/>
      <c r="HLR1" s="24"/>
      <c r="HLS1" s="24"/>
      <c r="HLT1" s="24"/>
      <c r="HLU1" s="24"/>
      <c r="HLV1" s="24"/>
      <c r="HLW1" s="24"/>
      <c r="HLX1" s="24"/>
      <c r="HLY1" s="24"/>
      <c r="HLZ1" s="24"/>
      <c r="HMA1" s="24"/>
      <c r="HMB1" s="24"/>
      <c r="HMC1" s="24"/>
      <c r="HMD1" s="24"/>
      <c r="HME1" s="24"/>
      <c r="HMF1" s="24"/>
      <c r="HMG1" s="24"/>
      <c r="HMH1" s="24"/>
      <c r="HMI1" s="24"/>
      <c r="HMJ1" s="24"/>
      <c r="HMK1" s="24"/>
      <c r="HML1" s="24"/>
      <c r="HMM1" s="24"/>
      <c r="HMN1" s="24"/>
      <c r="HMO1" s="24"/>
      <c r="HMP1" s="24"/>
      <c r="HMQ1" s="24"/>
      <c r="HMR1" s="24"/>
      <c r="HMS1" s="24"/>
      <c r="HMT1" s="24"/>
      <c r="HMU1" s="24"/>
      <c r="HMV1" s="24"/>
      <c r="HMW1" s="24"/>
      <c r="HMX1" s="24"/>
      <c r="HMY1" s="24"/>
      <c r="HMZ1" s="24"/>
      <c r="HNA1" s="24"/>
      <c r="HNB1" s="24"/>
      <c r="HNC1" s="24"/>
      <c r="HND1" s="24"/>
      <c r="HNE1" s="24"/>
      <c r="HNF1" s="24"/>
      <c r="HNG1" s="24"/>
      <c r="HNH1" s="24"/>
      <c r="HNI1" s="24"/>
      <c r="HNJ1" s="24"/>
      <c r="HNK1" s="24"/>
      <c r="HNL1" s="24"/>
      <c r="HNM1" s="24"/>
      <c r="HNN1" s="24"/>
      <c r="HNO1" s="24"/>
      <c r="HNP1" s="24"/>
      <c r="HNQ1" s="24"/>
      <c r="HNR1" s="24"/>
      <c r="HNS1" s="24"/>
      <c r="HNT1" s="24"/>
      <c r="HNU1" s="24"/>
      <c r="HNV1" s="24"/>
      <c r="HNW1" s="24"/>
      <c r="HNX1" s="24"/>
      <c r="HNY1" s="24"/>
      <c r="HNZ1" s="24"/>
      <c r="HOA1" s="24"/>
      <c r="HOB1" s="24"/>
      <c r="HOC1" s="24"/>
      <c r="HOD1" s="24"/>
      <c r="HOE1" s="24"/>
      <c r="HOF1" s="24"/>
      <c r="HOG1" s="24"/>
      <c r="HOH1" s="24"/>
      <c r="HOI1" s="24"/>
      <c r="HOJ1" s="24"/>
      <c r="HOK1" s="24"/>
      <c r="HOL1" s="24"/>
      <c r="HOM1" s="24"/>
      <c r="HON1" s="24"/>
      <c r="HOO1" s="24"/>
      <c r="HOP1" s="24"/>
      <c r="HOQ1" s="24"/>
      <c r="HOR1" s="24"/>
      <c r="HOS1" s="24"/>
      <c r="HOT1" s="24"/>
      <c r="HOU1" s="24"/>
      <c r="HOV1" s="24"/>
      <c r="HOW1" s="24"/>
      <c r="HOX1" s="24"/>
      <c r="HOY1" s="24"/>
      <c r="HOZ1" s="24"/>
      <c r="HPA1" s="24"/>
      <c r="HPB1" s="24"/>
      <c r="HPC1" s="24"/>
      <c r="HPD1" s="24"/>
      <c r="HPE1" s="24"/>
      <c r="HPF1" s="24"/>
      <c r="HPG1" s="24"/>
      <c r="HPH1" s="24"/>
      <c r="HPI1" s="24"/>
      <c r="HPJ1" s="24"/>
      <c r="HPK1" s="24"/>
      <c r="HPL1" s="24"/>
      <c r="HPM1" s="24"/>
      <c r="HPN1" s="24"/>
      <c r="HPO1" s="24"/>
      <c r="HPP1" s="24"/>
      <c r="HPQ1" s="24"/>
      <c r="HPR1" s="24"/>
      <c r="HPS1" s="24"/>
      <c r="HPT1" s="24"/>
      <c r="HPU1" s="24"/>
      <c r="HPV1" s="24"/>
      <c r="HPW1" s="24"/>
      <c r="HPX1" s="24"/>
      <c r="HPY1" s="24"/>
      <c r="HPZ1" s="24"/>
      <c r="HQA1" s="24"/>
      <c r="HQB1" s="24"/>
      <c r="HQC1" s="24"/>
      <c r="HQD1" s="24"/>
      <c r="HQE1" s="24"/>
      <c r="HQF1" s="24"/>
      <c r="HQG1" s="24"/>
      <c r="HQH1" s="24"/>
      <c r="HQI1" s="24"/>
      <c r="HQJ1" s="24"/>
      <c r="HQK1" s="24"/>
      <c r="HQL1" s="24"/>
      <c r="HQM1" s="24"/>
      <c r="HQN1" s="24"/>
      <c r="HQO1" s="24"/>
      <c r="HQP1" s="24"/>
      <c r="HQQ1" s="24"/>
      <c r="HQR1" s="24"/>
      <c r="HQS1" s="24"/>
      <c r="HQT1" s="24"/>
      <c r="HQU1" s="24"/>
      <c r="HQV1" s="24"/>
      <c r="HQW1" s="24"/>
      <c r="HQX1" s="24"/>
      <c r="HQY1" s="24"/>
      <c r="HQZ1" s="24"/>
      <c r="HRA1" s="24"/>
      <c r="HRB1" s="24"/>
      <c r="HRC1" s="24"/>
      <c r="HRD1" s="24"/>
      <c r="HRE1" s="24"/>
      <c r="HRF1" s="24"/>
      <c r="HRG1" s="24"/>
      <c r="HRH1" s="24"/>
      <c r="HRI1" s="24"/>
      <c r="HRJ1" s="24"/>
      <c r="HRK1" s="24"/>
      <c r="HRL1" s="24"/>
      <c r="HRM1" s="24"/>
      <c r="HRN1" s="24"/>
      <c r="HRO1" s="24"/>
      <c r="HRP1" s="24"/>
      <c r="HRQ1" s="24"/>
      <c r="HRR1" s="24"/>
      <c r="HRS1" s="24"/>
      <c r="HRT1" s="24"/>
      <c r="HRU1" s="24"/>
      <c r="HRV1" s="24"/>
      <c r="HRW1" s="24"/>
      <c r="HRX1" s="24"/>
      <c r="HRY1" s="24"/>
      <c r="HRZ1" s="24"/>
      <c r="HSA1" s="24"/>
      <c r="HSB1" s="24"/>
      <c r="HSC1" s="24"/>
      <c r="HSD1" s="24"/>
      <c r="HSE1" s="24"/>
      <c r="HSF1" s="24"/>
      <c r="HSG1" s="24"/>
      <c r="HSH1" s="24"/>
      <c r="HSI1" s="24"/>
      <c r="HSJ1" s="24"/>
      <c r="HSK1" s="24"/>
      <c r="HSL1" s="24"/>
      <c r="HSM1" s="24"/>
      <c r="HSN1" s="24"/>
      <c r="HSO1" s="24"/>
      <c r="HSP1" s="24"/>
      <c r="HSQ1" s="24"/>
      <c r="HSR1" s="24"/>
      <c r="HSS1" s="24"/>
      <c r="HST1" s="24"/>
      <c r="HSU1" s="24"/>
      <c r="HSV1" s="24"/>
      <c r="HSW1" s="24"/>
      <c r="HSX1" s="24"/>
      <c r="HSY1" s="24"/>
      <c r="HSZ1" s="24"/>
      <c r="HTA1" s="24"/>
      <c r="HTB1" s="24"/>
      <c r="HTC1" s="24"/>
      <c r="HTD1" s="24"/>
      <c r="HTE1" s="24"/>
      <c r="HTF1" s="24"/>
      <c r="HTG1" s="24"/>
      <c r="HTH1" s="24"/>
      <c r="HTI1" s="24"/>
      <c r="HTJ1" s="24"/>
      <c r="HTK1" s="24"/>
      <c r="HTL1" s="24"/>
      <c r="HTM1" s="24"/>
      <c r="HTN1" s="24"/>
      <c r="HTO1" s="24"/>
      <c r="HTP1" s="24"/>
      <c r="HTQ1" s="24"/>
      <c r="HTR1" s="24"/>
      <c r="HTS1" s="24"/>
      <c r="HTT1" s="24"/>
      <c r="HTU1" s="24"/>
      <c r="HTV1" s="24"/>
      <c r="HTW1" s="24"/>
      <c r="HTX1" s="24"/>
      <c r="HTY1" s="24"/>
      <c r="HTZ1" s="24"/>
      <c r="HUA1" s="24"/>
      <c r="HUB1" s="24"/>
      <c r="HUC1" s="24"/>
      <c r="HUD1" s="24"/>
      <c r="HUE1" s="24"/>
      <c r="HUF1" s="24"/>
      <c r="HUG1" s="24"/>
      <c r="HUH1" s="24"/>
      <c r="HUI1" s="24"/>
      <c r="HUJ1" s="24"/>
      <c r="HUK1" s="24"/>
      <c r="HUL1" s="24"/>
      <c r="HUM1" s="24"/>
      <c r="HUN1" s="24"/>
      <c r="HUO1" s="24"/>
      <c r="HUP1" s="24"/>
      <c r="HUQ1" s="24"/>
      <c r="HUR1" s="24"/>
      <c r="HUS1" s="24"/>
      <c r="HUT1" s="24"/>
      <c r="HUU1" s="24"/>
      <c r="HUV1" s="24"/>
      <c r="HUW1" s="24"/>
      <c r="HUX1" s="24"/>
      <c r="HUY1" s="24"/>
      <c r="HUZ1" s="24"/>
      <c r="HVA1" s="24"/>
      <c r="HVB1" s="24"/>
      <c r="HVC1" s="24"/>
      <c r="HVD1" s="24"/>
      <c r="HVE1" s="24"/>
      <c r="HVF1" s="24"/>
      <c r="HVG1" s="24"/>
      <c r="HVH1" s="24"/>
      <c r="HVI1" s="24"/>
      <c r="HVJ1" s="24"/>
      <c r="HVK1" s="24"/>
      <c r="HVL1" s="24"/>
      <c r="HVM1" s="24"/>
      <c r="HVN1" s="24"/>
      <c r="HVO1" s="24"/>
      <c r="HVP1" s="24"/>
      <c r="HVQ1" s="24"/>
      <c r="HVR1" s="24"/>
      <c r="HVS1" s="24"/>
      <c r="HVT1" s="24"/>
      <c r="HVU1" s="24"/>
      <c r="HVV1" s="24"/>
      <c r="HVW1" s="24"/>
      <c r="HVX1" s="24"/>
      <c r="HVY1" s="24"/>
      <c r="HVZ1" s="24"/>
      <c r="HWA1" s="24"/>
      <c r="HWB1" s="24"/>
      <c r="HWC1" s="24"/>
      <c r="HWD1" s="24"/>
      <c r="HWE1" s="24"/>
      <c r="HWF1" s="24"/>
      <c r="HWG1" s="24"/>
      <c r="HWH1" s="24"/>
      <c r="HWI1" s="24"/>
      <c r="HWJ1" s="24"/>
      <c r="HWK1" s="24"/>
      <c r="HWL1" s="24"/>
      <c r="HWM1" s="24"/>
      <c r="HWN1" s="24"/>
      <c r="HWO1" s="24"/>
      <c r="HWP1" s="24"/>
      <c r="HWQ1" s="24"/>
      <c r="HWR1" s="24"/>
      <c r="HWS1" s="24"/>
      <c r="HWT1" s="24"/>
      <c r="HWU1" s="24"/>
      <c r="HWV1" s="24"/>
      <c r="HWW1" s="24"/>
      <c r="HWX1" s="24"/>
      <c r="HWY1" s="24"/>
      <c r="HWZ1" s="24"/>
      <c r="HXA1" s="24"/>
      <c r="HXB1" s="24"/>
      <c r="HXC1" s="24"/>
      <c r="HXD1" s="24"/>
      <c r="HXE1" s="24"/>
      <c r="HXF1" s="24"/>
      <c r="HXG1" s="24"/>
      <c r="HXH1" s="24"/>
      <c r="HXI1" s="24"/>
      <c r="HXJ1" s="24"/>
      <c r="HXK1" s="24"/>
      <c r="HXL1" s="24"/>
      <c r="HXM1" s="24"/>
      <c r="HXN1" s="24"/>
      <c r="HXO1" s="24"/>
      <c r="HXP1" s="24"/>
      <c r="HXQ1" s="24"/>
      <c r="HXR1" s="24"/>
      <c r="HXS1" s="24"/>
      <c r="HXT1" s="24"/>
      <c r="HXU1" s="24"/>
      <c r="HXV1" s="24"/>
      <c r="HXW1" s="24"/>
      <c r="HXX1" s="24"/>
      <c r="HXY1" s="24"/>
      <c r="HXZ1" s="24"/>
      <c r="HYA1" s="24"/>
      <c r="HYB1" s="24"/>
      <c r="HYC1" s="24"/>
      <c r="HYD1" s="24"/>
      <c r="HYE1" s="24"/>
      <c r="HYF1" s="24"/>
      <c r="HYG1" s="24"/>
      <c r="HYH1" s="24"/>
      <c r="HYI1" s="24"/>
      <c r="HYJ1" s="24"/>
      <c r="HYK1" s="24"/>
      <c r="HYL1" s="24"/>
      <c r="HYM1" s="24"/>
      <c r="HYN1" s="24"/>
      <c r="HYO1" s="24"/>
      <c r="HYP1" s="24"/>
      <c r="HYQ1" s="24"/>
      <c r="HYR1" s="24"/>
      <c r="HYS1" s="24"/>
      <c r="HYT1" s="24"/>
      <c r="HYU1" s="24"/>
      <c r="HYV1" s="24"/>
      <c r="HYW1" s="24"/>
      <c r="HYX1" s="24"/>
      <c r="HYY1" s="24"/>
      <c r="HYZ1" s="24"/>
      <c r="HZA1" s="24"/>
      <c r="HZB1" s="24"/>
      <c r="HZC1" s="24"/>
      <c r="HZD1" s="24"/>
      <c r="HZE1" s="24"/>
      <c r="HZF1" s="24"/>
      <c r="HZG1" s="24"/>
      <c r="HZH1" s="24"/>
      <c r="HZI1" s="24"/>
      <c r="HZJ1" s="24"/>
      <c r="HZK1" s="24"/>
      <c r="HZL1" s="24"/>
      <c r="HZM1" s="24"/>
      <c r="HZN1" s="24"/>
      <c r="HZO1" s="24"/>
      <c r="HZP1" s="24"/>
      <c r="HZQ1" s="24"/>
      <c r="HZR1" s="24"/>
      <c r="HZS1" s="24"/>
      <c r="HZT1" s="24"/>
      <c r="HZU1" s="24"/>
      <c r="HZV1" s="24"/>
      <c r="HZW1" s="24"/>
      <c r="HZX1" s="24"/>
      <c r="HZY1" s="24"/>
      <c r="HZZ1" s="24"/>
      <c r="IAA1" s="24"/>
      <c r="IAB1" s="24"/>
      <c r="IAC1" s="24"/>
      <c r="IAD1" s="24"/>
      <c r="IAE1" s="24"/>
      <c r="IAF1" s="24"/>
      <c r="IAG1" s="24"/>
      <c r="IAH1" s="24"/>
      <c r="IAI1" s="24"/>
      <c r="IAJ1" s="24"/>
      <c r="IAK1" s="24"/>
      <c r="IAL1" s="24"/>
      <c r="IAM1" s="24"/>
      <c r="IAN1" s="24"/>
      <c r="IAO1" s="24"/>
      <c r="IAP1" s="24"/>
      <c r="IAQ1" s="24"/>
      <c r="IAR1" s="24"/>
      <c r="IAS1" s="24"/>
      <c r="IAT1" s="24"/>
      <c r="IAU1" s="24"/>
      <c r="IAV1" s="24"/>
      <c r="IAW1" s="24"/>
      <c r="IAX1" s="24"/>
      <c r="IAY1" s="24"/>
      <c r="IAZ1" s="24"/>
      <c r="IBA1" s="24"/>
      <c r="IBB1" s="24"/>
      <c r="IBC1" s="24"/>
      <c r="IBD1" s="24"/>
      <c r="IBE1" s="24"/>
      <c r="IBF1" s="24"/>
      <c r="IBG1" s="24"/>
      <c r="IBH1" s="24"/>
      <c r="IBI1" s="24"/>
      <c r="IBJ1" s="24"/>
      <c r="IBK1" s="24"/>
      <c r="IBL1" s="24"/>
      <c r="IBM1" s="24"/>
      <c r="IBN1" s="24"/>
      <c r="IBO1" s="24"/>
      <c r="IBP1" s="24"/>
      <c r="IBQ1" s="24"/>
      <c r="IBR1" s="24"/>
      <c r="IBS1" s="24"/>
      <c r="IBT1" s="24"/>
      <c r="IBU1" s="24"/>
      <c r="IBV1" s="24"/>
      <c r="IBW1" s="24"/>
      <c r="IBX1" s="24"/>
      <c r="IBY1" s="24"/>
      <c r="IBZ1" s="24"/>
      <c r="ICA1" s="24"/>
      <c r="ICB1" s="24"/>
      <c r="ICC1" s="24"/>
      <c r="ICD1" s="24"/>
      <c r="ICE1" s="24"/>
      <c r="ICF1" s="24"/>
      <c r="ICG1" s="24"/>
      <c r="ICH1" s="24"/>
      <c r="ICI1" s="24"/>
      <c r="ICJ1" s="24"/>
      <c r="ICK1" s="24"/>
      <c r="ICL1" s="24"/>
      <c r="ICM1" s="24"/>
      <c r="ICN1" s="24"/>
      <c r="ICO1" s="24"/>
      <c r="ICP1" s="24"/>
      <c r="ICQ1" s="24"/>
      <c r="ICR1" s="24"/>
      <c r="ICS1" s="24"/>
      <c r="ICT1" s="24"/>
      <c r="ICU1" s="24"/>
      <c r="ICV1" s="24"/>
      <c r="ICW1" s="24"/>
      <c r="ICX1" s="24"/>
      <c r="ICY1" s="24"/>
      <c r="ICZ1" s="24"/>
      <c r="IDA1" s="24"/>
      <c r="IDB1" s="24"/>
      <c r="IDC1" s="24"/>
      <c r="IDD1" s="24"/>
      <c r="IDE1" s="24"/>
      <c r="IDF1" s="24"/>
      <c r="IDG1" s="24"/>
      <c r="IDH1" s="24"/>
      <c r="IDI1" s="24"/>
      <c r="IDJ1" s="24"/>
      <c r="IDK1" s="24"/>
      <c r="IDL1" s="24"/>
      <c r="IDM1" s="24"/>
      <c r="IDN1" s="24"/>
      <c r="IDO1" s="24"/>
      <c r="IDP1" s="24"/>
      <c r="IDQ1" s="24"/>
      <c r="IDR1" s="24"/>
      <c r="IDS1" s="24"/>
      <c r="IDT1" s="24"/>
      <c r="IDU1" s="24"/>
      <c r="IDV1" s="24"/>
      <c r="IDW1" s="24"/>
      <c r="IDX1" s="24"/>
      <c r="IDY1" s="24"/>
      <c r="IDZ1" s="24"/>
      <c r="IEA1" s="24"/>
      <c r="IEB1" s="24"/>
      <c r="IEC1" s="24"/>
      <c r="IED1" s="24"/>
      <c r="IEE1" s="24"/>
      <c r="IEF1" s="24"/>
      <c r="IEG1" s="24"/>
      <c r="IEH1" s="24"/>
      <c r="IEI1" s="24"/>
      <c r="IEJ1" s="24"/>
      <c r="IEK1" s="24"/>
      <c r="IEL1" s="24"/>
      <c r="IEM1" s="24"/>
      <c r="IEN1" s="24"/>
      <c r="IEO1" s="24"/>
      <c r="IEP1" s="24"/>
      <c r="IEQ1" s="24"/>
      <c r="IER1" s="24"/>
      <c r="IES1" s="24"/>
      <c r="IET1" s="24"/>
      <c r="IEU1" s="24"/>
      <c r="IEV1" s="24"/>
      <c r="IEW1" s="24"/>
      <c r="IEX1" s="24"/>
      <c r="IEY1" s="24"/>
      <c r="IEZ1" s="24"/>
      <c r="IFA1" s="24"/>
      <c r="IFB1" s="24"/>
      <c r="IFC1" s="24"/>
      <c r="IFD1" s="24"/>
      <c r="IFE1" s="24"/>
      <c r="IFF1" s="24"/>
      <c r="IFG1" s="24"/>
      <c r="IFH1" s="24"/>
      <c r="IFI1" s="24"/>
      <c r="IFJ1" s="24"/>
      <c r="IFK1" s="24"/>
      <c r="IFL1" s="24"/>
      <c r="IFM1" s="24"/>
      <c r="IFN1" s="24"/>
      <c r="IFO1" s="24"/>
      <c r="IFP1" s="24"/>
      <c r="IFQ1" s="24"/>
      <c r="IFR1" s="24"/>
      <c r="IFS1" s="24"/>
      <c r="IFT1" s="24"/>
      <c r="IFU1" s="24"/>
      <c r="IFV1" s="24"/>
      <c r="IFW1" s="24"/>
      <c r="IFX1" s="24"/>
      <c r="IFY1" s="24"/>
      <c r="IFZ1" s="24"/>
      <c r="IGA1" s="24"/>
      <c r="IGB1" s="24"/>
      <c r="IGC1" s="24"/>
      <c r="IGD1" s="24"/>
      <c r="IGE1" s="24"/>
      <c r="IGF1" s="24"/>
      <c r="IGG1" s="24"/>
      <c r="IGH1" s="24"/>
      <c r="IGI1" s="24"/>
      <c r="IGJ1" s="24"/>
      <c r="IGK1" s="24"/>
      <c r="IGL1" s="24"/>
      <c r="IGM1" s="24"/>
      <c r="IGN1" s="24"/>
      <c r="IGO1" s="24"/>
      <c r="IGP1" s="24"/>
      <c r="IGQ1" s="24"/>
      <c r="IGR1" s="24"/>
      <c r="IGS1" s="24"/>
      <c r="IGT1" s="24"/>
      <c r="IGU1" s="24"/>
      <c r="IGV1" s="24"/>
      <c r="IGW1" s="24"/>
      <c r="IGX1" s="24"/>
      <c r="IGY1" s="24"/>
      <c r="IGZ1" s="24"/>
      <c r="IHA1" s="24"/>
      <c r="IHB1" s="24"/>
      <c r="IHC1" s="24"/>
      <c r="IHD1" s="24"/>
      <c r="IHE1" s="24"/>
      <c r="IHF1" s="24"/>
      <c r="IHG1" s="24"/>
      <c r="IHH1" s="24"/>
      <c r="IHI1" s="24"/>
      <c r="IHJ1" s="24"/>
      <c r="IHK1" s="24"/>
      <c r="IHL1" s="24"/>
      <c r="IHM1" s="24"/>
      <c r="IHN1" s="24"/>
      <c r="IHO1" s="24"/>
      <c r="IHP1" s="24"/>
      <c r="IHQ1" s="24"/>
      <c r="IHR1" s="24"/>
      <c r="IHS1" s="24"/>
      <c r="IHT1" s="24"/>
      <c r="IHU1" s="24"/>
      <c r="IHV1" s="24"/>
      <c r="IHW1" s="24"/>
      <c r="IHX1" s="24"/>
      <c r="IHY1" s="24"/>
      <c r="IHZ1" s="24"/>
      <c r="IIA1" s="24"/>
      <c r="IIB1" s="24"/>
      <c r="IIC1" s="24"/>
      <c r="IID1" s="24"/>
      <c r="IIE1" s="24"/>
      <c r="IIF1" s="24"/>
      <c r="IIG1" s="24"/>
      <c r="IIH1" s="24"/>
      <c r="III1" s="24"/>
      <c r="IIJ1" s="24"/>
      <c r="IIK1" s="24"/>
      <c r="IIL1" s="24"/>
      <c r="IIM1" s="24"/>
      <c r="IIN1" s="24"/>
      <c r="IIO1" s="24"/>
      <c r="IIP1" s="24"/>
      <c r="IIQ1" s="24"/>
      <c r="IIR1" s="24"/>
      <c r="IIS1" s="24"/>
      <c r="IIT1" s="24"/>
      <c r="IIU1" s="24"/>
      <c r="IIV1" s="24"/>
      <c r="IIW1" s="24"/>
      <c r="IIX1" s="24"/>
      <c r="IIY1" s="24"/>
      <c r="IIZ1" s="24"/>
      <c r="IJA1" s="24"/>
      <c r="IJB1" s="24"/>
      <c r="IJC1" s="24"/>
      <c r="IJD1" s="24"/>
      <c r="IJE1" s="24"/>
      <c r="IJF1" s="24"/>
      <c r="IJG1" s="24"/>
      <c r="IJH1" s="24"/>
      <c r="IJI1" s="24"/>
      <c r="IJJ1" s="24"/>
      <c r="IJK1" s="24"/>
      <c r="IJL1" s="24"/>
      <c r="IJM1" s="24"/>
      <c r="IJN1" s="24"/>
      <c r="IJO1" s="24"/>
      <c r="IJP1" s="24"/>
      <c r="IJQ1" s="24"/>
      <c r="IJR1" s="24"/>
      <c r="IJS1" s="24"/>
      <c r="IJT1" s="24"/>
      <c r="IJU1" s="24"/>
      <c r="IJV1" s="24"/>
      <c r="IJW1" s="24"/>
      <c r="IJX1" s="24"/>
      <c r="IJY1" s="24"/>
      <c r="IJZ1" s="24"/>
      <c r="IKA1" s="24"/>
      <c r="IKB1" s="24"/>
      <c r="IKC1" s="24"/>
      <c r="IKD1" s="24"/>
      <c r="IKE1" s="24"/>
      <c r="IKF1" s="24"/>
      <c r="IKG1" s="24"/>
      <c r="IKH1" s="24"/>
      <c r="IKI1" s="24"/>
      <c r="IKJ1" s="24"/>
      <c r="IKK1" s="24"/>
      <c r="IKL1" s="24"/>
      <c r="IKM1" s="24"/>
      <c r="IKN1" s="24"/>
      <c r="IKO1" s="24"/>
      <c r="IKP1" s="24"/>
      <c r="IKQ1" s="24"/>
      <c r="IKR1" s="24"/>
      <c r="IKS1" s="24"/>
      <c r="IKT1" s="24"/>
      <c r="IKU1" s="24"/>
      <c r="IKV1" s="24"/>
      <c r="IKW1" s="24"/>
      <c r="IKX1" s="24"/>
      <c r="IKY1" s="24"/>
      <c r="IKZ1" s="24"/>
      <c r="ILA1" s="24"/>
      <c r="ILB1" s="24"/>
      <c r="ILC1" s="24"/>
      <c r="ILD1" s="24"/>
      <c r="ILE1" s="24"/>
      <c r="ILF1" s="24"/>
      <c r="ILG1" s="24"/>
      <c r="ILH1" s="24"/>
      <c r="ILI1" s="24"/>
      <c r="ILJ1" s="24"/>
      <c r="ILK1" s="24"/>
      <c r="ILL1" s="24"/>
      <c r="ILM1" s="24"/>
      <c r="ILN1" s="24"/>
      <c r="ILO1" s="24"/>
      <c r="ILP1" s="24"/>
      <c r="ILQ1" s="24"/>
      <c r="ILR1" s="24"/>
      <c r="ILS1" s="24"/>
      <c r="ILT1" s="24"/>
      <c r="ILU1" s="24"/>
      <c r="ILV1" s="24"/>
      <c r="ILW1" s="24"/>
      <c r="ILX1" s="24"/>
      <c r="ILY1" s="24"/>
      <c r="ILZ1" s="24"/>
      <c r="IMA1" s="24"/>
      <c r="IMB1" s="24"/>
      <c r="IMC1" s="24"/>
      <c r="IMD1" s="24"/>
      <c r="IME1" s="24"/>
      <c r="IMF1" s="24"/>
      <c r="IMG1" s="24"/>
      <c r="IMH1" s="24"/>
      <c r="IMI1" s="24"/>
      <c r="IMJ1" s="24"/>
      <c r="IMK1" s="24"/>
      <c r="IML1" s="24"/>
      <c r="IMM1" s="24"/>
      <c r="IMN1" s="24"/>
      <c r="IMO1" s="24"/>
      <c r="IMP1" s="24"/>
      <c r="IMQ1" s="24"/>
      <c r="IMR1" s="24"/>
      <c r="IMS1" s="24"/>
      <c r="IMT1" s="24"/>
      <c r="IMU1" s="24"/>
      <c r="IMV1" s="24"/>
      <c r="IMW1" s="24"/>
      <c r="IMX1" s="24"/>
      <c r="IMY1" s="24"/>
      <c r="IMZ1" s="24"/>
      <c r="INA1" s="24"/>
      <c r="INB1" s="24"/>
      <c r="INC1" s="24"/>
      <c r="IND1" s="24"/>
      <c r="INE1" s="24"/>
      <c r="INF1" s="24"/>
      <c r="ING1" s="24"/>
      <c r="INH1" s="24"/>
      <c r="INI1" s="24"/>
      <c r="INJ1" s="24"/>
      <c r="INK1" s="24"/>
      <c r="INL1" s="24"/>
      <c r="INM1" s="24"/>
      <c r="INN1" s="24"/>
      <c r="INO1" s="24"/>
      <c r="INP1" s="24"/>
      <c r="INQ1" s="24"/>
      <c r="INR1" s="24"/>
      <c r="INS1" s="24"/>
      <c r="INT1" s="24"/>
      <c r="INU1" s="24"/>
      <c r="INV1" s="24"/>
      <c r="INW1" s="24"/>
      <c r="INX1" s="24"/>
      <c r="INY1" s="24"/>
      <c r="INZ1" s="24"/>
      <c r="IOA1" s="24"/>
      <c r="IOB1" s="24"/>
      <c r="IOC1" s="24"/>
      <c r="IOD1" s="24"/>
      <c r="IOE1" s="24"/>
      <c r="IOF1" s="24"/>
      <c r="IOG1" s="24"/>
      <c r="IOH1" s="24"/>
      <c r="IOI1" s="24"/>
      <c r="IOJ1" s="24"/>
      <c r="IOK1" s="24"/>
      <c r="IOL1" s="24"/>
      <c r="IOM1" s="24"/>
      <c r="ION1" s="24"/>
      <c r="IOO1" s="24"/>
      <c r="IOP1" s="24"/>
      <c r="IOQ1" s="24"/>
      <c r="IOR1" s="24"/>
      <c r="IOS1" s="24"/>
      <c r="IOT1" s="24"/>
      <c r="IOU1" s="24"/>
      <c r="IOV1" s="24"/>
      <c r="IOW1" s="24"/>
      <c r="IOX1" s="24"/>
      <c r="IOY1" s="24"/>
      <c r="IOZ1" s="24"/>
      <c r="IPA1" s="24"/>
      <c r="IPB1" s="24"/>
      <c r="IPC1" s="24"/>
      <c r="IPD1" s="24"/>
      <c r="IPE1" s="24"/>
      <c r="IPF1" s="24"/>
      <c r="IPG1" s="24"/>
      <c r="IPH1" s="24"/>
      <c r="IPI1" s="24"/>
      <c r="IPJ1" s="24"/>
      <c r="IPK1" s="24"/>
      <c r="IPL1" s="24"/>
      <c r="IPM1" s="24"/>
      <c r="IPN1" s="24"/>
      <c r="IPO1" s="24"/>
      <c r="IPP1" s="24"/>
      <c r="IPQ1" s="24"/>
      <c r="IPR1" s="24"/>
      <c r="IPS1" s="24"/>
      <c r="IPT1" s="24"/>
      <c r="IPU1" s="24"/>
      <c r="IPV1" s="24"/>
      <c r="IPW1" s="24"/>
      <c r="IPX1" s="24"/>
      <c r="IPY1" s="24"/>
      <c r="IPZ1" s="24"/>
      <c r="IQA1" s="24"/>
      <c r="IQB1" s="24"/>
      <c r="IQC1" s="24"/>
      <c r="IQD1" s="24"/>
      <c r="IQE1" s="24"/>
      <c r="IQF1" s="24"/>
      <c r="IQG1" s="24"/>
      <c r="IQH1" s="24"/>
      <c r="IQI1" s="24"/>
      <c r="IQJ1" s="24"/>
      <c r="IQK1" s="24"/>
      <c r="IQL1" s="24"/>
      <c r="IQM1" s="24"/>
      <c r="IQN1" s="24"/>
      <c r="IQO1" s="24"/>
      <c r="IQP1" s="24"/>
      <c r="IQQ1" s="24"/>
      <c r="IQR1" s="24"/>
      <c r="IQS1" s="24"/>
      <c r="IQT1" s="24"/>
      <c r="IQU1" s="24"/>
      <c r="IQV1" s="24"/>
      <c r="IQW1" s="24"/>
      <c r="IQX1" s="24"/>
      <c r="IQY1" s="24"/>
      <c r="IQZ1" s="24"/>
      <c r="IRA1" s="24"/>
      <c r="IRB1" s="24"/>
      <c r="IRC1" s="24"/>
      <c r="IRD1" s="24"/>
      <c r="IRE1" s="24"/>
      <c r="IRF1" s="24"/>
      <c r="IRG1" s="24"/>
      <c r="IRH1" s="24"/>
      <c r="IRI1" s="24"/>
      <c r="IRJ1" s="24"/>
      <c r="IRK1" s="24"/>
      <c r="IRL1" s="24"/>
      <c r="IRM1" s="24"/>
      <c r="IRN1" s="24"/>
      <c r="IRO1" s="24"/>
      <c r="IRP1" s="24"/>
      <c r="IRQ1" s="24"/>
      <c r="IRR1" s="24"/>
      <c r="IRS1" s="24"/>
      <c r="IRT1" s="24"/>
      <c r="IRU1" s="24"/>
      <c r="IRV1" s="24"/>
      <c r="IRW1" s="24"/>
      <c r="IRX1" s="24"/>
      <c r="IRY1" s="24"/>
      <c r="IRZ1" s="24"/>
      <c r="ISA1" s="24"/>
      <c r="ISB1" s="24"/>
      <c r="ISC1" s="24"/>
      <c r="ISD1" s="24"/>
      <c r="ISE1" s="24"/>
      <c r="ISF1" s="24"/>
      <c r="ISG1" s="24"/>
      <c r="ISH1" s="24"/>
      <c r="ISI1" s="24"/>
      <c r="ISJ1" s="24"/>
      <c r="ISK1" s="24"/>
      <c r="ISL1" s="24"/>
      <c r="ISM1" s="24"/>
      <c r="ISN1" s="24"/>
      <c r="ISO1" s="24"/>
      <c r="ISP1" s="24"/>
      <c r="ISQ1" s="24"/>
      <c r="ISR1" s="24"/>
      <c r="ISS1" s="24"/>
      <c r="IST1" s="24"/>
      <c r="ISU1" s="24"/>
      <c r="ISV1" s="24"/>
      <c r="ISW1" s="24"/>
      <c r="ISX1" s="24"/>
      <c r="ISY1" s="24"/>
      <c r="ISZ1" s="24"/>
      <c r="ITA1" s="24"/>
      <c r="ITB1" s="24"/>
      <c r="ITC1" s="24"/>
      <c r="ITD1" s="24"/>
      <c r="ITE1" s="24"/>
      <c r="ITF1" s="24"/>
      <c r="ITG1" s="24"/>
      <c r="ITH1" s="24"/>
      <c r="ITI1" s="24"/>
      <c r="ITJ1" s="24"/>
      <c r="ITK1" s="24"/>
      <c r="ITL1" s="24"/>
      <c r="ITM1" s="24"/>
      <c r="ITN1" s="24"/>
      <c r="ITO1" s="24"/>
      <c r="ITP1" s="24"/>
      <c r="ITQ1" s="24"/>
      <c r="ITR1" s="24"/>
      <c r="ITS1" s="24"/>
      <c r="ITT1" s="24"/>
      <c r="ITU1" s="24"/>
      <c r="ITV1" s="24"/>
      <c r="ITW1" s="24"/>
      <c r="ITX1" s="24"/>
      <c r="ITY1" s="24"/>
      <c r="ITZ1" s="24"/>
      <c r="IUA1" s="24"/>
      <c r="IUB1" s="24"/>
      <c r="IUC1" s="24"/>
      <c r="IUD1" s="24"/>
      <c r="IUE1" s="24"/>
      <c r="IUF1" s="24"/>
      <c r="IUG1" s="24"/>
      <c r="IUH1" s="24"/>
      <c r="IUI1" s="24"/>
      <c r="IUJ1" s="24"/>
      <c r="IUK1" s="24"/>
      <c r="IUL1" s="24"/>
      <c r="IUM1" s="24"/>
      <c r="IUN1" s="24"/>
      <c r="IUO1" s="24"/>
      <c r="IUP1" s="24"/>
      <c r="IUQ1" s="24"/>
      <c r="IUR1" s="24"/>
      <c r="IUS1" s="24"/>
      <c r="IUT1" s="24"/>
      <c r="IUU1" s="24"/>
      <c r="IUV1" s="24"/>
      <c r="IUW1" s="24"/>
      <c r="IUX1" s="24"/>
      <c r="IUY1" s="24"/>
      <c r="IUZ1" s="24"/>
      <c r="IVA1" s="24"/>
      <c r="IVB1" s="24"/>
      <c r="IVC1" s="24"/>
      <c r="IVD1" s="24"/>
      <c r="IVE1" s="24"/>
      <c r="IVF1" s="24"/>
      <c r="IVG1" s="24"/>
      <c r="IVH1" s="24"/>
      <c r="IVI1" s="24"/>
      <c r="IVJ1" s="24"/>
      <c r="IVK1" s="24"/>
      <c r="IVL1" s="24"/>
      <c r="IVM1" s="24"/>
      <c r="IVN1" s="24"/>
      <c r="IVO1" s="24"/>
      <c r="IVP1" s="24"/>
      <c r="IVQ1" s="24"/>
      <c r="IVR1" s="24"/>
      <c r="IVS1" s="24"/>
      <c r="IVT1" s="24"/>
      <c r="IVU1" s="24"/>
      <c r="IVV1" s="24"/>
      <c r="IVW1" s="24"/>
      <c r="IVX1" s="24"/>
      <c r="IVY1" s="24"/>
      <c r="IVZ1" s="24"/>
      <c r="IWA1" s="24"/>
      <c r="IWB1" s="24"/>
      <c r="IWC1" s="24"/>
      <c r="IWD1" s="24"/>
      <c r="IWE1" s="24"/>
      <c r="IWF1" s="24"/>
      <c r="IWG1" s="24"/>
      <c r="IWH1" s="24"/>
      <c r="IWI1" s="24"/>
      <c r="IWJ1" s="24"/>
      <c r="IWK1" s="24"/>
      <c r="IWL1" s="24"/>
      <c r="IWM1" s="24"/>
      <c r="IWN1" s="24"/>
      <c r="IWO1" s="24"/>
      <c r="IWP1" s="24"/>
      <c r="IWQ1" s="24"/>
      <c r="IWR1" s="24"/>
      <c r="IWS1" s="24"/>
      <c r="IWT1" s="24"/>
      <c r="IWU1" s="24"/>
      <c r="IWV1" s="24"/>
      <c r="IWW1" s="24"/>
      <c r="IWX1" s="24"/>
      <c r="IWY1" s="24"/>
      <c r="IWZ1" s="24"/>
      <c r="IXA1" s="24"/>
      <c r="IXB1" s="24"/>
      <c r="IXC1" s="24"/>
      <c r="IXD1" s="24"/>
      <c r="IXE1" s="24"/>
      <c r="IXF1" s="24"/>
      <c r="IXG1" s="24"/>
      <c r="IXH1" s="24"/>
      <c r="IXI1" s="24"/>
      <c r="IXJ1" s="24"/>
      <c r="IXK1" s="24"/>
      <c r="IXL1" s="24"/>
      <c r="IXM1" s="24"/>
      <c r="IXN1" s="24"/>
      <c r="IXO1" s="24"/>
      <c r="IXP1" s="24"/>
      <c r="IXQ1" s="24"/>
      <c r="IXR1" s="24"/>
      <c r="IXS1" s="24"/>
      <c r="IXT1" s="24"/>
      <c r="IXU1" s="24"/>
      <c r="IXV1" s="24"/>
      <c r="IXW1" s="24"/>
      <c r="IXX1" s="24"/>
      <c r="IXY1" s="24"/>
      <c r="IXZ1" s="24"/>
      <c r="IYA1" s="24"/>
      <c r="IYB1" s="24"/>
      <c r="IYC1" s="24"/>
      <c r="IYD1" s="24"/>
      <c r="IYE1" s="24"/>
      <c r="IYF1" s="24"/>
      <c r="IYG1" s="24"/>
      <c r="IYH1" s="24"/>
      <c r="IYI1" s="24"/>
      <c r="IYJ1" s="24"/>
      <c r="IYK1" s="24"/>
      <c r="IYL1" s="24"/>
      <c r="IYM1" s="24"/>
      <c r="IYN1" s="24"/>
      <c r="IYO1" s="24"/>
      <c r="IYP1" s="24"/>
      <c r="IYQ1" s="24"/>
      <c r="IYR1" s="24"/>
      <c r="IYS1" s="24"/>
      <c r="IYT1" s="24"/>
      <c r="IYU1" s="24"/>
      <c r="IYV1" s="24"/>
      <c r="IYW1" s="24"/>
      <c r="IYX1" s="24"/>
      <c r="IYY1" s="24"/>
      <c r="IYZ1" s="24"/>
      <c r="IZA1" s="24"/>
      <c r="IZB1" s="24"/>
      <c r="IZC1" s="24"/>
      <c r="IZD1" s="24"/>
      <c r="IZE1" s="24"/>
      <c r="IZF1" s="24"/>
      <c r="IZG1" s="24"/>
      <c r="IZH1" s="24"/>
      <c r="IZI1" s="24"/>
      <c r="IZJ1" s="24"/>
      <c r="IZK1" s="24"/>
      <c r="IZL1" s="24"/>
      <c r="IZM1" s="24"/>
      <c r="IZN1" s="24"/>
      <c r="IZO1" s="24"/>
      <c r="IZP1" s="24"/>
      <c r="IZQ1" s="24"/>
      <c r="IZR1" s="24"/>
      <c r="IZS1" s="24"/>
      <c r="IZT1" s="24"/>
      <c r="IZU1" s="24"/>
      <c r="IZV1" s="24"/>
      <c r="IZW1" s="24"/>
      <c r="IZX1" s="24"/>
      <c r="IZY1" s="24"/>
      <c r="IZZ1" s="24"/>
      <c r="JAA1" s="24"/>
      <c r="JAB1" s="24"/>
      <c r="JAC1" s="24"/>
      <c r="JAD1" s="24"/>
      <c r="JAE1" s="24"/>
      <c r="JAF1" s="24"/>
      <c r="JAG1" s="24"/>
      <c r="JAH1" s="24"/>
      <c r="JAI1" s="24"/>
      <c r="JAJ1" s="24"/>
      <c r="JAK1" s="24"/>
      <c r="JAL1" s="24"/>
      <c r="JAM1" s="24"/>
      <c r="JAN1" s="24"/>
      <c r="JAO1" s="24"/>
      <c r="JAP1" s="24"/>
      <c r="JAQ1" s="24"/>
      <c r="JAR1" s="24"/>
      <c r="JAS1" s="24"/>
      <c r="JAT1" s="24"/>
      <c r="JAU1" s="24"/>
      <c r="JAV1" s="24"/>
      <c r="JAW1" s="24"/>
      <c r="JAX1" s="24"/>
      <c r="JAY1" s="24"/>
      <c r="JAZ1" s="24"/>
      <c r="JBA1" s="24"/>
      <c r="JBB1" s="24"/>
      <c r="JBC1" s="24"/>
      <c r="JBD1" s="24"/>
      <c r="JBE1" s="24"/>
      <c r="JBF1" s="24"/>
      <c r="JBG1" s="24"/>
      <c r="JBH1" s="24"/>
      <c r="JBI1" s="24"/>
      <c r="JBJ1" s="24"/>
      <c r="JBK1" s="24"/>
      <c r="JBL1" s="24"/>
      <c r="JBM1" s="24"/>
      <c r="JBN1" s="24"/>
      <c r="JBO1" s="24"/>
      <c r="JBP1" s="24"/>
      <c r="JBQ1" s="24"/>
      <c r="JBR1" s="24"/>
      <c r="JBS1" s="24"/>
      <c r="JBT1" s="24"/>
      <c r="JBU1" s="24"/>
      <c r="JBV1" s="24"/>
      <c r="JBW1" s="24"/>
      <c r="JBX1" s="24"/>
      <c r="JBY1" s="24"/>
      <c r="JBZ1" s="24"/>
      <c r="JCA1" s="24"/>
      <c r="JCB1" s="24"/>
      <c r="JCC1" s="24"/>
      <c r="JCD1" s="24"/>
      <c r="JCE1" s="24"/>
      <c r="JCF1" s="24"/>
      <c r="JCG1" s="24"/>
      <c r="JCH1" s="24"/>
      <c r="JCI1" s="24"/>
      <c r="JCJ1" s="24"/>
      <c r="JCK1" s="24"/>
      <c r="JCL1" s="24"/>
      <c r="JCM1" s="24"/>
      <c r="JCN1" s="24"/>
      <c r="JCO1" s="24"/>
      <c r="JCP1" s="24"/>
      <c r="JCQ1" s="24"/>
      <c r="JCR1" s="24"/>
      <c r="JCS1" s="24"/>
      <c r="JCT1" s="24"/>
      <c r="JCU1" s="24"/>
      <c r="JCV1" s="24"/>
      <c r="JCW1" s="24"/>
      <c r="JCX1" s="24"/>
      <c r="JCY1" s="24"/>
      <c r="JCZ1" s="24"/>
      <c r="JDA1" s="24"/>
      <c r="JDB1" s="24"/>
      <c r="JDC1" s="24"/>
      <c r="JDD1" s="24"/>
      <c r="JDE1" s="24"/>
      <c r="JDF1" s="24"/>
      <c r="JDG1" s="24"/>
      <c r="JDH1" s="24"/>
      <c r="JDI1" s="24"/>
      <c r="JDJ1" s="24"/>
      <c r="JDK1" s="24"/>
      <c r="JDL1" s="24"/>
      <c r="JDM1" s="24"/>
      <c r="JDN1" s="24"/>
      <c r="JDO1" s="24"/>
      <c r="JDP1" s="24"/>
      <c r="JDQ1" s="24"/>
      <c r="JDR1" s="24"/>
      <c r="JDS1" s="24"/>
      <c r="JDT1" s="24"/>
      <c r="JDU1" s="24"/>
      <c r="JDV1" s="24"/>
      <c r="JDW1" s="24"/>
      <c r="JDX1" s="24"/>
      <c r="JDY1" s="24"/>
      <c r="JDZ1" s="24"/>
      <c r="JEA1" s="24"/>
      <c r="JEB1" s="24"/>
      <c r="JEC1" s="24"/>
      <c r="JED1" s="24"/>
      <c r="JEE1" s="24"/>
      <c r="JEF1" s="24"/>
      <c r="JEG1" s="24"/>
      <c r="JEH1" s="24"/>
      <c r="JEI1" s="24"/>
      <c r="JEJ1" s="24"/>
      <c r="JEK1" s="24"/>
      <c r="JEL1" s="24"/>
      <c r="JEM1" s="24"/>
      <c r="JEN1" s="24"/>
      <c r="JEO1" s="24"/>
      <c r="JEP1" s="24"/>
      <c r="JEQ1" s="24"/>
      <c r="JER1" s="24"/>
      <c r="JES1" s="24"/>
      <c r="JET1" s="24"/>
      <c r="JEU1" s="24"/>
      <c r="JEV1" s="24"/>
      <c r="JEW1" s="24"/>
      <c r="JEX1" s="24"/>
      <c r="JEY1" s="24"/>
      <c r="JEZ1" s="24"/>
      <c r="JFA1" s="24"/>
      <c r="JFB1" s="24"/>
      <c r="JFC1" s="24"/>
      <c r="JFD1" s="24"/>
      <c r="JFE1" s="24"/>
      <c r="JFF1" s="24"/>
      <c r="JFG1" s="24"/>
      <c r="JFH1" s="24"/>
      <c r="JFI1" s="24"/>
      <c r="JFJ1" s="24"/>
      <c r="JFK1" s="24"/>
      <c r="JFL1" s="24"/>
      <c r="JFM1" s="24"/>
      <c r="JFN1" s="24"/>
      <c r="JFO1" s="24"/>
      <c r="JFP1" s="24"/>
      <c r="JFQ1" s="24"/>
      <c r="JFR1" s="24"/>
      <c r="JFS1" s="24"/>
      <c r="JFT1" s="24"/>
      <c r="JFU1" s="24"/>
      <c r="JFV1" s="24"/>
      <c r="JFW1" s="24"/>
      <c r="JFX1" s="24"/>
      <c r="JFY1" s="24"/>
      <c r="JFZ1" s="24"/>
      <c r="JGA1" s="24"/>
      <c r="JGB1" s="24"/>
      <c r="JGC1" s="24"/>
      <c r="JGD1" s="24"/>
      <c r="JGE1" s="24"/>
      <c r="JGF1" s="24"/>
      <c r="JGG1" s="24"/>
      <c r="JGH1" s="24"/>
      <c r="JGI1" s="24"/>
      <c r="JGJ1" s="24"/>
      <c r="JGK1" s="24"/>
      <c r="JGL1" s="24"/>
      <c r="JGM1" s="24"/>
      <c r="JGN1" s="24"/>
      <c r="JGO1" s="24"/>
      <c r="JGP1" s="24"/>
      <c r="JGQ1" s="24"/>
      <c r="JGR1" s="24"/>
      <c r="JGS1" s="24"/>
      <c r="JGT1" s="24"/>
      <c r="JGU1" s="24"/>
      <c r="JGV1" s="24"/>
      <c r="JGW1" s="24"/>
      <c r="JGX1" s="24"/>
      <c r="JGY1" s="24"/>
      <c r="JGZ1" s="24"/>
      <c r="JHA1" s="24"/>
      <c r="JHB1" s="24"/>
      <c r="JHC1" s="24"/>
      <c r="JHD1" s="24"/>
      <c r="JHE1" s="24"/>
      <c r="JHF1" s="24"/>
      <c r="JHG1" s="24"/>
      <c r="JHH1" s="24"/>
      <c r="JHI1" s="24"/>
      <c r="JHJ1" s="24"/>
      <c r="JHK1" s="24"/>
      <c r="JHL1" s="24"/>
      <c r="JHM1" s="24"/>
      <c r="JHN1" s="24"/>
      <c r="JHO1" s="24"/>
      <c r="JHP1" s="24"/>
      <c r="JHQ1" s="24"/>
      <c r="JHR1" s="24"/>
      <c r="JHS1" s="24"/>
      <c r="JHT1" s="24"/>
      <c r="JHU1" s="24"/>
      <c r="JHV1" s="24"/>
      <c r="JHW1" s="24"/>
      <c r="JHX1" s="24"/>
      <c r="JHY1" s="24"/>
      <c r="JHZ1" s="24"/>
      <c r="JIA1" s="24"/>
      <c r="JIB1" s="24"/>
      <c r="JIC1" s="24"/>
      <c r="JID1" s="24"/>
      <c r="JIE1" s="24"/>
      <c r="JIF1" s="24"/>
      <c r="JIG1" s="24"/>
      <c r="JIH1" s="24"/>
      <c r="JII1" s="24"/>
      <c r="JIJ1" s="24"/>
      <c r="JIK1" s="24"/>
      <c r="JIL1" s="24"/>
      <c r="JIM1" s="24"/>
      <c r="JIN1" s="24"/>
      <c r="JIO1" s="24"/>
      <c r="JIP1" s="24"/>
      <c r="JIQ1" s="24"/>
      <c r="JIR1" s="24"/>
      <c r="JIS1" s="24"/>
      <c r="JIT1" s="24"/>
      <c r="JIU1" s="24"/>
      <c r="JIV1" s="24"/>
      <c r="JIW1" s="24"/>
      <c r="JIX1" s="24"/>
      <c r="JIY1" s="24"/>
      <c r="JIZ1" s="24"/>
      <c r="JJA1" s="24"/>
      <c r="JJB1" s="24"/>
      <c r="JJC1" s="24"/>
      <c r="JJD1" s="24"/>
      <c r="JJE1" s="24"/>
      <c r="JJF1" s="24"/>
      <c r="JJG1" s="24"/>
      <c r="JJH1" s="24"/>
      <c r="JJI1" s="24"/>
      <c r="JJJ1" s="24"/>
      <c r="JJK1" s="24"/>
      <c r="JJL1" s="24"/>
      <c r="JJM1" s="24"/>
      <c r="JJN1" s="24"/>
      <c r="JJO1" s="24"/>
      <c r="JJP1" s="24"/>
      <c r="JJQ1" s="24"/>
      <c r="JJR1" s="24"/>
      <c r="JJS1" s="24"/>
      <c r="JJT1" s="24"/>
      <c r="JJU1" s="24"/>
      <c r="JJV1" s="24"/>
      <c r="JJW1" s="24"/>
      <c r="JJX1" s="24"/>
      <c r="JJY1" s="24"/>
      <c r="JJZ1" s="24"/>
      <c r="JKA1" s="24"/>
      <c r="JKB1" s="24"/>
      <c r="JKC1" s="24"/>
      <c r="JKD1" s="24"/>
      <c r="JKE1" s="24"/>
      <c r="JKF1" s="24"/>
      <c r="JKG1" s="24"/>
      <c r="JKH1" s="24"/>
      <c r="JKI1" s="24"/>
      <c r="JKJ1" s="24"/>
      <c r="JKK1" s="24"/>
      <c r="JKL1" s="24"/>
      <c r="JKM1" s="24"/>
      <c r="JKN1" s="24"/>
      <c r="JKO1" s="24"/>
      <c r="JKP1" s="24"/>
      <c r="JKQ1" s="24"/>
      <c r="JKR1" s="24"/>
      <c r="JKS1" s="24"/>
      <c r="JKT1" s="24"/>
      <c r="JKU1" s="24"/>
      <c r="JKV1" s="24"/>
      <c r="JKW1" s="24"/>
      <c r="JKX1" s="24"/>
      <c r="JKY1" s="24"/>
      <c r="JKZ1" s="24"/>
      <c r="JLA1" s="24"/>
      <c r="JLB1" s="24"/>
      <c r="JLC1" s="24"/>
      <c r="JLD1" s="24"/>
      <c r="JLE1" s="24"/>
      <c r="JLF1" s="24"/>
      <c r="JLG1" s="24"/>
      <c r="JLH1" s="24"/>
      <c r="JLI1" s="24"/>
      <c r="JLJ1" s="24"/>
      <c r="JLK1" s="24"/>
      <c r="JLL1" s="24"/>
      <c r="JLM1" s="24"/>
      <c r="JLN1" s="24"/>
      <c r="JLO1" s="24"/>
      <c r="JLP1" s="24"/>
      <c r="JLQ1" s="24"/>
      <c r="JLR1" s="24"/>
      <c r="JLS1" s="24"/>
      <c r="JLT1" s="24"/>
      <c r="JLU1" s="24"/>
      <c r="JLV1" s="24"/>
      <c r="JLW1" s="24"/>
      <c r="JLX1" s="24"/>
      <c r="JLY1" s="24"/>
      <c r="JLZ1" s="24"/>
      <c r="JMA1" s="24"/>
      <c r="JMB1" s="24"/>
      <c r="JMC1" s="24"/>
      <c r="JMD1" s="24"/>
      <c r="JME1" s="24"/>
      <c r="JMF1" s="24"/>
      <c r="JMG1" s="24"/>
      <c r="JMH1" s="24"/>
      <c r="JMI1" s="24"/>
      <c r="JMJ1" s="24"/>
      <c r="JMK1" s="24"/>
      <c r="JML1" s="24"/>
      <c r="JMM1" s="24"/>
      <c r="JMN1" s="24"/>
      <c r="JMO1" s="24"/>
      <c r="JMP1" s="24"/>
      <c r="JMQ1" s="24"/>
      <c r="JMR1" s="24"/>
      <c r="JMS1" s="24"/>
      <c r="JMT1" s="24"/>
      <c r="JMU1" s="24"/>
      <c r="JMV1" s="24"/>
      <c r="JMW1" s="24"/>
      <c r="JMX1" s="24"/>
      <c r="JMY1" s="24"/>
      <c r="JMZ1" s="24"/>
      <c r="JNA1" s="24"/>
      <c r="JNB1" s="24"/>
      <c r="JNC1" s="24"/>
      <c r="JND1" s="24"/>
      <c r="JNE1" s="24"/>
      <c r="JNF1" s="24"/>
      <c r="JNG1" s="24"/>
      <c r="JNH1" s="24"/>
      <c r="JNI1" s="24"/>
      <c r="JNJ1" s="24"/>
      <c r="JNK1" s="24"/>
      <c r="JNL1" s="24"/>
      <c r="JNM1" s="24"/>
      <c r="JNN1" s="24"/>
      <c r="JNO1" s="24"/>
      <c r="JNP1" s="24"/>
      <c r="JNQ1" s="24"/>
      <c r="JNR1" s="24"/>
      <c r="JNS1" s="24"/>
      <c r="JNT1" s="24"/>
      <c r="JNU1" s="24"/>
      <c r="JNV1" s="24"/>
      <c r="JNW1" s="24"/>
      <c r="JNX1" s="24"/>
      <c r="JNY1" s="24"/>
      <c r="JNZ1" s="24"/>
      <c r="JOA1" s="24"/>
      <c r="JOB1" s="24"/>
      <c r="JOC1" s="24"/>
      <c r="JOD1" s="24"/>
      <c r="JOE1" s="24"/>
      <c r="JOF1" s="24"/>
      <c r="JOG1" s="24"/>
      <c r="JOH1" s="24"/>
      <c r="JOI1" s="24"/>
      <c r="JOJ1" s="24"/>
      <c r="JOK1" s="24"/>
      <c r="JOL1" s="24"/>
      <c r="JOM1" s="24"/>
      <c r="JON1" s="24"/>
      <c r="JOO1" s="24"/>
      <c r="JOP1" s="24"/>
      <c r="JOQ1" s="24"/>
      <c r="JOR1" s="24"/>
      <c r="JOS1" s="24"/>
      <c r="JOT1" s="24"/>
      <c r="JOU1" s="24"/>
      <c r="JOV1" s="24"/>
      <c r="JOW1" s="24"/>
      <c r="JOX1" s="24"/>
      <c r="JOY1" s="24"/>
      <c r="JOZ1" s="24"/>
      <c r="JPA1" s="24"/>
      <c r="JPB1" s="24"/>
      <c r="JPC1" s="24"/>
      <c r="JPD1" s="24"/>
      <c r="JPE1" s="24"/>
      <c r="JPF1" s="24"/>
      <c r="JPG1" s="24"/>
      <c r="JPH1" s="24"/>
      <c r="JPI1" s="24"/>
      <c r="JPJ1" s="24"/>
      <c r="JPK1" s="24"/>
      <c r="JPL1" s="24"/>
      <c r="JPM1" s="24"/>
      <c r="JPN1" s="24"/>
      <c r="JPO1" s="24"/>
      <c r="JPP1" s="24"/>
      <c r="JPQ1" s="24"/>
      <c r="JPR1" s="24"/>
      <c r="JPS1" s="24"/>
      <c r="JPT1" s="24"/>
      <c r="JPU1" s="24"/>
      <c r="JPV1" s="24"/>
      <c r="JPW1" s="24"/>
      <c r="JPX1" s="24"/>
      <c r="JPY1" s="24"/>
      <c r="JPZ1" s="24"/>
      <c r="JQA1" s="24"/>
      <c r="JQB1" s="24"/>
      <c r="JQC1" s="24"/>
      <c r="JQD1" s="24"/>
      <c r="JQE1" s="24"/>
      <c r="JQF1" s="24"/>
      <c r="JQG1" s="24"/>
      <c r="JQH1" s="24"/>
      <c r="JQI1" s="24"/>
      <c r="JQJ1" s="24"/>
      <c r="JQK1" s="24"/>
      <c r="JQL1" s="24"/>
      <c r="JQM1" s="24"/>
      <c r="JQN1" s="24"/>
      <c r="JQO1" s="24"/>
      <c r="JQP1" s="24"/>
      <c r="JQQ1" s="24"/>
      <c r="JQR1" s="24"/>
      <c r="JQS1" s="24"/>
      <c r="JQT1" s="24"/>
      <c r="JQU1" s="24"/>
      <c r="JQV1" s="24"/>
      <c r="JQW1" s="24"/>
      <c r="JQX1" s="24"/>
      <c r="JQY1" s="24"/>
      <c r="JQZ1" s="24"/>
      <c r="JRA1" s="24"/>
      <c r="JRB1" s="24"/>
      <c r="JRC1" s="24"/>
      <c r="JRD1" s="24"/>
      <c r="JRE1" s="24"/>
      <c r="JRF1" s="24"/>
      <c r="JRG1" s="24"/>
      <c r="JRH1" s="24"/>
      <c r="JRI1" s="24"/>
      <c r="JRJ1" s="24"/>
      <c r="JRK1" s="24"/>
      <c r="JRL1" s="24"/>
      <c r="JRM1" s="24"/>
      <c r="JRN1" s="24"/>
      <c r="JRO1" s="24"/>
      <c r="JRP1" s="24"/>
      <c r="JRQ1" s="24"/>
      <c r="JRR1" s="24"/>
      <c r="JRS1" s="24"/>
      <c r="JRT1" s="24"/>
      <c r="JRU1" s="24"/>
      <c r="JRV1" s="24"/>
      <c r="JRW1" s="24"/>
      <c r="JRX1" s="24"/>
      <c r="JRY1" s="24"/>
      <c r="JRZ1" s="24"/>
      <c r="JSA1" s="24"/>
      <c r="JSB1" s="24"/>
      <c r="JSC1" s="24"/>
      <c r="JSD1" s="24"/>
      <c r="JSE1" s="24"/>
      <c r="JSF1" s="24"/>
      <c r="JSG1" s="24"/>
      <c r="JSH1" s="24"/>
      <c r="JSI1" s="24"/>
      <c r="JSJ1" s="24"/>
      <c r="JSK1" s="24"/>
      <c r="JSL1" s="24"/>
      <c r="JSM1" s="24"/>
      <c r="JSN1" s="24"/>
      <c r="JSO1" s="24"/>
      <c r="JSP1" s="24"/>
      <c r="JSQ1" s="24"/>
      <c r="JSR1" s="24"/>
      <c r="JSS1" s="24"/>
      <c r="JST1" s="24"/>
      <c r="JSU1" s="24"/>
      <c r="JSV1" s="24"/>
      <c r="JSW1" s="24"/>
      <c r="JSX1" s="24"/>
      <c r="JSY1" s="24"/>
      <c r="JSZ1" s="24"/>
      <c r="JTA1" s="24"/>
      <c r="JTB1" s="24"/>
      <c r="JTC1" s="24"/>
      <c r="JTD1" s="24"/>
      <c r="JTE1" s="24"/>
      <c r="JTF1" s="24"/>
      <c r="JTG1" s="24"/>
      <c r="JTH1" s="24"/>
      <c r="JTI1" s="24"/>
      <c r="JTJ1" s="24"/>
      <c r="JTK1" s="24"/>
      <c r="JTL1" s="24"/>
      <c r="JTM1" s="24"/>
      <c r="JTN1" s="24"/>
      <c r="JTO1" s="24"/>
      <c r="JTP1" s="24"/>
      <c r="JTQ1" s="24"/>
      <c r="JTR1" s="24"/>
      <c r="JTS1" s="24"/>
      <c r="JTT1" s="24"/>
      <c r="JTU1" s="24"/>
      <c r="JTV1" s="24"/>
      <c r="JTW1" s="24"/>
      <c r="JTX1" s="24"/>
      <c r="JTY1" s="24"/>
      <c r="JTZ1" s="24"/>
      <c r="JUA1" s="24"/>
      <c r="JUB1" s="24"/>
      <c r="JUC1" s="24"/>
      <c r="JUD1" s="24"/>
      <c r="JUE1" s="24"/>
      <c r="JUF1" s="24"/>
      <c r="JUG1" s="24"/>
      <c r="JUH1" s="24"/>
      <c r="JUI1" s="24"/>
      <c r="JUJ1" s="24"/>
      <c r="JUK1" s="24"/>
      <c r="JUL1" s="24"/>
      <c r="JUM1" s="24"/>
      <c r="JUN1" s="24"/>
      <c r="JUO1" s="24"/>
      <c r="JUP1" s="24"/>
      <c r="JUQ1" s="24"/>
      <c r="JUR1" s="24"/>
      <c r="JUS1" s="24"/>
      <c r="JUT1" s="24"/>
      <c r="JUU1" s="24"/>
      <c r="JUV1" s="24"/>
      <c r="JUW1" s="24"/>
      <c r="JUX1" s="24"/>
      <c r="JUY1" s="24"/>
      <c r="JUZ1" s="24"/>
      <c r="JVA1" s="24"/>
      <c r="JVB1" s="24"/>
      <c r="JVC1" s="24"/>
      <c r="JVD1" s="24"/>
      <c r="JVE1" s="24"/>
      <c r="JVF1" s="24"/>
      <c r="JVG1" s="24"/>
      <c r="JVH1" s="24"/>
      <c r="JVI1" s="24"/>
      <c r="JVJ1" s="24"/>
      <c r="JVK1" s="24"/>
      <c r="JVL1" s="24"/>
      <c r="JVM1" s="24"/>
      <c r="JVN1" s="24"/>
      <c r="JVO1" s="24"/>
      <c r="JVP1" s="24"/>
      <c r="JVQ1" s="24"/>
      <c r="JVR1" s="24"/>
      <c r="JVS1" s="24"/>
      <c r="JVT1" s="24"/>
      <c r="JVU1" s="24"/>
      <c r="JVV1" s="24"/>
      <c r="JVW1" s="24"/>
      <c r="JVX1" s="24"/>
      <c r="JVY1" s="24"/>
      <c r="JVZ1" s="24"/>
      <c r="JWA1" s="24"/>
      <c r="JWB1" s="24"/>
      <c r="JWC1" s="24"/>
      <c r="JWD1" s="24"/>
      <c r="JWE1" s="24"/>
      <c r="JWF1" s="24"/>
      <c r="JWG1" s="24"/>
      <c r="JWH1" s="24"/>
      <c r="JWI1" s="24"/>
      <c r="JWJ1" s="24"/>
      <c r="JWK1" s="24"/>
      <c r="JWL1" s="24"/>
      <c r="JWM1" s="24"/>
      <c r="JWN1" s="24"/>
      <c r="JWO1" s="24"/>
      <c r="JWP1" s="24"/>
      <c r="JWQ1" s="24"/>
      <c r="JWR1" s="24"/>
      <c r="JWS1" s="24"/>
      <c r="JWT1" s="24"/>
      <c r="JWU1" s="24"/>
      <c r="JWV1" s="24"/>
      <c r="JWW1" s="24"/>
      <c r="JWX1" s="24"/>
      <c r="JWY1" s="24"/>
      <c r="JWZ1" s="24"/>
      <c r="JXA1" s="24"/>
      <c r="JXB1" s="24"/>
      <c r="JXC1" s="24"/>
      <c r="JXD1" s="24"/>
      <c r="JXE1" s="24"/>
      <c r="JXF1" s="24"/>
      <c r="JXG1" s="24"/>
      <c r="JXH1" s="24"/>
      <c r="JXI1" s="24"/>
      <c r="JXJ1" s="24"/>
      <c r="JXK1" s="24"/>
      <c r="JXL1" s="24"/>
      <c r="JXM1" s="24"/>
      <c r="JXN1" s="24"/>
      <c r="JXO1" s="24"/>
      <c r="JXP1" s="24"/>
      <c r="JXQ1" s="24"/>
      <c r="JXR1" s="24"/>
      <c r="JXS1" s="24"/>
      <c r="JXT1" s="24"/>
      <c r="JXU1" s="24"/>
      <c r="JXV1" s="24"/>
      <c r="JXW1" s="24"/>
      <c r="JXX1" s="24"/>
      <c r="JXY1" s="24"/>
      <c r="JXZ1" s="24"/>
      <c r="JYA1" s="24"/>
      <c r="JYB1" s="24"/>
      <c r="JYC1" s="24"/>
      <c r="JYD1" s="24"/>
      <c r="JYE1" s="24"/>
      <c r="JYF1" s="24"/>
      <c r="JYG1" s="24"/>
      <c r="JYH1" s="24"/>
      <c r="JYI1" s="24"/>
      <c r="JYJ1" s="24"/>
      <c r="JYK1" s="24"/>
      <c r="JYL1" s="24"/>
      <c r="JYM1" s="24"/>
      <c r="JYN1" s="24"/>
      <c r="JYO1" s="24"/>
      <c r="JYP1" s="24"/>
      <c r="JYQ1" s="24"/>
      <c r="JYR1" s="24"/>
      <c r="JYS1" s="24"/>
      <c r="JYT1" s="24"/>
      <c r="JYU1" s="24"/>
      <c r="JYV1" s="24"/>
      <c r="JYW1" s="24"/>
      <c r="JYX1" s="24"/>
      <c r="JYY1" s="24"/>
      <c r="JYZ1" s="24"/>
      <c r="JZA1" s="24"/>
      <c r="JZB1" s="24"/>
      <c r="JZC1" s="24"/>
      <c r="JZD1" s="24"/>
      <c r="JZE1" s="24"/>
      <c r="JZF1" s="24"/>
      <c r="JZG1" s="24"/>
      <c r="JZH1" s="24"/>
      <c r="JZI1" s="24"/>
      <c r="JZJ1" s="24"/>
      <c r="JZK1" s="24"/>
      <c r="JZL1" s="24"/>
      <c r="JZM1" s="24"/>
      <c r="JZN1" s="24"/>
      <c r="JZO1" s="24"/>
      <c r="JZP1" s="24"/>
      <c r="JZQ1" s="24"/>
      <c r="JZR1" s="24"/>
      <c r="JZS1" s="24"/>
      <c r="JZT1" s="24"/>
      <c r="JZU1" s="24"/>
      <c r="JZV1" s="24"/>
      <c r="JZW1" s="24"/>
      <c r="JZX1" s="24"/>
      <c r="JZY1" s="24"/>
      <c r="JZZ1" s="24"/>
      <c r="KAA1" s="24"/>
      <c r="KAB1" s="24"/>
      <c r="KAC1" s="24"/>
      <c r="KAD1" s="24"/>
      <c r="KAE1" s="24"/>
      <c r="KAF1" s="24"/>
      <c r="KAG1" s="24"/>
      <c r="KAH1" s="24"/>
      <c r="KAI1" s="24"/>
      <c r="KAJ1" s="24"/>
      <c r="KAK1" s="24"/>
      <c r="KAL1" s="24"/>
      <c r="KAM1" s="24"/>
      <c r="KAN1" s="24"/>
      <c r="KAO1" s="24"/>
      <c r="KAP1" s="24"/>
      <c r="KAQ1" s="24"/>
      <c r="KAR1" s="24"/>
      <c r="KAS1" s="24"/>
      <c r="KAT1" s="24"/>
      <c r="KAU1" s="24"/>
      <c r="KAV1" s="24"/>
      <c r="KAW1" s="24"/>
      <c r="KAX1" s="24"/>
      <c r="KAY1" s="24"/>
      <c r="KAZ1" s="24"/>
      <c r="KBA1" s="24"/>
      <c r="KBB1" s="24"/>
      <c r="KBC1" s="24"/>
      <c r="KBD1" s="24"/>
      <c r="KBE1" s="24"/>
      <c r="KBF1" s="24"/>
      <c r="KBG1" s="24"/>
      <c r="KBH1" s="24"/>
      <c r="KBI1" s="24"/>
      <c r="KBJ1" s="24"/>
      <c r="KBK1" s="24"/>
      <c r="KBL1" s="24"/>
      <c r="KBM1" s="24"/>
      <c r="KBN1" s="24"/>
      <c r="KBO1" s="24"/>
      <c r="KBP1" s="24"/>
      <c r="KBQ1" s="24"/>
      <c r="KBR1" s="24"/>
      <c r="KBS1" s="24"/>
      <c r="KBT1" s="24"/>
      <c r="KBU1" s="24"/>
      <c r="KBV1" s="24"/>
      <c r="KBW1" s="24"/>
      <c r="KBX1" s="24"/>
      <c r="KBY1" s="24"/>
      <c r="KBZ1" s="24"/>
      <c r="KCA1" s="24"/>
      <c r="KCB1" s="24"/>
      <c r="KCC1" s="24"/>
      <c r="KCD1" s="24"/>
      <c r="KCE1" s="24"/>
      <c r="KCF1" s="24"/>
      <c r="KCG1" s="24"/>
      <c r="KCH1" s="24"/>
      <c r="KCI1" s="24"/>
      <c r="KCJ1" s="24"/>
      <c r="KCK1" s="24"/>
      <c r="KCL1" s="24"/>
      <c r="KCM1" s="24"/>
      <c r="KCN1" s="24"/>
      <c r="KCO1" s="24"/>
      <c r="KCP1" s="24"/>
      <c r="KCQ1" s="24"/>
      <c r="KCR1" s="24"/>
      <c r="KCS1" s="24"/>
      <c r="KCT1" s="24"/>
      <c r="KCU1" s="24"/>
      <c r="KCV1" s="24"/>
      <c r="KCW1" s="24"/>
      <c r="KCX1" s="24"/>
      <c r="KCY1" s="24"/>
      <c r="KCZ1" s="24"/>
      <c r="KDA1" s="24"/>
      <c r="KDB1" s="24"/>
      <c r="KDC1" s="24"/>
      <c r="KDD1" s="24"/>
      <c r="KDE1" s="24"/>
      <c r="KDF1" s="24"/>
      <c r="KDG1" s="24"/>
      <c r="KDH1" s="24"/>
      <c r="KDI1" s="24"/>
      <c r="KDJ1" s="24"/>
      <c r="KDK1" s="24"/>
      <c r="KDL1" s="24"/>
      <c r="KDM1" s="24"/>
      <c r="KDN1" s="24"/>
      <c r="KDO1" s="24"/>
      <c r="KDP1" s="24"/>
      <c r="KDQ1" s="24"/>
      <c r="KDR1" s="24"/>
      <c r="KDS1" s="24"/>
      <c r="KDT1" s="24"/>
      <c r="KDU1" s="24"/>
      <c r="KDV1" s="24"/>
      <c r="KDW1" s="24"/>
      <c r="KDX1" s="24"/>
      <c r="KDY1" s="24"/>
      <c r="KDZ1" s="24"/>
      <c r="KEA1" s="24"/>
      <c r="KEB1" s="24"/>
      <c r="KEC1" s="24"/>
      <c r="KED1" s="24"/>
      <c r="KEE1" s="24"/>
      <c r="KEF1" s="24"/>
      <c r="KEG1" s="24"/>
      <c r="KEH1" s="24"/>
      <c r="KEI1" s="24"/>
      <c r="KEJ1" s="24"/>
      <c r="KEK1" s="24"/>
      <c r="KEL1" s="24"/>
      <c r="KEM1" s="24"/>
      <c r="KEN1" s="24"/>
      <c r="KEO1" s="24"/>
      <c r="KEP1" s="24"/>
      <c r="KEQ1" s="24"/>
      <c r="KER1" s="24"/>
      <c r="KES1" s="24"/>
      <c r="KET1" s="24"/>
      <c r="KEU1" s="24"/>
      <c r="KEV1" s="24"/>
      <c r="KEW1" s="24"/>
      <c r="KEX1" s="24"/>
      <c r="KEY1" s="24"/>
      <c r="KEZ1" s="24"/>
      <c r="KFA1" s="24"/>
      <c r="KFB1" s="24"/>
      <c r="KFC1" s="24"/>
      <c r="KFD1" s="24"/>
      <c r="KFE1" s="24"/>
      <c r="KFF1" s="24"/>
      <c r="KFG1" s="24"/>
      <c r="KFH1" s="24"/>
      <c r="KFI1" s="24"/>
      <c r="KFJ1" s="24"/>
      <c r="KFK1" s="24"/>
      <c r="KFL1" s="24"/>
      <c r="KFM1" s="24"/>
      <c r="KFN1" s="24"/>
      <c r="KFO1" s="24"/>
      <c r="KFP1" s="24"/>
      <c r="KFQ1" s="24"/>
      <c r="KFR1" s="24"/>
      <c r="KFS1" s="24"/>
      <c r="KFT1" s="24"/>
      <c r="KFU1" s="24"/>
      <c r="KFV1" s="24"/>
      <c r="KFW1" s="24"/>
      <c r="KFX1" s="24"/>
      <c r="KFY1" s="24"/>
      <c r="KFZ1" s="24"/>
      <c r="KGA1" s="24"/>
      <c r="KGB1" s="24"/>
      <c r="KGC1" s="24"/>
      <c r="KGD1" s="24"/>
      <c r="KGE1" s="24"/>
      <c r="KGF1" s="24"/>
      <c r="KGG1" s="24"/>
      <c r="KGH1" s="24"/>
      <c r="KGI1" s="24"/>
      <c r="KGJ1" s="24"/>
      <c r="KGK1" s="24"/>
      <c r="KGL1" s="24"/>
      <c r="KGM1" s="24"/>
      <c r="KGN1" s="24"/>
      <c r="KGO1" s="24"/>
      <c r="KGP1" s="24"/>
      <c r="KGQ1" s="24"/>
      <c r="KGR1" s="24"/>
      <c r="KGS1" s="24"/>
      <c r="KGT1" s="24"/>
      <c r="KGU1" s="24"/>
      <c r="KGV1" s="24"/>
      <c r="KGW1" s="24"/>
      <c r="KGX1" s="24"/>
      <c r="KGY1" s="24"/>
      <c r="KGZ1" s="24"/>
      <c r="KHA1" s="24"/>
      <c r="KHB1" s="24"/>
      <c r="KHC1" s="24"/>
      <c r="KHD1" s="24"/>
      <c r="KHE1" s="24"/>
      <c r="KHF1" s="24"/>
      <c r="KHG1" s="24"/>
      <c r="KHH1" s="24"/>
      <c r="KHI1" s="24"/>
      <c r="KHJ1" s="24"/>
      <c r="KHK1" s="24"/>
      <c r="KHL1" s="24"/>
      <c r="KHM1" s="24"/>
      <c r="KHN1" s="24"/>
      <c r="KHO1" s="24"/>
      <c r="KHP1" s="24"/>
      <c r="KHQ1" s="24"/>
      <c r="KHR1" s="24"/>
      <c r="KHS1" s="24"/>
      <c r="KHT1" s="24"/>
      <c r="KHU1" s="24"/>
      <c r="KHV1" s="24"/>
      <c r="KHW1" s="24"/>
      <c r="KHX1" s="24"/>
      <c r="KHY1" s="24"/>
      <c r="KHZ1" s="24"/>
      <c r="KIA1" s="24"/>
      <c r="KIB1" s="24"/>
      <c r="KIC1" s="24"/>
      <c r="KID1" s="24"/>
      <c r="KIE1" s="24"/>
      <c r="KIF1" s="24"/>
      <c r="KIG1" s="24"/>
      <c r="KIH1" s="24"/>
      <c r="KII1" s="24"/>
      <c r="KIJ1" s="24"/>
      <c r="KIK1" s="24"/>
      <c r="KIL1" s="24"/>
      <c r="KIM1" s="24"/>
      <c r="KIN1" s="24"/>
      <c r="KIO1" s="24"/>
      <c r="KIP1" s="24"/>
      <c r="KIQ1" s="24"/>
      <c r="KIR1" s="24"/>
      <c r="KIS1" s="24"/>
      <c r="KIT1" s="24"/>
      <c r="KIU1" s="24"/>
      <c r="KIV1" s="24"/>
      <c r="KIW1" s="24"/>
      <c r="KIX1" s="24"/>
      <c r="KIY1" s="24"/>
      <c r="KIZ1" s="24"/>
      <c r="KJA1" s="24"/>
      <c r="KJB1" s="24"/>
      <c r="KJC1" s="24"/>
      <c r="KJD1" s="24"/>
      <c r="KJE1" s="24"/>
      <c r="KJF1" s="24"/>
      <c r="KJG1" s="24"/>
      <c r="KJH1" s="24"/>
      <c r="KJI1" s="24"/>
      <c r="KJJ1" s="24"/>
      <c r="KJK1" s="24"/>
      <c r="KJL1" s="24"/>
      <c r="KJM1" s="24"/>
      <c r="KJN1" s="24"/>
      <c r="KJO1" s="24"/>
      <c r="KJP1" s="24"/>
      <c r="KJQ1" s="24"/>
      <c r="KJR1" s="24"/>
      <c r="KJS1" s="24"/>
      <c r="KJT1" s="24"/>
      <c r="KJU1" s="24"/>
      <c r="KJV1" s="24"/>
      <c r="KJW1" s="24"/>
      <c r="KJX1" s="24"/>
      <c r="KJY1" s="24"/>
      <c r="KJZ1" s="24"/>
      <c r="KKA1" s="24"/>
      <c r="KKB1" s="24"/>
      <c r="KKC1" s="24"/>
      <c r="KKD1" s="24"/>
      <c r="KKE1" s="24"/>
      <c r="KKF1" s="24"/>
      <c r="KKG1" s="24"/>
      <c r="KKH1" s="24"/>
      <c r="KKI1" s="24"/>
      <c r="KKJ1" s="24"/>
      <c r="KKK1" s="24"/>
      <c r="KKL1" s="24"/>
      <c r="KKM1" s="24"/>
      <c r="KKN1" s="24"/>
      <c r="KKO1" s="24"/>
      <c r="KKP1" s="24"/>
      <c r="KKQ1" s="24"/>
      <c r="KKR1" s="24"/>
      <c r="KKS1" s="24"/>
      <c r="KKT1" s="24"/>
      <c r="KKU1" s="24"/>
      <c r="KKV1" s="24"/>
      <c r="KKW1" s="24"/>
      <c r="KKX1" s="24"/>
      <c r="KKY1" s="24"/>
      <c r="KKZ1" s="24"/>
      <c r="KLA1" s="24"/>
      <c r="KLB1" s="24"/>
      <c r="KLC1" s="24"/>
      <c r="KLD1" s="24"/>
      <c r="KLE1" s="24"/>
      <c r="KLF1" s="24"/>
      <c r="KLG1" s="24"/>
      <c r="KLH1" s="24"/>
      <c r="KLI1" s="24"/>
      <c r="KLJ1" s="24"/>
      <c r="KLK1" s="24"/>
      <c r="KLL1" s="24"/>
      <c r="KLM1" s="24"/>
      <c r="KLN1" s="24"/>
      <c r="KLO1" s="24"/>
      <c r="KLP1" s="24"/>
      <c r="KLQ1" s="24"/>
      <c r="KLR1" s="24"/>
      <c r="KLS1" s="24"/>
      <c r="KLT1" s="24"/>
      <c r="KLU1" s="24"/>
      <c r="KLV1" s="24"/>
      <c r="KLW1" s="24"/>
      <c r="KLX1" s="24"/>
      <c r="KLY1" s="24"/>
      <c r="KLZ1" s="24"/>
      <c r="KMA1" s="24"/>
      <c r="KMB1" s="24"/>
      <c r="KMC1" s="24"/>
      <c r="KMD1" s="24"/>
      <c r="KME1" s="24"/>
      <c r="KMF1" s="24"/>
      <c r="KMG1" s="24"/>
      <c r="KMH1" s="24"/>
      <c r="KMI1" s="24"/>
      <c r="KMJ1" s="24"/>
      <c r="KMK1" s="24"/>
      <c r="KML1" s="24"/>
      <c r="KMM1" s="24"/>
      <c r="KMN1" s="24"/>
      <c r="KMO1" s="24"/>
      <c r="KMP1" s="24"/>
      <c r="KMQ1" s="24"/>
      <c r="KMR1" s="24"/>
      <c r="KMS1" s="24"/>
      <c r="KMT1" s="24"/>
      <c r="KMU1" s="24"/>
      <c r="KMV1" s="24"/>
      <c r="KMW1" s="24"/>
      <c r="KMX1" s="24"/>
      <c r="KMY1" s="24"/>
      <c r="KMZ1" s="24"/>
      <c r="KNA1" s="24"/>
      <c r="KNB1" s="24"/>
      <c r="KNC1" s="24"/>
      <c r="KND1" s="24"/>
      <c r="KNE1" s="24"/>
      <c r="KNF1" s="24"/>
      <c r="KNG1" s="24"/>
      <c r="KNH1" s="24"/>
      <c r="KNI1" s="24"/>
      <c r="KNJ1" s="24"/>
      <c r="KNK1" s="24"/>
      <c r="KNL1" s="24"/>
      <c r="KNM1" s="24"/>
      <c r="KNN1" s="24"/>
      <c r="KNO1" s="24"/>
      <c r="KNP1" s="24"/>
      <c r="KNQ1" s="24"/>
      <c r="KNR1" s="24"/>
      <c r="KNS1" s="24"/>
      <c r="KNT1" s="24"/>
      <c r="KNU1" s="24"/>
      <c r="KNV1" s="24"/>
      <c r="KNW1" s="24"/>
      <c r="KNX1" s="24"/>
      <c r="KNY1" s="24"/>
      <c r="KNZ1" s="24"/>
      <c r="KOA1" s="24"/>
      <c r="KOB1" s="24"/>
      <c r="KOC1" s="24"/>
      <c r="KOD1" s="24"/>
      <c r="KOE1" s="24"/>
      <c r="KOF1" s="24"/>
      <c r="KOG1" s="24"/>
      <c r="KOH1" s="24"/>
      <c r="KOI1" s="24"/>
      <c r="KOJ1" s="24"/>
      <c r="KOK1" s="24"/>
      <c r="KOL1" s="24"/>
      <c r="KOM1" s="24"/>
      <c r="KON1" s="24"/>
      <c r="KOO1" s="24"/>
      <c r="KOP1" s="24"/>
      <c r="KOQ1" s="24"/>
      <c r="KOR1" s="24"/>
      <c r="KOS1" s="24"/>
      <c r="KOT1" s="24"/>
      <c r="KOU1" s="24"/>
      <c r="KOV1" s="24"/>
      <c r="KOW1" s="24"/>
      <c r="KOX1" s="24"/>
      <c r="KOY1" s="24"/>
      <c r="KOZ1" s="24"/>
      <c r="KPA1" s="24"/>
      <c r="KPB1" s="24"/>
      <c r="KPC1" s="24"/>
      <c r="KPD1" s="24"/>
      <c r="KPE1" s="24"/>
      <c r="KPF1" s="24"/>
      <c r="KPG1" s="24"/>
      <c r="KPH1" s="24"/>
      <c r="KPI1" s="24"/>
      <c r="KPJ1" s="24"/>
      <c r="KPK1" s="24"/>
      <c r="KPL1" s="24"/>
      <c r="KPM1" s="24"/>
      <c r="KPN1" s="24"/>
      <c r="KPO1" s="24"/>
      <c r="KPP1" s="24"/>
      <c r="KPQ1" s="24"/>
      <c r="KPR1" s="24"/>
      <c r="KPS1" s="24"/>
      <c r="KPT1" s="24"/>
      <c r="KPU1" s="24"/>
      <c r="KPV1" s="24"/>
      <c r="KPW1" s="24"/>
      <c r="KPX1" s="24"/>
      <c r="KPY1" s="24"/>
      <c r="KPZ1" s="24"/>
      <c r="KQA1" s="24"/>
      <c r="KQB1" s="24"/>
      <c r="KQC1" s="24"/>
      <c r="KQD1" s="24"/>
      <c r="KQE1" s="24"/>
      <c r="KQF1" s="24"/>
      <c r="KQG1" s="24"/>
      <c r="KQH1" s="24"/>
      <c r="KQI1" s="24"/>
      <c r="KQJ1" s="24"/>
      <c r="KQK1" s="24"/>
      <c r="KQL1" s="24"/>
      <c r="KQM1" s="24"/>
      <c r="KQN1" s="24"/>
      <c r="KQO1" s="24"/>
      <c r="KQP1" s="24"/>
      <c r="KQQ1" s="24"/>
      <c r="KQR1" s="24"/>
      <c r="KQS1" s="24"/>
      <c r="KQT1" s="24"/>
      <c r="KQU1" s="24"/>
      <c r="KQV1" s="24"/>
      <c r="KQW1" s="24"/>
      <c r="KQX1" s="24"/>
      <c r="KQY1" s="24"/>
      <c r="KQZ1" s="24"/>
      <c r="KRA1" s="24"/>
      <c r="KRB1" s="24"/>
      <c r="KRC1" s="24"/>
      <c r="KRD1" s="24"/>
      <c r="KRE1" s="24"/>
      <c r="KRF1" s="24"/>
      <c r="KRG1" s="24"/>
      <c r="KRH1" s="24"/>
      <c r="KRI1" s="24"/>
      <c r="KRJ1" s="24"/>
      <c r="KRK1" s="24"/>
      <c r="KRL1" s="24"/>
      <c r="KRM1" s="24"/>
      <c r="KRN1" s="24"/>
      <c r="KRO1" s="24"/>
      <c r="KRP1" s="24"/>
      <c r="KRQ1" s="24"/>
      <c r="KRR1" s="24"/>
      <c r="KRS1" s="24"/>
      <c r="KRT1" s="24"/>
      <c r="KRU1" s="24"/>
      <c r="KRV1" s="24"/>
      <c r="KRW1" s="24"/>
      <c r="KRX1" s="24"/>
      <c r="KRY1" s="24"/>
      <c r="KRZ1" s="24"/>
      <c r="KSA1" s="24"/>
      <c r="KSB1" s="24"/>
      <c r="KSC1" s="24"/>
      <c r="KSD1" s="24"/>
      <c r="KSE1" s="24"/>
      <c r="KSF1" s="24"/>
      <c r="KSG1" s="24"/>
      <c r="KSH1" s="24"/>
      <c r="KSI1" s="24"/>
      <c r="KSJ1" s="24"/>
      <c r="KSK1" s="24"/>
      <c r="KSL1" s="24"/>
      <c r="KSM1" s="24"/>
      <c r="KSN1" s="24"/>
      <c r="KSO1" s="24"/>
      <c r="KSP1" s="24"/>
      <c r="KSQ1" s="24"/>
      <c r="KSR1" s="24"/>
      <c r="KSS1" s="24"/>
      <c r="KST1" s="24"/>
      <c r="KSU1" s="24"/>
      <c r="KSV1" s="24"/>
      <c r="KSW1" s="24"/>
      <c r="KSX1" s="24"/>
      <c r="KSY1" s="24"/>
      <c r="KSZ1" s="24"/>
      <c r="KTA1" s="24"/>
      <c r="KTB1" s="24"/>
      <c r="KTC1" s="24"/>
      <c r="KTD1" s="24"/>
      <c r="KTE1" s="24"/>
      <c r="KTF1" s="24"/>
      <c r="KTG1" s="24"/>
      <c r="KTH1" s="24"/>
      <c r="KTI1" s="24"/>
      <c r="KTJ1" s="24"/>
      <c r="KTK1" s="24"/>
      <c r="KTL1" s="24"/>
      <c r="KTM1" s="24"/>
      <c r="KTN1" s="24"/>
      <c r="KTO1" s="24"/>
      <c r="KTP1" s="24"/>
      <c r="KTQ1" s="24"/>
      <c r="KTR1" s="24"/>
      <c r="KTS1" s="24"/>
      <c r="KTT1" s="24"/>
      <c r="KTU1" s="24"/>
      <c r="KTV1" s="24"/>
      <c r="KTW1" s="24"/>
      <c r="KTX1" s="24"/>
      <c r="KTY1" s="24"/>
      <c r="KTZ1" s="24"/>
      <c r="KUA1" s="24"/>
      <c r="KUB1" s="24"/>
      <c r="KUC1" s="24"/>
      <c r="KUD1" s="24"/>
      <c r="KUE1" s="24"/>
      <c r="KUF1" s="24"/>
      <c r="KUG1" s="24"/>
      <c r="KUH1" s="24"/>
      <c r="KUI1" s="24"/>
      <c r="KUJ1" s="24"/>
      <c r="KUK1" s="24"/>
      <c r="KUL1" s="24"/>
      <c r="KUM1" s="24"/>
      <c r="KUN1" s="24"/>
      <c r="KUO1" s="24"/>
      <c r="KUP1" s="24"/>
      <c r="KUQ1" s="24"/>
      <c r="KUR1" s="24"/>
      <c r="KUS1" s="24"/>
      <c r="KUT1" s="24"/>
      <c r="KUU1" s="24"/>
      <c r="KUV1" s="24"/>
      <c r="KUW1" s="24"/>
      <c r="KUX1" s="24"/>
      <c r="KUY1" s="24"/>
      <c r="KUZ1" s="24"/>
      <c r="KVA1" s="24"/>
      <c r="KVB1" s="24"/>
      <c r="KVC1" s="24"/>
      <c r="KVD1" s="24"/>
      <c r="KVE1" s="24"/>
      <c r="KVF1" s="24"/>
      <c r="KVG1" s="24"/>
      <c r="KVH1" s="24"/>
      <c r="KVI1" s="24"/>
      <c r="KVJ1" s="24"/>
      <c r="KVK1" s="24"/>
      <c r="KVL1" s="24"/>
      <c r="KVM1" s="24"/>
      <c r="KVN1" s="24"/>
      <c r="KVO1" s="24"/>
      <c r="KVP1" s="24"/>
      <c r="KVQ1" s="24"/>
      <c r="KVR1" s="24"/>
      <c r="KVS1" s="24"/>
      <c r="KVT1" s="24"/>
      <c r="KVU1" s="24"/>
      <c r="KVV1" s="24"/>
      <c r="KVW1" s="24"/>
      <c r="KVX1" s="24"/>
      <c r="KVY1" s="24"/>
      <c r="KVZ1" s="24"/>
      <c r="KWA1" s="24"/>
      <c r="KWB1" s="24"/>
      <c r="KWC1" s="24"/>
      <c r="KWD1" s="24"/>
      <c r="KWE1" s="24"/>
      <c r="KWF1" s="24"/>
      <c r="KWG1" s="24"/>
      <c r="KWH1" s="24"/>
      <c r="KWI1" s="24"/>
      <c r="KWJ1" s="24"/>
      <c r="KWK1" s="24"/>
      <c r="KWL1" s="24"/>
      <c r="KWM1" s="24"/>
      <c r="KWN1" s="24"/>
      <c r="KWO1" s="24"/>
      <c r="KWP1" s="24"/>
      <c r="KWQ1" s="24"/>
      <c r="KWR1" s="24"/>
      <c r="KWS1" s="24"/>
      <c r="KWT1" s="24"/>
      <c r="KWU1" s="24"/>
      <c r="KWV1" s="24"/>
      <c r="KWW1" s="24"/>
      <c r="KWX1" s="24"/>
      <c r="KWY1" s="24"/>
      <c r="KWZ1" s="24"/>
      <c r="KXA1" s="24"/>
      <c r="KXB1" s="24"/>
      <c r="KXC1" s="24"/>
      <c r="KXD1" s="24"/>
      <c r="KXE1" s="24"/>
      <c r="KXF1" s="24"/>
      <c r="KXG1" s="24"/>
      <c r="KXH1" s="24"/>
      <c r="KXI1" s="24"/>
      <c r="KXJ1" s="24"/>
      <c r="KXK1" s="24"/>
      <c r="KXL1" s="24"/>
      <c r="KXM1" s="24"/>
      <c r="KXN1" s="24"/>
      <c r="KXO1" s="24"/>
      <c r="KXP1" s="24"/>
      <c r="KXQ1" s="24"/>
      <c r="KXR1" s="24"/>
      <c r="KXS1" s="24"/>
      <c r="KXT1" s="24"/>
      <c r="KXU1" s="24"/>
      <c r="KXV1" s="24"/>
      <c r="KXW1" s="24"/>
      <c r="KXX1" s="24"/>
      <c r="KXY1" s="24"/>
      <c r="KXZ1" s="24"/>
      <c r="KYA1" s="24"/>
      <c r="KYB1" s="24"/>
      <c r="KYC1" s="24"/>
      <c r="KYD1" s="24"/>
      <c r="KYE1" s="24"/>
      <c r="KYF1" s="24"/>
      <c r="KYG1" s="24"/>
      <c r="KYH1" s="24"/>
      <c r="KYI1" s="24"/>
      <c r="KYJ1" s="24"/>
      <c r="KYK1" s="24"/>
      <c r="KYL1" s="24"/>
      <c r="KYM1" s="24"/>
      <c r="KYN1" s="24"/>
      <c r="KYO1" s="24"/>
      <c r="KYP1" s="24"/>
      <c r="KYQ1" s="24"/>
      <c r="KYR1" s="24"/>
      <c r="KYS1" s="24"/>
      <c r="KYT1" s="24"/>
      <c r="KYU1" s="24"/>
      <c r="KYV1" s="24"/>
      <c r="KYW1" s="24"/>
      <c r="KYX1" s="24"/>
      <c r="KYY1" s="24"/>
      <c r="KYZ1" s="24"/>
      <c r="KZA1" s="24"/>
      <c r="KZB1" s="24"/>
      <c r="KZC1" s="24"/>
      <c r="KZD1" s="24"/>
      <c r="KZE1" s="24"/>
      <c r="KZF1" s="24"/>
      <c r="KZG1" s="24"/>
      <c r="KZH1" s="24"/>
      <c r="KZI1" s="24"/>
      <c r="KZJ1" s="24"/>
      <c r="KZK1" s="24"/>
      <c r="KZL1" s="24"/>
      <c r="KZM1" s="24"/>
      <c r="KZN1" s="24"/>
      <c r="KZO1" s="24"/>
      <c r="KZP1" s="24"/>
      <c r="KZQ1" s="24"/>
      <c r="KZR1" s="24"/>
      <c r="KZS1" s="24"/>
      <c r="KZT1" s="24"/>
      <c r="KZU1" s="24"/>
      <c r="KZV1" s="24"/>
      <c r="KZW1" s="24"/>
      <c r="KZX1" s="24"/>
      <c r="KZY1" s="24"/>
      <c r="KZZ1" s="24"/>
      <c r="LAA1" s="24"/>
      <c r="LAB1" s="24"/>
      <c r="LAC1" s="24"/>
      <c r="LAD1" s="24"/>
      <c r="LAE1" s="24"/>
      <c r="LAF1" s="24"/>
      <c r="LAG1" s="24"/>
      <c r="LAH1" s="24"/>
      <c r="LAI1" s="24"/>
      <c r="LAJ1" s="24"/>
      <c r="LAK1" s="24"/>
      <c r="LAL1" s="24"/>
      <c r="LAM1" s="24"/>
      <c r="LAN1" s="24"/>
      <c r="LAO1" s="24"/>
      <c r="LAP1" s="24"/>
      <c r="LAQ1" s="24"/>
      <c r="LAR1" s="24"/>
      <c r="LAS1" s="24"/>
      <c r="LAT1" s="24"/>
      <c r="LAU1" s="24"/>
      <c r="LAV1" s="24"/>
      <c r="LAW1" s="24"/>
      <c r="LAX1" s="24"/>
      <c r="LAY1" s="24"/>
      <c r="LAZ1" s="24"/>
      <c r="LBA1" s="24"/>
      <c r="LBB1" s="24"/>
      <c r="LBC1" s="24"/>
      <c r="LBD1" s="24"/>
      <c r="LBE1" s="24"/>
      <c r="LBF1" s="24"/>
      <c r="LBG1" s="24"/>
      <c r="LBH1" s="24"/>
      <c r="LBI1" s="24"/>
      <c r="LBJ1" s="24"/>
      <c r="LBK1" s="24"/>
      <c r="LBL1" s="24"/>
      <c r="LBM1" s="24"/>
      <c r="LBN1" s="24"/>
      <c r="LBO1" s="24"/>
      <c r="LBP1" s="24"/>
      <c r="LBQ1" s="24"/>
      <c r="LBR1" s="24"/>
      <c r="LBS1" s="24"/>
      <c r="LBT1" s="24"/>
      <c r="LBU1" s="24"/>
      <c r="LBV1" s="24"/>
      <c r="LBW1" s="24"/>
      <c r="LBX1" s="24"/>
      <c r="LBY1" s="24"/>
      <c r="LBZ1" s="24"/>
      <c r="LCA1" s="24"/>
      <c r="LCB1" s="24"/>
      <c r="LCC1" s="24"/>
      <c r="LCD1" s="24"/>
      <c r="LCE1" s="24"/>
      <c r="LCF1" s="24"/>
      <c r="LCG1" s="24"/>
      <c r="LCH1" s="24"/>
      <c r="LCI1" s="24"/>
      <c r="LCJ1" s="24"/>
      <c r="LCK1" s="24"/>
      <c r="LCL1" s="24"/>
      <c r="LCM1" s="24"/>
      <c r="LCN1" s="24"/>
      <c r="LCO1" s="24"/>
      <c r="LCP1" s="24"/>
      <c r="LCQ1" s="24"/>
      <c r="LCR1" s="24"/>
      <c r="LCS1" s="24"/>
      <c r="LCT1" s="24"/>
      <c r="LCU1" s="24"/>
      <c r="LCV1" s="24"/>
      <c r="LCW1" s="24"/>
      <c r="LCX1" s="24"/>
      <c r="LCY1" s="24"/>
      <c r="LCZ1" s="24"/>
      <c r="LDA1" s="24"/>
      <c r="LDB1" s="24"/>
      <c r="LDC1" s="24"/>
      <c r="LDD1" s="24"/>
      <c r="LDE1" s="24"/>
      <c r="LDF1" s="24"/>
      <c r="LDG1" s="24"/>
      <c r="LDH1" s="24"/>
      <c r="LDI1" s="24"/>
      <c r="LDJ1" s="24"/>
      <c r="LDK1" s="24"/>
      <c r="LDL1" s="24"/>
      <c r="LDM1" s="24"/>
      <c r="LDN1" s="24"/>
      <c r="LDO1" s="24"/>
      <c r="LDP1" s="24"/>
      <c r="LDQ1" s="24"/>
      <c r="LDR1" s="24"/>
      <c r="LDS1" s="24"/>
      <c r="LDT1" s="24"/>
      <c r="LDU1" s="24"/>
      <c r="LDV1" s="24"/>
      <c r="LDW1" s="24"/>
      <c r="LDX1" s="24"/>
      <c r="LDY1" s="24"/>
      <c r="LDZ1" s="24"/>
      <c r="LEA1" s="24"/>
      <c r="LEB1" s="24"/>
      <c r="LEC1" s="24"/>
      <c r="LED1" s="24"/>
      <c r="LEE1" s="24"/>
      <c r="LEF1" s="24"/>
      <c r="LEG1" s="24"/>
      <c r="LEH1" s="24"/>
      <c r="LEI1" s="24"/>
      <c r="LEJ1" s="24"/>
      <c r="LEK1" s="24"/>
      <c r="LEL1" s="24"/>
      <c r="LEM1" s="24"/>
      <c r="LEN1" s="24"/>
      <c r="LEO1" s="24"/>
      <c r="LEP1" s="24"/>
      <c r="LEQ1" s="24"/>
      <c r="LER1" s="24"/>
      <c r="LES1" s="24"/>
      <c r="LET1" s="24"/>
      <c r="LEU1" s="24"/>
      <c r="LEV1" s="24"/>
      <c r="LEW1" s="24"/>
      <c r="LEX1" s="24"/>
      <c r="LEY1" s="24"/>
      <c r="LEZ1" s="24"/>
      <c r="LFA1" s="24"/>
      <c r="LFB1" s="24"/>
      <c r="LFC1" s="24"/>
      <c r="LFD1" s="24"/>
      <c r="LFE1" s="24"/>
      <c r="LFF1" s="24"/>
      <c r="LFG1" s="24"/>
      <c r="LFH1" s="24"/>
      <c r="LFI1" s="24"/>
      <c r="LFJ1" s="24"/>
      <c r="LFK1" s="24"/>
      <c r="LFL1" s="24"/>
      <c r="LFM1" s="24"/>
      <c r="LFN1" s="24"/>
      <c r="LFO1" s="24"/>
      <c r="LFP1" s="24"/>
      <c r="LFQ1" s="24"/>
      <c r="LFR1" s="24"/>
      <c r="LFS1" s="24"/>
      <c r="LFT1" s="24"/>
      <c r="LFU1" s="24"/>
      <c r="LFV1" s="24"/>
      <c r="LFW1" s="24"/>
      <c r="LFX1" s="24"/>
      <c r="LFY1" s="24"/>
      <c r="LFZ1" s="24"/>
      <c r="LGA1" s="24"/>
      <c r="LGB1" s="24"/>
      <c r="LGC1" s="24"/>
      <c r="LGD1" s="24"/>
      <c r="LGE1" s="24"/>
      <c r="LGF1" s="24"/>
      <c r="LGG1" s="24"/>
      <c r="LGH1" s="24"/>
      <c r="LGI1" s="24"/>
      <c r="LGJ1" s="24"/>
      <c r="LGK1" s="24"/>
      <c r="LGL1" s="24"/>
      <c r="LGM1" s="24"/>
      <c r="LGN1" s="24"/>
      <c r="LGO1" s="24"/>
      <c r="LGP1" s="24"/>
      <c r="LGQ1" s="24"/>
      <c r="LGR1" s="24"/>
      <c r="LGS1" s="24"/>
      <c r="LGT1" s="24"/>
      <c r="LGU1" s="24"/>
      <c r="LGV1" s="24"/>
      <c r="LGW1" s="24"/>
      <c r="LGX1" s="24"/>
      <c r="LGY1" s="24"/>
      <c r="LGZ1" s="24"/>
      <c r="LHA1" s="24"/>
      <c r="LHB1" s="24"/>
      <c r="LHC1" s="24"/>
      <c r="LHD1" s="24"/>
      <c r="LHE1" s="24"/>
      <c r="LHF1" s="24"/>
      <c r="LHG1" s="24"/>
      <c r="LHH1" s="24"/>
      <c r="LHI1" s="24"/>
      <c r="LHJ1" s="24"/>
      <c r="LHK1" s="24"/>
      <c r="LHL1" s="24"/>
      <c r="LHM1" s="24"/>
      <c r="LHN1" s="24"/>
      <c r="LHO1" s="24"/>
      <c r="LHP1" s="24"/>
      <c r="LHQ1" s="24"/>
      <c r="LHR1" s="24"/>
      <c r="LHS1" s="24"/>
      <c r="LHT1" s="24"/>
      <c r="LHU1" s="24"/>
      <c r="LHV1" s="24"/>
      <c r="LHW1" s="24"/>
      <c r="LHX1" s="24"/>
      <c r="LHY1" s="24"/>
      <c r="LHZ1" s="24"/>
      <c r="LIA1" s="24"/>
      <c r="LIB1" s="24"/>
      <c r="LIC1" s="24"/>
      <c r="LID1" s="24"/>
      <c r="LIE1" s="24"/>
      <c r="LIF1" s="24"/>
      <c r="LIG1" s="24"/>
      <c r="LIH1" s="24"/>
      <c r="LII1" s="24"/>
      <c r="LIJ1" s="24"/>
      <c r="LIK1" s="24"/>
      <c r="LIL1" s="24"/>
      <c r="LIM1" s="24"/>
      <c r="LIN1" s="24"/>
      <c r="LIO1" s="24"/>
      <c r="LIP1" s="24"/>
      <c r="LIQ1" s="24"/>
      <c r="LIR1" s="24"/>
      <c r="LIS1" s="24"/>
      <c r="LIT1" s="24"/>
      <c r="LIU1" s="24"/>
      <c r="LIV1" s="24"/>
      <c r="LIW1" s="24"/>
      <c r="LIX1" s="24"/>
      <c r="LIY1" s="24"/>
      <c r="LIZ1" s="24"/>
      <c r="LJA1" s="24"/>
      <c r="LJB1" s="24"/>
      <c r="LJC1" s="24"/>
      <c r="LJD1" s="24"/>
      <c r="LJE1" s="24"/>
      <c r="LJF1" s="24"/>
      <c r="LJG1" s="24"/>
      <c r="LJH1" s="24"/>
      <c r="LJI1" s="24"/>
      <c r="LJJ1" s="24"/>
      <c r="LJK1" s="24"/>
      <c r="LJL1" s="24"/>
      <c r="LJM1" s="24"/>
      <c r="LJN1" s="24"/>
      <c r="LJO1" s="24"/>
      <c r="LJP1" s="24"/>
      <c r="LJQ1" s="24"/>
      <c r="LJR1" s="24"/>
      <c r="LJS1" s="24"/>
      <c r="LJT1" s="24"/>
      <c r="LJU1" s="24"/>
      <c r="LJV1" s="24"/>
      <c r="LJW1" s="24"/>
      <c r="LJX1" s="24"/>
      <c r="LJY1" s="24"/>
      <c r="LJZ1" s="24"/>
      <c r="LKA1" s="24"/>
      <c r="LKB1" s="24"/>
      <c r="LKC1" s="24"/>
      <c r="LKD1" s="24"/>
      <c r="LKE1" s="24"/>
      <c r="LKF1" s="24"/>
      <c r="LKG1" s="24"/>
      <c r="LKH1" s="24"/>
      <c r="LKI1" s="24"/>
      <c r="LKJ1" s="24"/>
      <c r="LKK1" s="24"/>
      <c r="LKL1" s="24"/>
      <c r="LKM1" s="24"/>
      <c r="LKN1" s="24"/>
      <c r="LKO1" s="24"/>
      <c r="LKP1" s="24"/>
      <c r="LKQ1" s="24"/>
      <c r="LKR1" s="24"/>
      <c r="LKS1" s="24"/>
      <c r="LKT1" s="24"/>
      <c r="LKU1" s="24"/>
      <c r="LKV1" s="24"/>
      <c r="LKW1" s="24"/>
      <c r="LKX1" s="24"/>
      <c r="LKY1" s="24"/>
      <c r="LKZ1" s="24"/>
      <c r="LLA1" s="24"/>
      <c r="LLB1" s="24"/>
      <c r="LLC1" s="24"/>
      <c r="LLD1" s="24"/>
      <c r="LLE1" s="24"/>
      <c r="LLF1" s="24"/>
      <c r="LLG1" s="24"/>
      <c r="LLH1" s="24"/>
      <c r="LLI1" s="24"/>
      <c r="LLJ1" s="24"/>
      <c r="LLK1" s="24"/>
      <c r="LLL1" s="24"/>
      <c r="LLM1" s="24"/>
      <c r="LLN1" s="24"/>
      <c r="LLO1" s="24"/>
      <c r="LLP1" s="24"/>
      <c r="LLQ1" s="24"/>
      <c r="LLR1" s="24"/>
      <c r="LLS1" s="24"/>
      <c r="LLT1" s="24"/>
      <c r="LLU1" s="24"/>
      <c r="LLV1" s="24"/>
      <c r="LLW1" s="24"/>
      <c r="LLX1" s="24"/>
      <c r="LLY1" s="24"/>
      <c r="LLZ1" s="24"/>
      <c r="LMA1" s="24"/>
      <c r="LMB1" s="24"/>
      <c r="LMC1" s="24"/>
      <c r="LMD1" s="24"/>
      <c r="LME1" s="24"/>
      <c r="LMF1" s="24"/>
      <c r="LMG1" s="24"/>
      <c r="LMH1" s="24"/>
      <c r="LMI1" s="24"/>
      <c r="LMJ1" s="24"/>
      <c r="LMK1" s="24"/>
      <c r="LML1" s="24"/>
      <c r="LMM1" s="24"/>
      <c r="LMN1" s="24"/>
      <c r="LMO1" s="24"/>
      <c r="LMP1" s="24"/>
      <c r="LMQ1" s="24"/>
      <c r="LMR1" s="24"/>
      <c r="LMS1" s="24"/>
      <c r="LMT1" s="24"/>
      <c r="LMU1" s="24"/>
      <c r="LMV1" s="24"/>
      <c r="LMW1" s="24"/>
      <c r="LMX1" s="24"/>
      <c r="LMY1" s="24"/>
      <c r="LMZ1" s="24"/>
      <c r="LNA1" s="24"/>
      <c r="LNB1" s="24"/>
      <c r="LNC1" s="24"/>
      <c r="LND1" s="24"/>
      <c r="LNE1" s="24"/>
      <c r="LNF1" s="24"/>
      <c r="LNG1" s="24"/>
      <c r="LNH1" s="24"/>
      <c r="LNI1" s="24"/>
      <c r="LNJ1" s="24"/>
      <c r="LNK1" s="24"/>
      <c r="LNL1" s="24"/>
      <c r="LNM1" s="24"/>
      <c r="LNN1" s="24"/>
      <c r="LNO1" s="24"/>
      <c r="LNP1" s="24"/>
      <c r="LNQ1" s="24"/>
      <c r="LNR1" s="24"/>
      <c r="LNS1" s="24"/>
      <c r="LNT1" s="24"/>
      <c r="LNU1" s="24"/>
      <c r="LNV1" s="24"/>
      <c r="LNW1" s="24"/>
      <c r="LNX1" s="24"/>
      <c r="LNY1" s="24"/>
      <c r="LNZ1" s="24"/>
      <c r="LOA1" s="24"/>
      <c r="LOB1" s="24"/>
      <c r="LOC1" s="24"/>
      <c r="LOD1" s="24"/>
      <c r="LOE1" s="24"/>
      <c r="LOF1" s="24"/>
      <c r="LOG1" s="24"/>
      <c r="LOH1" s="24"/>
      <c r="LOI1" s="24"/>
      <c r="LOJ1" s="24"/>
      <c r="LOK1" s="24"/>
      <c r="LOL1" s="24"/>
      <c r="LOM1" s="24"/>
      <c r="LON1" s="24"/>
      <c r="LOO1" s="24"/>
      <c r="LOP1" s="24"/>
      <c r="LOQ1" s="24"/>
      <c r="LOR1" s="24"/>
      <c r="LOS1" s="24"/>
      <c r="LOT1" s="24"/>
      <c r="LOU1" s="24"/>
      <c r="LOV1" s="24"/>
      <c r="LOW1" s="24"/>
      <c r="LOX1" s="24"/>
      <c r="LOY1" s="24"/>
      <c r="LOZ1" s="24"/>
      <c r="LPA1" s="24"/>
      <c r="LPB1" s="24"/>
      <c r="LPC1" s="24"/>
      <c r="LPD1" s="24"/>
      <c r="LPE1" s="24"/>
      <c r="LPF1" s="24"/>
      <c r="LPG1" s="24"/>
      <c r="LPH1" s="24"/>
      <c r="LPI1" s="24"/>
      <c r="LPJ1" s="24"/>
      <c r="LPK1" s="24"/>
      <c r="LPL1" s="24"/>
      <c r="LPM1" s="24"/>
      <c r="LPN1" s="24"/>
      <c r="LPO1" s="24"/>
      <c r="LPP1" s="24"/>
      <c r="LPQ1" s="24"/>
      <c r="LPR1" s="24"/>
      <c r="LPS1" s="24"/>
      <c r="LPT1" s="24"/>
      <c r="LPU1" s="24"/>
      <c r="LPV1" s="24"/>
      <c r="LPW1" s="24"/>
      <c r="LPX1" s="24"/>
      <c r="LPY1" s="24"/>
      <c r="LPZ1" s="24"/>
      <c r="LQA1" s="24"/>
      <c r="LQB1" s="24"/>
      <c r="LQC1" s="24"/>
      <c r="LQD1" s="24"/>
      <c r="LQE1" s="24"/>
      <c r="LQF1" s="24"/>
      <c r="LQG1" s="24"/>
      <c r="LQH1" s="24"/>
      <c r="LQI1" s="24"/>
      <c r="LQJ1" s="24"/>
      <c r="LQK1" s="24"/>
      <c r="LQL1" s="24"/>
      <c r="LQM1" s="24"/>
      <c r="LQN1" s="24"/>
      <c r="LQO1" s="24"/>
      <c r="LQP1" s="24"/>
      <c r="LQQ1" s="24"/>
      <c r="LQR1" s="24"/>
      <c r="LQS1" s="24"/>
      <c r="LQT1" s="24"/>
      <c r="LQU1" s="24"/>
      <c r="LQV1" s="24"/>
      <c r="LQW1" s="24"/>
      <c r="LQX1" s="24"/>
      <c r="LQY1" s="24"/>
      <c r="LQZ1" s="24"/>
      <c r="LRA1" s="24"/>
      <c r="LRB1" s="24"/>
      <c r="LRC1" s="24"/>
      <c r="LRD1" s="24"/>
      <c r="LRE1" s="24"/>
      <c r="LRF1" s="24"/>
      <c r="LRG1" s="24"/>
      <c r="LRH1" s="24"/>
      <c r="LRI1" s="24"/>
      <c r="LRJ1" s="24"/>
      <c r="LRK1" s="24"/>
      <c r="LRL1" s="24"/>
      <c r="LRM1" s="24"/>
      <c r="LRN1" s="24"/>
      <c r="LRO1" s="24"/>
      <c r="LRP1" s="24"/>
      <c r="LRQ1" s="24"/>
      <c r="LRR1" s="24"/>
      <c r="LRS1" s="24"/>
      <c r="LRT1" s="24"/>
      <c r="LRU1" s="24"/>
      <c r="LRV1" s="24"/>
      <c r="LRW1" s="24"/>
      <c r="LRX1" s="24"/>
      <c r="LRY1" s="24"/>
      <c r="LRZ1" s="24"/>
      <c r="LSA1" s="24"/>
      <c r="LSB1" s="24"/>
      <c r="LSC1" s="24"/>
      <c r="LSD1" s="24"/>
      <c r="LSE1" s="24"/>
      <c r="LSF1" s="24"/>
      <c r="LSG1" s="24"/>
      <c r="LSH1" s="24"/>
      <c r="LSI1" s="24"/>
      <c r="LSJ1" s="24"/>
      <c r="LSK1" s="24"/>
      <c r="LSL1" s="24"/>
      <c r="LSM1" s="24"/>
      <c r="LSN1" s="24"/>
      <c r="LSO1" s="24"/>
      <c r="LSP1" s="24"/>
      <c r="LSQ1" s="24"/>
      <c r="LSR1" s="24"/>
      <c r="LSS1" s="24"/>
      <c r="LST1" s="24"/>
      <c r="LSU1" s="24"/>
      <c r="LSV1" s="24"/>
      <c r="LSW1" s="24"/>
      <c r="LSX1" s="24"/>
      <c r="LSY1" s="24"/>
      <c r="LSZ1" s="24"/>
      <c r="LTA1" s="24"/>
      <c r="LTB1" s="24"/>
      <c r="LTC1" s="24"/>
      <c r="LTD1" s="24"/>
      <c r="LTE1" s="24"/>
      <c r="LTF1" s="24"/>
      <c r="LTG1" s="24"/>
      <c r="LTH1" s="24"/>
      <c r="LTI1" s="24"/>
      <c r="LTJ1" s="24"/>
      <c r="LTK1" s="24"/>
      <c r="LTL1" s="24"/>
      <c r="LTM1" s="24"/>
      <c r="LTN1" s="24"/>
      <c r="LTO1" s="24"/>
      <c r="LTP1" s="24"/>
      <c r="LTQ1" s="24"/>
      <c r="LTR1" s="24"/>
      <c r="LTS1" s="24"/>
      <c r="LTT1" s="24"/>
      <c r="LTU1" s="24"/>
      <c r="LTV1" s="24"/>
      <c r="LTW1" s="24"/>
      <c r="LTX1" s="24"/>
      <c r="LTY1" s="24"/>
      <c r="LTZ1" s="24"/>
      <c r="LUA1" s="24"/>
      <c r="LUB1" s="24"/>
      <c r="LUC1" s="24"/>
      <c r="LUD1" s="24"/>
      <c r="LUE1" s="24"/>
      <c r="LUF1" s="24"/>
      <c r="LUG1" s="24"/>
      <c r="LUH1" s="24"/>
      <c r="LUI1" s="24"/>
      <c r="LUJ1" s="24"/>
      <c r="LUK1" s="24"/>
      <c r="LUL1" s="24"/>
      <c r="LUM1" s="24"/>
      <c r="LUN1" s="24"/>
      <c r="LUO1" s="24"/>
      <c r="LUP1" s="24"/>
      <c r="LUQ1" s="24"/>
      <c r="LUR1" s="24"/>
      <c r="LUS1" s="24"/>
      <c r="LUT1" s="24"/>
      <c r="LUU1" s="24"/>
      <c r="LUV1" s="24"/>
      <c r="LUW1" s="24"/>
      <c r="LUX1" s="24"/>
      <c r="LUY1" s="24"/>
      <c r="LUZ1" s="24"/>
      <c r="LVA1" s="24"/>
      <c r="LVB1" s="24"/>
      <c r="LVC1" s="24"/>
      <c r="LVD1" s="24"/>
      <c r="LVE1" s="24"/>
      <c r="LVF1" s="24"/>
      <c r="LVG1" s="24"/>
      <c r="LVH1" s="24"/>
      <c r="LVI1" s="24"/>
      <c r="LVJ1" s="24"/>
      <c r="LVK1" s="24"/>
      <c r="LVL1" s="24"/>
      <c r="LVM1" s="24"/>
      <c r="LVN1" s="24"/>
      <c r="LVO1" s="24"/>
      <c r="LVP1" s="24"/>
      <c r="LVQ1" s="24"/>
      <c r="LVR1" s="24"/>
      <c r="LVS1" s="24"/>
      <c r="LVT1" s="24"/>
      <c r="LVU1" s="24"/>
      <c r="LVV1" s="24"/>
      <c r="LVW1" s="24"/>
      <c r="LVX1" s="24"/>
      <c r="LVY1" s="24"/>
      <c r="LVZ1" s="24"/>
      <c r="LWA1" s="24"/>
      <c r="LWB1" s="24"/>
      <c r="LWC1" s="24"/>
      <c r="LWD1" s="24"/>
      <c r="LWE1" s="24"/>
      <c r="LWF1" s="24"/>
      <c r="LWG1" s="24"/>
      <c r="LWH1" s="24"/>
      <c r="LWI1" s="24"/>
      <c r="LWJ1" s="24"/>
      <c r="LWK1" s="24"/>
      <c r="LWL1" s="24"/>
      <c r="LWM1" s="24"/>
      <c r="LWN1" s="24"/>
      <c r="LWO1" s="24"/>
      <c r="LWP1" s="24"/>
      <c r="LWQ1" s="24"/>
      <c r="LWR1" s="24"/>
      <c r="LWS1" s="24"/>
      <c r="LWT1" s="24"/>
      <c r="LWU1" s="24"/>
      <c r="LWV1" s="24"/>
      <c r="LWW1" s="24"/>
      <c r="LWX1" s="24"/>
      <c r="LWY1" s="24"/>
      <c r="LWZ1" s="24"/>
      <c r="LXA1" s="24"/>
      <c r="LXB1" s="24"/>
      <c r="LXC1" s="24"/>
      <c r="LXD1" s="24"/>
      <c r="LXE1" s="24"/>
      <c r="LXF1" s="24"/>
      <c r="LXG1" s="24"/>
      <c r="LXH1" s="24"/>
      <c r="LXI1" s="24"/>
      <c r="LXJ1" s="24"/>
      <c r="LXK1" s="24"/>
      <c r="LXL1" s="24"/>
      <c r="LXM1" s="24"/>
      <c r="LXN1" s="24"/>
      <c r="LXO1" s="24"/>
      <c r="LXP1" s="24"/>
      <c r="LXQ1" s="24"/>
      <c r="LXR1" s="24"/>
      <c r="LXS1" s="24"/>
      <c r="LXT1" s="24"/>
      <c r="LXU1" s="24"/>
      <c r="LXV1" s="24"/>
      <c r="LXW1" s="24"/>
      <c r="LXX1" s="24"/>
      <c r="LXY1" s="24"/>
      <c r="LXZ1" s="24"/>
      <c r="LYA1" s="24"/>
      <c r="LYB1" s="24"/>
      <c r="LYC1" s="24"/>
      <c r="LYD1" s="24"/>
      <c r="LYE1" s="24"/>
      <c r="LYF1" s="24"/>
      <c r="LYG1" s="24"/>
      <c r="LYH1" s="24"/>
      <c r="LYI1" s="24"/>
      <c r="LYJ1" s="24"/>
      <c r="LYK1" s="24"/>
      <c r="LYL1" s="24"/>
      <c r="LYM1" s="24"/>
      <c r="LYN1" s="24"/>
      <c r="LYO1" s="24"/>
      <c r="LYP1" s="24"/>
      <c r="LYQ1" s="24"/>
      <c r="LYR1" s="24"/>
      <c r="LYS1" s="24"/>
      <c r="LYT1" s="24"/>
      <c r="LYU1" s="24"/>
      <c r="LYV1" s="24"/>
      <c r="LYW1" s="24"/>
      <c r="LYX1" s="24"/>
      <c r="LYY1" s="24"/>
      <c r="LYZ1" s="24"/>
      <c r="LZA1" s="24"/>
      <c r="LZB1" s="24"/>
      <c r="LZC1" s="24"/>
      <c r="LZD1" s="24"/>
      <c r="LZE1" s="24"/>
      <c r="LZF1" s="24"/>
      <c r="LZG1" s="24"/>
      <c r="LZH1" s="24"/>
      <c r="LZI1" s="24"/>
      <c r="LZJ1" s="24"/>
      <c r="LZK1" s="24"/>
      <c r="LZL1" s="24"/>
      <c r="LZM1" s="24"/>
      <c r="LZN1" s="24"/>
      <c r="LZO1" s="24"/>
      <c r="LZP1" s="24"/>
      <c r="LZQ1" s="24"/>
      <c r="LZR1" s="24"/>
      <c r="LZS1" s="24"/>
      <c r="LZT1" s="24"/>
      <c r="LZU1" s="24"/>
      <c r="LZV1" s="24"/>
      <c r="LZW1" s="24"/>
      <c r="LZX1" s="24"/>
      <c r="LZY1" s="24"/>
      <c r="LZZ1" s="24"/>
      <c r="MAA1" s="24"/>
      <c r="MAB1" s="24"/>
      <c r="MAC1" s="24"/>
      <c r="MAD1" s="24"/>
      <c r="MAE1" s="24"/>
      <c r="MAF1" s="24"/>
      <c r="MAG1" s="24"/>
      <c r="MAH1" s="24"/>
      <c r="MAI1" s="24"/>
      <c r="MAJ1" s="24"/>
      <c r="MAK1" s="24"/>
      <c r="MAL1" s="24"/>
      <c r="MAM1" s="24"/>
      <c r="MAN1" s="24"/>
      <c r="MAO1" s="24"/>
      <c r="MAP1" s="24"/>
      <c r="MAQ1" s="24"/>
      <c r="MAR1" s="24"/>
      <c r="MAS1" s="24"/>
      <c r="MAT1" s="24"/>
      <c r="MAU1" s="24"/>
      <c r="MAV1" s="24"/>
      <c r="MAW1" s="24"/>
      <c r="MAX1" s="24"/>
      <c r="MAY1" s="24"/>
      <c r="MAZ1" s="24"/>
      <c r="MBA1" s="24"/>
      <c r="MBB1" s="24"/>
      <c r="MBC1" s="24"/>
      <c r="MBD1" s="24"/>
      <c r="MBE1" s="24"/>
      <c r="MBF1" s="24"/>
      <c r="MBG1" s="24"/>
      <c r="MBH1" s="24"/>
      <c r="MBI1" s="24"/>
      <c r="MBJ1" s="24"/>
      <c r="MBK1" s="24"/>
      <c r="MBL1" s="24"/>
      <c r="MBM1" s="24"/>
      <c r="MBN1" s="24"/>
      <c r="MBO1" s="24"/>
      <c r="MBP1" s="24"/>
      <c r="MBQ1" s="24"/>
      <c r="MBR1" s="24"/>
      <c r="MBS1" s="24"/>
      <c r="MBT1" s="24"/>
      <c r="MBU1" s="24"/>
      <c r="MBV1" s="24"/>
      <c r="MBW1" s="24"/>
      <c r="MBX1" s="24"/>
      <c r="MBY1" s="24"/>
      <c r="MBZ1" s="24"/>
      <c r="MCA1" s="24"/>
      <c r="MCB1" s="24"/>
      <c r="MCC1" s="24"/>
      <c r="MCD1" s="24"/>
      <c r="MCE1" s="24"/>
      <c r="MCF1" s="24"/>
      <c r="MCG1" s="24"/>
      <c r="MCH1" s="24"/>
      <c r="MCI1" s="24"/>
      <c r="MCJ1" s="24"/>
      <c r="MCK1" s="24"/>
      <c r="MCL1" s="24"/>
      <c r="MCM1" s="24"/>
      <c r="MCN1" s="24"/>
      <c r="MCO1" s="24"/>
      <c r="MCP1" s="24"/>
      <c r="MCQ1" s="24"/>
      <c r="MCR1" s="24"/>
      <c r="MCS1" s="24"/>
      <c r="MCT1" s="24"/>
      <c r="MCU1" s="24"/>
      <c r="MCV1" s="24"/>
      <c r="MCW1" s="24"/>
      <c r="MCX1" s="24"/>
      <c r="MCY1" s="24"/>
      <c r="MCZ1" s="24"/>
      <c r="MDA1" s="24"/>
      <c r="MDB1" s="24"/>
      <c r="MDC1" s="24"/>
      <c r="MDD1" s="24"/>
      <c r="MDE1" s="24"/>
      <c r="MDF1" s="24"/>
      <c r="MDG1" s="24"/>
      <c r="MDH1" s="24"/>
      <c r="MDI1" s="24"/>
      <c r="MDJ1" s="24"/>
      <c r="MDK1" s="24"/>
      <c r="MDL1" s="24"/>
      <c r="MDM1" s="24"/>
      <c r="MDN1" s="24"/>
      <c r="MDO1" s="24"/>
      <c r="MDP1" s="24"/>
      <c r="MDQ1" s="24"/>
      <c r="MDR1" s="24"/>
      <c r="MDS1" s="24"/>
      <c r="MDT1" s="24"/>
      <c r="MDU1" s="24"/>
      <c r="MDV1" s="24"/>
      <c r="MDW1" s="24"/>
      <c r="MDX1" s="24"/>
      <c r="MDY1" s="24"/>
      <c r="MDZ1" s="24"/>
      <c r="MEA1" s="24"/>
      <c r="MEB1" s="24"/>
      <c r="MEC1" s="24"/>
      <c r="MED1" s="24"/>
      <c r="MEE1" s="24"/>
      <c r="MEF1" s="24"/>
      <c r="MEG1" s="24"/>
      <c r="MEH1" s="24"/>
      <c r="MEI1" s="24"/>
      <c r="MEJ1" s="24"/>
      <c r="MEK1" s="24"/>
      <c r="MEL1" s="24"/>
      <c r="MEM1" s="24"/>
      <c r="MEN1" s="24"/>
      <c r="MEO1" s="24"/>
      <c r="MEP1" s="24"/>
      <c r="MEQ1" s="24"/>
      <c r="MER1" s="24"/>
      <c r="MES1" s="24"/>
      <c r="MET1" s="24"/>
      <c r="MEU1" s="24"/>
      <c r="MEV1" s="24"/>
      <c r="MEW1" s="24"/>
      <c r="MEX1" s="24"/>
      <c r="MEY1" s="24"/>
      <c r="MEZ1" s="24"/>
      <c r="MFA1" s="24"/>
      <c r="MFB1" s="24"/>
      <c r="MFC1" s="24"/>
      <c r="MFD1" s="24"/>
      <c r="MFE1" s="24"/>
      <c r="MFF1" s="24"/>
      <c r="MFG1" s="24"/>
      <c r="MFH1" s="24"/>
      <c r="MFI1" s="24"/>
      <c r="MFJ1" s="24"/>
      <c r="MFK1" s="24"/>
      <c r="MFL1" s="24"/>
      <c r="MFM1" s="24"/>
      <c r="MFN1" s="24"/>
      <c r="MFO1" s="24"/>
      <c r="MFP1" s="24"/>
      <c r="MFQ1" s="24"/>
      <c r="MFR1" s="24"/>
      <c r="MFS1" s="24"/>
      <c r="MFT1" s="24"/>
      <c r="MFU1" s="24"/>
      <c r="MFV1" s="24"/>
      <c r="MFW1" s="24"/>
      <c r="MFX1" s="24"/>
      <c r="MFY1" s="24"/>
      <c r="MFZ1" s="24"/>
      <c r="MGA1" s="24"/>
      <c r="MGB1" s="24"/>
      <c r="MGC1" s="24"/>
      <c r="MGD1" s="24"/>
      <c r="MGE1" s="24"/>
      <c r="MGF1" s="24"/>
      <c r="MGG1" s="24"/>
      <c r="MGH1" s="24"/>
      <c r="MGI1" s="24"/>
      <c r="MGJ1" s="24"/>
      <c r="MGK1" s="24"/>
      <c r="MGL1" s="24"/>
      <c r="MGM1" s="24"/>
      <c r="MGN1" s="24"/>
      <c r="MGO1" s="24"/>
      <c r="MGP1" s="24"/>
      <c r="MGQ1" s="24"/>
      <c r="MGR1" s="24"/>
      <c r="MGS1" s="24"/>
      <c r="MGT1" s="24"/>
      <c r="MGU1" s="24"/>
      <c r="MGV1" s="24"/>
      <c r="MGW1" s="24"/>
      <c r="MGX1" s="24"/>
      <c r="MGY1" s="24"/>
      <c r="MGZ1" s="24"/>
      <c r="MHA1" s="24"/>
      <c r="MHB1" s="24"/>
      <c r="MHC1" s="24"/>
      <c r="MHD1" s="24"/>
      <c r="MHE1" s="24"/>
      <c r="MHF1" s="24"/>
      <c r="MHG1" s="24"/>
      <c r="MHH1" s="24"/>
      <c r="MHI1" s="24"/>
      <c r="MHJ1" s="24"/>
      <c r="MHK1" s="24"/>
      <c r="MHL1" s="24"/>
      <c r="MHM1" s="24"/>
      <c r="MHN1" s="24"/>
      <c r="MHO1" s="24"/>
      <c r="MHP1" s="24"/>
      <c r="MHQ1" s="24"/>
      <c r="MHR1" s="24"/>
      <c r="MHS1" s="24"/>
      <c r="MHT1" s="24"/>
      <c r="MHU1" s="24"/>
      <c r="MHV1" s="24"/>
      <c r="MHW1" s="24"/>
      <c r="MHX1" s="24"/>
      <c r="MHY1" s="24"/>
      <c r="MHZ1" s="24"/>
      <c r="MIA1" s="24"/>
      <c r="MIB1" s="24"/>
      <c r="MIC1" s="24"/>
      <c r="MID1" s="24"/>
      <c r="MIE1" s="24"/>
      <c r="MIF1" s="24"/>
      <c r="MIG1" s="24"/>
      <c r="MIH1" s="24"/>
      <c r="MII1" s="24"/>
      <c r="MIJ1" s="24"/>
      <c r="MIK1" s="24"/>
      <c r="MIL1" s="24"/>
      <c r="MIM1" s="24"/>
      <c r="MIN1" s="24"/>
      <c r="MIO1" s="24"/>
      <c r="MIP1" s="24"/>
      <c r="MIQ1" s="24"/>
      <c r="MIR1" s="24"/>
      <c r="MIS1" s="24"/>
      <c r="MIT1" s="24"/>
      <c r="MIU1" s="24"/>
      <c r="MIV1" s="24"/>
      <c r="MIW1" s="24"/>
      <c r="MIX1" s="24"/>
      <c r="MIY1" s="24"/>
      <c r="MIZ1" s="24"/>
      <c r="MJA1" s="24"/>
      <c r="MJB1" s="24"/>
      <c r="MJC1" s="24"/>
      <c r="MJD1" s="24"/>
      <c r="MJE1" s="24"/>
      <c r="MJF1" s="24"/>
      <c r="MJG1" s="24"/>
      <c r="MJH1" s="24"/>
      <c r="MJI1" s="24"/>
      <c r="MJJ1" s="24"/>
      <c r="MJK1" s="24"/>
      <c r="MJL1" s="24"/>
      <c r="MJM1" s="24"/>
      <c r="MJN1" s="24"/>
      <c r="MJO1" s="24"/>
      <c r="MJP1" s="24"/>
      <c r="MJQ1" s="24"/>
      <c r="MJR1" s="24"/>
      <c r="MJS1" s="24"/>
      <c r="MJT1" s="24"/>
      <c r="MJU1" s="24"/>
      <c r="MJV1" s="24"/>
      <c r="MJW1" s="24"/>
      <c r="MJX1" s="24"/>
      <c r="MJY1" s="24"/>
      <c r="MJZ1" s="24"/>
      <c r="MKA1" s="24"/>
      <c r="MKB1" s="24"/>
      <c r="MKC1" s="24"/>
      <c r="MKD1" s="24"/>
      <c r="MKE1" s="24"/>
      <c r="MKF1" s="24"/>
      <c r="MKG1" s="24"/>
      <c r="MKH1" s="24"/>
      <c r="MKI1" s="24"/>
      <c r="MKJ1" s="24"/>
      <c r="MKK1" s="24"/>
      <c r="MKL1" s="24"/>
      <c r="MKM1" s="24"/>
      <c r="MKN1" s="24"/>
      <c r="MKO1" s="24"/>
      <c r="MKP1" s="24"/>
      <c r="MKQ1" s="24"/>
      <c r="MKR1" s="24"/>
      <c r="MKS1" s="24"/>
      <c r="MKT1" s="24"/>
      <c r="MKU1" s="24"/>
      <c r="MKV1" s="24"/>
      <c r="MKW1" s="24"/>
      <c r="MKX1" s="24"/>
      <c r="MKY1" s="24"/>
      <c r="MKZ1" s="24"/>
      <c r="MLA1" s="24"/>
      <c r="MLB1" s="24"/>
      <c r="MLC1" s="24"/>
      <c r="MLD1" s="24"/>
      <c r="MLE1" s="24"/>
      <c r="MLF1" s="24"/>
      <c r="MLG1" s="24"/>
      <c r="MLH1" s="24"/>
      <c r="MLI1" s="24"/>
      <c r="MLJ1" s="24"/>
      <c r="MLK1" s="24"/>
      <c r="MLL1" s="24"/>
      <c r="MLM1" s="24"/>
      <c r="MLN1" s="24"/>
      <c r="MLO1" s="24"/>
      <c r="MLP1" s="24"/>
      <c r="MLQ1" s="24"/>
      <c r="MLR1" s="24"/>
      <c r="MLS1" s="24"/>
      <c r="MLT1" s="24"/>
      <c r="MLU1" s="24"/>
      <c r="MLV1" s="24"/>
      <c r="MLW1" s="24"/>
      <c r="MLX1" s="24"/>
      <c r="MLY1" s="24"/>
      <c r="MLZ1" s="24"/>
      <c r="MMA1" s="24"/>
      <c r="MMB1" s="24"/>
      <c r="MMC1" s="24"/>
      <c r="MMD1" s="24"/>
      <c r="MME1" s="24"/>
      <c r="MMF1" s="24"/>
      <c r="MMG1" s="24"/>
      <c r="MMH1" s="24"/>
      <c r="MMI1" s="24"/>
      <c r="MMJ1" s="24"/>
      <c r="MMK1" s="24"/>
      <c r="MML1" s="24"/>
      <c r="MMM1" s="24"/>
      <c r="MMN1" s="24"/>
      <c r="MMO1" s="24"/>
      <c r="MMP1" s="24"/>
      <c r="MMQ1" s="24"/>
      <c r="MMR1" s="24"/>
      <c r="MMS1" s="24"/>
      <c r="MMT1" s="24"/>
      <c r="MMU1" s="24"/>
      <c r="MMV1" s="24"/>
      <c r="MMW1" s="24"/>
      <c r="MMX1" s="24"/>
      <c r="MMY1" s="24"/>
      <c r="MMZ1" s="24"/>
      <c r="MNA1" s="24"/>
      <c r="MNB1" s="24"/>
      <c r="MNC1" s="24"/>
      <c r="MND1" s="24"/>
      <c r="MNE1" s="24"/>
      <c r="MNF1" s="24"/>
      <c r="MNG1" s="24"/>
      <c r="MNH1" s="24"/>
      <c r="MNI1" s="24"/>
      <c r="MNJ1" s="24"/>
      <c r="MNK1" s="24"/>
      <c r="MNL1" s="24"/>
      <c r="MNM1" s="24"/>
      <c r="MNN1" s="24"/>
      <c r="MNO1" s="24"/>
      <c r="MNP1" s="24"/>
      <c r="MNQ1" s="24"/>
      <c r="MNR1" s="24"/>
      <c r="MNS1" s="24"/>
      <c r="MNT1" s="24"/>
      <c r="MNU1" s="24"/>
      <c r="MNV1" s="24"/>
      <c r="MNW1" s="24"/>
      <c r="MNX1" s="24"/>
      <c r="MNY1" s="24"/>
      <c r="MNZ1" s="24"/>
      <c r="MOA1" s="24"/>
      <c r="MOB1" s="24"/>
      <c r="MOC1" s="24"/>
      <c r="MOD1" s="24"/>
      <c r="MOE1" s="24"/>
      <c r="MOF1" s="24"/>
      <c r="MOG1" s="24"/>
      <c r="MOH1" s="24"/>
      <c r="MOI1" s="24"/>
      <c r="MOJ1" s="24"/>
      <c r="MOK1" s="24"/>
      <c r="MOL1" s="24"/>
      <c r="MOM1" s="24"/>
      <c r="MON1" s="24"/>
      <c r="MOO1" s="24"/>
      <c r="MOP1" s="24"/>
      <c r="MOQ1" s="24"/>
      <c r="MOR1" s="24"/>
      <c r="MOS1" s="24"/>
      <c r="MOT1" s="24"/>
      <c r="MOU1" s="24"/>
      <c r="MOV1" s="24"/>
      <c r="MOW1" s="24"/>
      <c r="MOX1" s="24"/>
      <c r="MOY1" s="24"/>
      <c r="MOZ1" s="24"/>
      <c r="MPA1" s="24"/>
      <c r="MPB1" s="24"/>
      <c r="MPC1" s="24"/>
      <c r="MPD1" s="24"/>
      <c r="MPE1" s="24"/>
      <c r="MPF1" s="24"/>
      <c r="MPG1" s="24"/>
      <c r="MPH1" s="24"/>
      <c r="MPI1" s="24"/>
      <c r="MPJ1" s="24"/>
      <c r="MPK1" s="24"/>
      <c r="MPL1" s="24"/>
      <c r="MPM1" s="24"/>
      <c r="MPN1" s="24"/>
      <c r="MPO1" s="24"/>
      <c r="MPP1" s="24"/>
      <c r="MPQ1" s="24"/>
      <c r="MPR1" s="24"/>
      <c r="MPS1" s="24"/>
      <c r="MPT1" s="24"/>
      <c r="MPU1" s="24"/>
      <c r="MPV1" s="24"/>
      <c r="MPW1" s="24"/>
      <c r="MPX1" s="24"/>
      <c r="MPY1" s="24"/>
      <c r="MPZ1" s="24"/>
      <c r="MQA1" s="24"/>
      <c r="MQB1" s="24"/>
      <c r="MQC1" s="24"/>
      <c r="MQD1" s="24"/>
      <c r="MQE1" s="24"/>
      <c r="MQF1" s="24"/>
      <c r="MQG1" s="24"/>
      <c r="MQH1" s="24"/>
      <c r="MQI1" s="24"/>
      <c r="MQJ1" s="24"/>
      <c r="MQK1" s="24"/>
      <c r="MQL1" s="24"/>
      <c r="MQM1" s="24"/>
      <c r="MQN1" s="24"/>
      <c r="MQO1" s="24"/>
      <c r="MQP1" s="24"/>
      <c r="MQQ1" s="24"/>
      <c r="MQR1" s="24"/>
      <c r="MQS1" s="24"/>
      <c r="MQT1" s="24"/>
      <c r="MQU1" s="24"/>
      <c r="MQV1" s="24"/>
      <c r="MQW1" s="24"/>
      <c r="MQX1" s="24"/>
      <c r="MQY1" s="24"/>
      <c r="MQZ1" s="24"/>
      <c r="MRA1" s="24"/>
      <c r="MRB1" s="24"/>
      <c r="MRC1" s="24"/>
      <c r="MRD1" s="24"/>
      <c r="MRE1" s="24"/>
      <c r="MRF1" s="24"/>
      <c r="MRG1" s="24"/>
      <c r="MRH1" s="24"/>
      <c r="MRI1" s="24"/>
      <c r="MRJ1" s="24"/>
      <c r="MRK1" s="24"/>
      <c r="MRL1" s="24"/>
      <c r="MRM1" s="24"/>
      <c r="MRN1" s="24"/>
      <c r="MRO1" s="24"/>
      <c r="MRP1" s="24"/>
      <c r="MRQ1" s="24"/>
      <c r="MRR1" s="24"/>
      <c r="MRS1" s="24"/>
      <c r="MRT1" s="24"/>
      <c r="MRU1" s="24"/>
      <c r="MRV1" s="24"/>
      <c r="MRW1" s="24"/>
      <c r="MRX1" s="24"/>
      <c r="MRY1" s="24"/>
      <c r="MRZ1" s="24"/>
      <c r="MSA1" s="24"/>
      <c r="MSB1" s="24"/>
      <c r="MSC1" s="24"/>
      <c r="MSD1" s="24"/>
      <c r="MSE1" s="24"/>
      <c r="MSF1" s="24"/>
      <c r="MSG1" s="24"/>
      <c r="MSH1" s="24"/>
      <c r="MSI1" s="24"/>
      <c r="MSJ1" s="24"/>
      <c r="MSK1" s="24"/>
      <c r="MSL1" s="24"/>
      <c r="MSM1" s="24"/>
      <c r="MSN1" s="24"/>
      <c r="MSO1" s="24"/>
      <c r="MSP1" s="24"/>
      <c r="MSQ1" s="24"/>
      <c r="MSR1" s="24"/>
      <c r="MSS1" s="24"/>
      <c r="MST1" s="24"/>
      <c r="MSU1" s="24"/>
      <c r="MSV1" s="24"/>
      <c r="MSW1" s="24"/>
      <c r="MSX1" s="24"/>
      <c r="MSY1" s="24"/>
      <c r="MSZ1" s="24"/>
      <c r="MTA1" s="24"/>
      <c r="MTB1" s="24"/>
      <c r="MTC1" s="24"/>
      <c r="MTD1" s="24"/>
      <c r="MTE1" s="24"/>
      <c r="MTF1" s="24"/>
      <c r="MTG1" s="24"/>
      <c r="MTH1" s="24"/>
      <c r="MTI1" s="24"/>
      <c r="MTJ1" s="24"/>
      <c r="MTK1" s="24"/>
      <c r="MTL1" s="24"/>
      <c r="MTM1" s="24"/>
      <c r="MTN1" s="24"/>
      <c r="MTO1" s="24"/>
      <c r="MTP1" s="24"/>
      <c r="MTQ1" s="24"/>
      <c r="MTR1" s="24"/>
      <c r="MTS1" s="24"/>
      <c r="MTT1" s="24"/>
      <c r="MTU1" s="24"/>
      <c r="MTV1" s="24"/>
      <c r="MTW1" s="24"/>
      <c r="MTX1" s="24"/>
      <c r="MTY1" s="24"/>
      <c r="MTZ1" s="24"/>
      <c r="MUA1" s="24"/>
      <c r="MUB1" s="24"/>
      <c r="MUC1" s="24"/>
      <c r="MUD1" s="24"/>
      <c r="MUE1" s="24"/>
      <c r="MUF1" s="24"/>
      <c r="MUG1" s="24"/>
      <c r="MUH1" s="24"/>
      <c r="MUI1" s="24"/>
      <c r="MUJ1" s="24"/>
      <c r="MUK1" s="24"/>
      <c r="MUL1" s="24"/>
      <c r="MUM1" s="24"/>
      <c r="MUN1" s="24"/>
      <c r="MUO1" s="24"/>
      <c r="MUP1" s="24"/>
      <c r="MUQ1" s="24"/>
      <c r="MUR1" s="24"/>
      <c r="MUS1" s="24"/>
      <c r="MUT1" s="24"/>
      <c r="MUU1" s="24"/>
      <c r="MUV1" s="24"/>
      <c r="MUW1" s="24"/>
      <c r="MUX1" s="24"/>
      <c r="MUY1" s="24"/>
      <c r="MUZ1" s="24"/>
      <c r="MVA1" s="24"/>
      <c r="MVB1" s="24"/>
      <c r="MVC1" s="24"/>
      <c r="MVD1" s="24"/>
      <c r="MVE1" s="24"/>
      <c r="MVF1" s="24"/>
      <c r="MVG1" s="24"/>
      <c r="MVH1" s="24"/>
      <c r="MVI1" s="24"/>
      <c r="MVJ1" s="24"/>
      <c r="MVK1" s="24"/>
      <c r="MVL1" s="24"/>
      <c r="MVM1" s="24"/>
      <c r="MVN1" s="24"/>
      <c r="MVO1" s="24"/>
      <c r="MVP1" s="24"/>
      <c r="MVQ1" s="24"/>
      <c r="MVR1" s="24"/>
      <c r="MVS1" s="24"/>
      <c r="MVT1" s="24"/>
      <c r="MVU1" s="24"/>
      <c r="MVV1" s="24"/>
      <c r="MVW1" s="24"/>
      <c r="MVX1" s="24"/>
      <c r="MVY1" s="24"/>
      <c r="MVZ1" s="24"/>
      <c r="MWA1" s="24"/>
      <c r="MWB1" s="24"/>
      <c r="MWC1" s="24"/>
      <c r="MWD1" s="24"/>
      <c r="MWE1" s="24"/>
      <c r="MWF1" s="24"/>
      <c r="MWG1" s="24"/>
      <c r="MWH1" s="24"/>
      <c r="MWI1" s="24"/>
      <c r="MWJ1" s="24"/>
      <c r="MWK1" s="24"/>
      <c r="MWL1" s="24"/>
      <c r="MWM1" s="24"/>
      <c r="MWN1" s="24"/>
      <c r="MWO1" s="24"/>
      <c r="MWP1" s="24"/>
      <c r="MWQ1" s="24"/>
      <c r="MWR1" s="24"/>
      <c r="MWS1" s="24"/>
      <c r="MWT1" s="24"/>
      <c r="MWU1" s="24"/>
      <c r="MWV1" s="24"/>
      <c r="MWW1" s="24"/>
      <c r="MWX1" s="24"/>
      <c r="MWY1" s="24"/>
      <c r="MWZ1" s="24"/>
      <c r="MXA1" s="24"/>
      <c r="MXB1" s="24"/>
      <c r="MXC1" s="24"/>
      <c r="MXD1" s="24"/>
      <c r="MXE1" s="24"/>
      <c r="MXF1" s="24"/>
      <c r="MXG1" s="24"/>
      <c r="MXH1" s="24"/>
      <c r="MXI1" s="24"/>
      <c r="MXJ1" s="24"/>
      <c r="MXK1" s="24"/>
      <c r="MXL1" s="24"/>
      <c r="MXM1" s="24"/>
      <c r="MXN1" s="24"/>
      <c r="MXO1" s="24"/>
      <c r="MXP1" s="24"/>
      <c r="MXQ1" s="24"/>
      <c r="MXR1" s="24"/>
      <c r="MXS1" s="24"/>
      <c r="MXT1" s="24"/>
      <c r="MXU1" s="24"/>
      <c r="MXV1" s="24"/>
      <c r="MXW1" s="24"/>
      <c r="MXX1" s="24"/>
      <c r="MXY1" s="24"/>
      <c r="MXZ1" s="24"/>
      <c r="MYA1" s="24"/>
      <c r="MYB1" s="24"/>
      <c r="MYC1" s="24"/>
      <c r="MYD1" s="24"/>
      <c r="MYE1" s="24"/>
      <c r="MYF1" s="24"/>
      <c r="MYG1" s="24"/>
      <c r="MYH1" s="24"/>
      <c r="MYI1" s="24"/>
      <c r="MYJ1" s="24"/>
      <c r="MYK1" s="24"/>
      <c r="MYL1" s="24"/>
      <c r="MYM1" s="24"/>
      <c r="MYN1" s="24"/>
      <c r="MYO1" s="24"/>
      <c r="MYP1" s="24"/>
      <c r="MYQ1" s="24"/>
      <c r="MYR1" s="24"/>
      <c r="MYS1" s="24"/>
      <c r="MYT1" s="24"/>
      <c r="MYU1" s="24"/>
      <c r="MYV1" s="24"/>
      <c r="MYW1" s="24"/>
      <c r="MYX1" s="24"/>
      <c r="MYY1" s="24"/>
      <c r="MYZ1" s="24"/>
      <c r="MZA1" s="24"/>
      <c r="MZB1" s="24"/>
      <c r="MZC1" s="24"/>
      <c r="MZD1" s="24"/>
      <c r="MZE1" s="24"/>
      <c r="MZF1" s="24"/>
      <c r="MZG1" s="24"/>
      <c r="MZH1" s="24"/>
      <c r="MZI1" s="24"/>
      <c r="MZJ1" s="24"/>
      <c r="MZK1" s="24"/>
      <c r="MZL1" s="24"/>
      <c r="MZM1" s="24"/>
      <c r="MZN1" s="24"/>
      <c r="MZO1" s="24"/>
      <c r="MZP1" s="24"/>
      <c r="MZQ1" s="24"/>
      <c r="MZR1" s="24"/>
      <c r="MZS1" s="24"/>
      <c r="MZT1" s="24"/>
      <c r="MZU1" s="24"/>
      <c r="MZV1" s="24"/>
      <c r="MZW1" s="24"/>
      <c r="MZX1" s="24"/>
      <c r="MZY1" s="24"/>
      <c r="MZZ1" s="24"/>
      <c r="NAA1" s="24"/>
      <c r="NAB1" s="24"/>
      <c r="NAC1" s="24"/>
      <c r="NAD1" s="24"/>
      <c r="NAE1" s="24"/>
      <c r="NAF1" s="24"/>
      <c r="NAG1" s="24"/>
      <c r="NAH1" s="24"/>
      <c r="NAI1" s="24"/>
      <c r="NAJ1" s="24"/>
      <c r="NAK1" s="24"/>
      <c r="NAL1" s="24"/>
      <c r="NAM1" s="24"/>
      <c r="NAN1" s="24"/>
      <c r="NAO1" s="24"/>
      <c r="NAP1" s="24"/>
      <c r="NAQ1" s="24"/>
      <c r="NAR1" s="24"/>
      <c r="NAS1" s="24"/>
      <c r="NAT1" s="24"/>
      <c r="NAU1" s="24"/>
      <c r="NAV1" s="24"/>
      <c r="NAW1" s="24"/>
      <c r="NAX1" s="24"/>
      <c r="NAY1" s="24"/>
      <c r="NAZ1" s="24"/>
      <c r="NBA1" s="24"/>
      <c r="NBB1" s="24"/>
      <c r="NBC1" s="24"/>
      <c r="NBD1" s="24"/>
      <c r="NBE1" s="24"/>
      <c r="NBF1" s="24"/>
      <c r="NBG1" s="24"/>
      <c r="NBH1" s="24"/>
      <c r="NBI1" s="24"/>
      <c r="NBJ1" s="24"/>
      <c r="NBK1" s="24"/>
      <c r="NBL1" s="24"/>
      <c r="NBM1" s="24"/>
      <c r="NBN1" s="24"/>
      <c r="NBO1" s="24"/>
      <c r="NBP1" s="24"/>
      <c r="NBQ1" s="24"/>
      <c r="NBR1" s="24"/>
      <c r="NBS1" s="24"/>
      <c r="NBT1" s="24"/>
      <c r="NBU1" s="24"/>
      <c r="NBV1" s="24"/>
      <c r="NBW1" s="24"/>
      <c r="NBX1" s="24"/>
      <c r="NBY1" s="24"/>
      <c r="NBZ1" s="24"/>
      <c r="NCA1" s="24"/>
      <c r="NCB1" s="24"/>
      <c r="NCC1" s="24"/>
      <c r="NCD1" s="24"/>
      <c r="NCE1" s="24"/>
      <c r="NCF1" s="24"/>
      <c r="NCG1" s="24"/>
      <c r="NCH1" s="24"/>
      <c r="NCI1" s="24"/>
      <c r="NCJ1" s="24"/>
      <c r="NCK1" s="24"/>
      <c r="NCL1" s="24"/>
      <c r="NCM1" s="24"/>
      <c r="NCN1" s="24"/>
      <c r="NCO1" s="24"/>
      <c r="NCP1" s="24"/>
      <c r="NCQ1" s="24"/>
      <c r="NCR1" s="24"/>
      <c r="NCS1" s="24"/>
      <c r="NCT1" s="24"/>
      <c r="NCU1" s="24"/>
      <c r="NCV1" s="24"/>
      <c r="NCW1" s="24"/>
      <c r="NCX1" s="24"/>
      <c r="NCY1" s="24"/>
      <c r="NCZ1" s="24"/>
      <c r="NDA1" s="24"/>
      <c r="NDB1" s="24"/>
      <c r="NDC1" s="24"/>
      <c r="NDD1" s="24"/>
      <c r="NDE1" s="24"/>
      <c r="NDF1" s="24"/>
      <c r="NDG1" s="24"/>
      <c r="NDH1" s="24"/>
      <c r="NDI1" s="24"/>
      <c r="NDJ1" s="24"/>
      <c r="NDK1" s="24"/>
      <c r="NDL1" s="24"/>
      <c r="NDM1" s="24"/>
      <c r="NDN1" s="24"/>
      <c r="NDO1" s="24"/>
      <c r="NDP1" s="24"/>
      <c r="NDQ1" s="24"/>
      <c r="NDR1" s="24"/>
      <c r="NDS1" s="24"/>
      <c r="NDT1" s="24"/>
      <c r="NDU1" s="24"/>
      <c r="NDV1" s="24"/>
      <c r="NDW1" s="24"/>
      <c r="NDX1" s="24"/>
      <c r="NDY1" s="24"/>
      <c r="NDZ1" s="24"/>
      <c r="NEA1" s="24"/>
      <c r="NEB1" s="24"/>
      <c r="NEC1" s="24"/>
      <c r="NED1" s="24"/>
      <c r="NEE1" s="24"/>
      <c r="NEF1" s="24"/>
      <c r="NEG1" s="24"/>
      <c r="NEH1" s="24"/>
      <c r="NEI1" s="24"/>
      <c r="NEJ1" s="24"/>
      <c r="NEK1" s="24"/>
      <c r="NEL1" s="24"/>
      <c r="NEM1" s="24"/>
      <c r="NEN1" s="24"/>
      <c r="NEO1" s="24"/>
      <c r="NEP1" s="24"/>
      <c r="NEQ1" s="24"/>
      <c r="NER1" s="24"/>
      <c r="NES1" s="24"/>
      <c r="NET1" s="24"/>
      <c r="NEU1" s="24"/>
      <c r="NEV1" s="24"/>
      <c r="NEW1" s="24"/>
      <c r="NEX1" s="24"/>
      <c r="NEY1" s="24"/>
      <c r="NEZ1" s="24"/>
      <c r="NFA1" s="24"/>
      <c r="NFB1" s="24"/>
      <c r="NFC1" s="24"/>
      <c r="NFD1" s="24"/>
      <c r="NFE1" s="24"/>
      <c r="NFF1" s="24"/>
      <c r="NFG1" s="24"/>
      <c r="NFH1" s="24"/>
      <c r="NFI1" s="24"/>
      <c r="NFJ1" s="24"/>
      <c r="NFK1" s="24"/>
      <c r="NFL1" s="24"/>
      <c r="NFM1" s="24"/>
      <c r="NFN1" s="24"/>
      <c r="NFO1" s="24"/>
      <c r="NFP1" s="24"/>
      <c r="NFQ1" s="24"/>
      <c r="NFR1" s="24"/>
      <c r="NFS1" s="24"/>
      <c r="NFT1" s="24"/>
      <c r="NFU1" s="24"/>
      <c r="NFV1" s="24"/>
      <c r="NFW1" s="24"/>
      <c r="NFX1" s="24"/>
      <c r="NFY1" s="24"/>
      <c r="NFZ1" s="24"/>
      <c r="NGA1" s="24"/>
      <c r="NGB1" s="24"/>
      <c r="NGC1" s="24"/>
      <c r="NGD1" s="24"/>
      <c r="NGE1" s="24"/>
      <c r="NGF1" s="24"/>
      <c r="NGG1" s="24"/>
      <c r="NGH1" s="24"/>
      <c r="NGI1" s="24"/>
      <c r="NGJ1" s="24"/>
      <c r="NGK1" s="24"/>
      <c r="NGL1" s="24"/>
      <c r="NGM1" s="24"/>
      <c r="NGN1" s="24"/>
      <c r="NGO1" s="24"/>
      <c r="NGP1" s="24"/>
      <c r="NGQ1" s="24"/>
      <c r="NGR1" s="24"/>
      <c r="NGS1" s="24"/>
      <c r="NGT1" s="24"/>
      <c r="NGU1" s="24"/>
      <c r="NGV1" s="24"/>
      <c r="NGW1" s="24"/>
      <c r="NGX1" s="24"/>
      <c r="NGY1" s="24"/>
      <c r="NGZ1" s="24"/>
      <c r="NHA1" s="24"/>
      <c r="NHB1" s="24"/>
      <c r="NHC1" s="24"/>
      <c r="NHD1" s="24"/>
      <c r="NHE1" s="24"/>
      <c r="NHF1" s="24"/>
      <c r="NHG1" s="24"/>
      <c r="NHH1" s="24"/>
      <c r="NHI1" s="24"/>
      <c r="NHJ1" s="24"/>
      <c r="NHK1" s="24"/>
      <c r="NHL1" s="24"/>
      <c r="NHM1" s="24"/>
      <c r="NHN1" s="24"/>
      <c r="NHO1" s="24"/>
      <c r="NHP1" s="24"/>
      <c r="NHQ1" s="24"/>
      <c r="NHR1" s="24"/>
      <c r="NHS1" s="24"/>
      <c r="NHT1" s="24"/>
      <c r="NHU1" s="24"/>
      <c r="NHV1" s="24"/>
      <c r="NHW1" s="24"/>
      <c r="NHX1" s="24"/>
      <c r="NHY1" s="24"/>
      <c r="NHZ1" s="24"/>
      <c r="NIA1" s="24"/>
      <c r="NIB1" s="24"/>
      <c r="NIC1" s="24"/>
      <c r="NID1" s="24"/>
      <c r="NIE1" s="24"/>
      <c r="NIF1" s="24"/>
      <c r="NIG1" s="24"/>
      <c r="NIH1" s="24"/>
      <c r="NII1" s="24"/>
      <c r="NIJ1" s="24"/>
      <c r="NIK1" s="24"/>
      <c r="NIL1" s="24"/>
      <c r="NIM1" s="24"/>
      <c r="NIN1" s="24"/>
      <c r="NIO1" s="24"/>
      <c r="NIP1" s="24"/>
      <c r="NIQ1" s="24"/>
      <c r="NIR1" s="24"/>
      <c r="NIS1" s="24"/>
      <c r="NIT1" s="24"/>
      <c r="NIU1" s="24"/>
      <c r="NIV1" s="24"/>
      <c r="NIW1" s="24"/>
      <c r="NIX1" s="24"/>
      <c r="NIY1" s="24"/>
      <c r="NIZ1" s="24"/>
      <c r="NJA1" s="24"/>
      <c r="NJB1" s="24"/>
      <c r="NJC1" s="24"/>
      <c r="NJD1" s="24"/>
      <c r="NJE1" s="24"/>
      <c r="NJF1" s="24"/>
      <c r="NJG1" s="24"/>
      <c r="NJH1" s="24"/>
      <c r="NJI1" s="24"/>
      <c r="NJJ1" s="24"/>
      <c r="NJK1" s="24"/>
      <c r="NJL1" s="24"/>
      <c r="NJM1" s="24"/>
      <c r="NJN1" s="24"/>
      <c r="NJO1" s="24"/>
      <c r="NJP1" s="24"/>
      <c r="NJQ1" s="24"/>
      <c r="NJR1" s="24"/>
      <c r="NJS1" s="24"/>
      <c r="NJT1" s="24"/>
      <c r="NJU1" s="24"/>
      <c r="NJV1" s="24"/>
      <c r="NJW1" s="24"/>
      <c r="NJX1" s="24"/>
      <c r="NJY1" s="24"/>
      <c r="NJZ1" s="24"/>
      <c r="NKA1" s="24"/>
      <c r="NKB1" s="24"/>
      <c r="NKC1" s="24"/>
      <c r="NKD1" s="24"/>
      <c r="NKE1" s="24"/>
      <c r="NKF1" s="24"/>
      <c r="NKG1" s="24"/>
      <c r="NKH1" s="24"/>
      <c r="NKI1" s="24"/>
      <c r="NKJ1" s="24"/>
      <c r="NKK1" s="24"/>
      <c r="NKL1" s="24"/>
      <c r="NKM1" s="24"/>
      <c r="NKN1" s="24"/>
      <c r="NKO1" s="24"/>
      <c r="NKP1" s="24"/>
      <c r="NKQ1" s="24"/>
      <c r="NKR1" s="24"/>
      <c r="NKS1" s="24"/>
      <c r="NKT1" s="24"/>
      <c r="NKU1" s="24"/>
      <c r="NKV1" s="24"/>
      <c r="NKW1" s="24"/>
      <c r="NKX1" s="24"/>
      <c r="NKY1" s="24"/>
      <c r="NKZ1" s="24"/>
      <c r="NLA1" s="24"/>
      <c r="NLB1" s="24"/>
      <c r="NLC1" s="24"/>
      <c r="NLD1" s="24"/>
      <c r="NLE1" s="24"/>
      <c r="NLF1" s="24"/>
      <c r="NLG1" s="24"/>
      <c r="NLH1" s="24"/>
      <c r="NLI1" s="24"/>
      <c r="NLJ1" s="24"/>
      <c r="NLK1" s="24"/>
      <c r="NLL1" s="24"/>
      <c r="NLM1" s="24"/>
      <c r="NLN1" s="24"/>
      <c r="NLO1" s="24"/>
      <c r="NLP1" s="24"/>
      <c r="NLQ1" s="24"/>
      <c r="NLR1" s="24"/>
      <c r="NLS1" s="24"/>
      <c r="NLT1" s="24"/>
      <c r="NLU1" s="24"/>
      <c r="NLV1" s="24"/>
      <c r="NLW1" s="24"/>
      <c r="NLX1" s="24"/>
      <c r="NLY1" s="24"/>
      <c r="NLZ1" s="24"/>
      <c r="NMA1" s="24"/>
      <c r="NMB1" s="24"/>
      <c r="NMC1" s="24"/>
      <c r="NMD1" s="24"/>
      <c r="NME1" s="24"/>
      <c r="NMF1" s="24"/>
      <c r="NMG1" s="24"/>
      <c r="NMH1" s="24"/>
      <c r="NMI1" s="24"/>
      <c r="NMJ1" s="24"/>
      <c r="NMK1" s="24"/>
      <c r="NML1" s="24"/>
      <c r="NMM1" s="24"/>
      <c r="NMN1" s="24"/>
      <c r="NMO1" s="24"/>
      <c r="NMP1" s="24"/>
      <c r="NMQ1" s="24"/>
      <c r="NMR1" s="24"/>
      <c r="NMS1" s="24"/>
      <c r="NMT1" s="24"/>
      <c r="NMU1" s="24"/>
      <c r="NMV1" s="24"/>
      <c r="NMW1" s="24"/>
      <c r="NMX1" s="24"/>
      <c r="NMY1" s="24"/>
      <c r="NMZ1" s="24"/>
      <c r="NNA1" s="24"/>
      <c r="NNB1" s="24"/>
      <c r="NNC1" s="24"/>
      <c r="NND1" s="24"/>
      <c r="NNE1" s="24"/>
      <c r="NNF1" s="24"/>
      <c r="NNG1" s="24"/>
      <c r="NNH1" s="24"/>
      <c r="NNI1" s="24"/>
      <c r="NNJ1" s="24"/>
      <c r="NNK1" s="24"/>
      <c r="NNL1" s="24"/>
      <c r="NNM1" s="24"/>
      <c r="NNN1" s="24"/>
      <c r="NNO1" s="24"/>
      <c r="NNP1" s="24"/>
      <c r="NNQ1" s="24"/>
      <c r="NNR1" s="24"/>
      <c r="NNS1" s="24"/>
      <c r="NNT1" s="24"/>
      <c r="NNU1" s="24"/>
      <c r="NNV1" s="24"/>
      <c r="NNW1" s="24"/>
      <c r="NNX1" s="24"/>
      <c r="NNY1" s="24"/>
      <c r="NNZ1" s="24"/>
      <c r="NOA1" s="24"/>
      <c r="NOB1" s="24"/>
      <c r="NOC1" s="24"/>
      <c r="NOD1" s="24"/>
      <c r="NOE1" s="24"/>
      <c r="NOF1" s="24"/>
      <c r="NOG1" s="24"/>
      <c r="NOH1" s="24"/>
      <c r="NOI1" s="24"/>
      <c r="NOJ1" s="24"/>
      <c r="NOK1" s="24"/>
      <c r="NOL1" s="24"/>
      <c r="NOM1" s="24"/>
      <c r="NON1" s="24"/>
      <c r="NOO1" s="24"/>
      <c r="NOP1" s="24"/>
      <c r="NOQ1" s="24"/>
      <c r="NOR1" s="24"/>
      <c r="NOS1" s="24"/>
      <c r="NOT1" s="24"/>
      <c r="NOU1" s="24"/>
      <c r="NOV1" s="24"/>
      <c r="NOW1" s="24"/>
      <c r="NOX1" s="24"/>
      <c r="NOY1" s="24"/>
      <c r="NOZ1" s="24"/>
      <c r="NPA1" s="24"/>
      <c r="NPB1" s="24"/>
      <c r="NPC1" s="24"/>
      <c r="NPD1" s="24"/>
      <c r="NPE1" s="24"/>
      <c r="NPF1" s="24"/>
      <c r="NPG1" s="24"/>
      <c r="NPH1" s="24"/>
      <c r="NPI1" s="24"/>
      <c r="NPJ1" s="24"/>
      <c r="NPK1" s="24"/>
      <c r="NPL1" s="24"/>
      <c r="NPM1" s="24"/>
      <c r="NPN1" s="24"/>
      <c r="NPO1" s="24"/>
      <c r="NPP1" s="24"/>
      <c r="NPQ1" s="24"/>
      <c r="NPR1" s="24"/>
      <c r="NPS1" s="24"/>
      <c r="NPT1" s="24"/>
      <c r="NPU1" s="24"/>
      <c r="NPV1" s="24"/>
      <c r="NPW1" s="24"/>
      <c r="NPX1" s="24"/>
      <c r="NPY1" s="24"/>
      <c r="NPZ1" s="24"/>
      <c r="NQA1" s="24"/>
      <c r="NQB1" s="24"/>
      <c r="NQC1" s="24"/>
      <c r="NQD1" s="24"/>
      <c r="NQE1" s="24"/>
      <c r="NQF1" s="24"/>
      <c r="NQG1" s="24"/>
      <c r="NQH1" s="24"/>
      <c r="NQI1" s="24"/>
      <c r="NQJ1" s="24"/>
      <c r="NQK1" s="24"/>
      <c r="NQL1" s="24"/>
      <c r="NQM1" s="24"/>
      <c r="NQN1" s="24"/>
      <c r="NQO1" s="24"/>
      <c r="NQP1" s="24"/>
      <c r="NQQ1" s="24"/>
      <c r="NQR1" s="24"/>
      <c r="NQS1" s="24"/>
      <c r="NQT1" s="24"/>
      <c r="NQU1" s="24"/>
      <c r="NQV1" s="24"/>
      <c r="NQW1" s="24"/>
      <c r="NQX1" s="24"/>
      <c r="NQY1" s="24"/>
      <c r="NQZ1" s="24"/>
      <c r="NRA1" s="24"/>
      <c r="NRB1" s="24"/>
      <c r="NRC1" s="24"/>
      <c r="NRD1" s="24"/>
      <c r="NRE1" s="24"/>
      <c r="NRF1" s="24"/>
      <c r="NRG1" s="24"/>
      <c r="NRH1" s="24"/>
      <c r="NRI1" s="24"/>
      <c r="NRJ1" s="24"/>
      <c r="NRK1" s="24"/>
      <c r="NRL1" s="24"/>
      <c r="NRM1" s="24"/>
      <c r="NRN1" s="24"/>
      <c r="NRO1" s="24"/>
      <c r="NRP1" s="24"/>
      <c r="NRQ1" s="24"/>
      <c r="NRR1" s="24"/>
      <c r="NRS1" s="24"/>
      <c r="NRT1" s="24"/>
      <c r="NRU1" s="24"/>
      <c r="NRV1" s="24"/>
      <c r="NRW1" s="24"/>
      <c r="NRX1" s="24"/>
      <c r="NRY1" s="24"/>
      <c r="NRZ1" s="24"/>
      <c r="NSA1" s="24"/>
      <c r="NSB1" s="24"/>
      <c r="NSC1" s="24"/>
      <c r="NSD1" s="24"/>
      <c r="NSE1" s="24"/>
      <c r="NSF1" s="24"/>
      <c r="NSG1" s="24"/>
      <c r="NSH1" s="24"/>
      <c r="NSI1" s="24"/>
      <c r="NSJ1" s="24"/>
      <c r="NSK1" s="24"/>
      <c r="NSL1" s="24"/>
      <c r="NSM1" s="24"/>
      <c r="NSN1" s="24"/>
      <c r="NSO1" s="24"/>
      <c r="NSP1" s="24"/>
      <c r="NSQ1" s="24"/>
      <c r="NSR1" s="24"/>
      <c r="NSS1" s="24"/>
      <c r="NST1" s="24"/>
      <c r="NSU1" s="24"/>
      <c r="NSV1" s="24"/>
      <c r="NSW1" s="24"/>
      <c r="NSX1" s="24"/>
      <c r="NSY1" s="24"/>
      <c r="NSZ1" s="24"/>
      <c r="NTA1" s="24"/>
      <c r="NTB1" s="24"/>
      <c r="NTC1" s="24"/>
      <c r="NTD1" s="24"/>
      <c r="NTE1" s="24"/>
      <c r="NTF1" s="24"/>
      <c r="NTG1" s="24"/>
      <c r="NTH1" s="24"/>
      <c r="NTI1" s="24"/>
      <c r="NTJ1" s="24"/>
      <c r="NTK1" s="24"/>
      <c r="NTL1" s="24"/>
      <c r="NTM1" s="24"/>
      <c r="NTN1" s="24"/>
      <c r="NTO1" s="24"/>
      <c r="NTP1" s="24"/>
      <c r="NTQ1" s="24"/>
      <c r="NTR1" s="24"/>
      <c r="NTS1" s="24"/>
      <c r="NTT1" s="24"/>
      <c r="NTU1" s="24"/>
      <c r="NTV1" s="24"/>
      <c r="NTW1" s="24"/>
      <c r="NTX1" s="24"/>
      <c r="NTY1" s="24"/>
      <c r="NTZ1" s="24"/>
      <c r="NUA1" s="24"/>
      <c r="NUB1" s="24"/>
      <c r="NUC1" s="24"/>
      <c r="NUD1" s="24"/>
      <c r="NUE1" s="24"/>
      <c r="NUF1" s="24"/>
      <c r="NUG1" s="24"/>
      <c r="NUH1" s="24"/>
      <c r="NUI1" s="24"/>
      <c r="NUJ1" s="24"/>
      <c r="NUK1" s="24"/>
      <c r="NUL1" s="24"/>
      <c r="NUM1" s="24"/>
      <c r="NUN1" s="24"/>
      <c r="NUO1" s="24"/>
      <c r="NUP1" s="24"/>
      <c r="NUQ1" s="24"/>
      <c r="NUR1" s="24"/>
      <c r="NUS1" s="24"/>
      <c r="NUT1" s="24"/>
      <c r="NUU1" s="24"/>
      <c r="NUV1" s="24"/>
      <c r="NUW1" s="24"/>
      <c r="NUX1" s="24"/>
      <c r="NUY1" s="24"/>
      <c r="NUZ1" s="24"/>
      <c r="NVA1" s="24"/>
      <c r="NVB1" s="24"/>
      <c r="NVC1" s="24"/>
      <c r="NVD1" s="24"/>
      <c r="NVE1" s="24"/>
      <c r="NVF1" s="24"/>
      <c r="NVG1" s="24"/>
      <c r="NVH1" s="24"/>
      <c r="NVI1" s="24"/>
      <c r="NVJ1" s="24"/>
      <c r="NVK1" s="24"/>
      <c r="NVL1" s="24"/>
      <c r="NVM1" s="24"/>
      <c r="NVN1" s="24"/>
      <c r="NVO1" s="24"/>
      <c r="NVP1" s="24"/>
      <c r="NVQ1" s="24"/>
      <c r="NVR1" s="24"/>
      <c r="NVS1" s="24"/>
      <c r="NVT1" s="24"/>
      <c r="NVU1" s="24"/>
      <c r="NVV1" s="24"/>
      <c r="NVW1" s="24"/>
      <c r="NVX1" s="24"/>
      <c r="NVY1" s="24"/>
      <c r="NVZ1" s="24"/>
      <c r="NWA1" s="24"/>
      <c r="NWB1" s="24"/>
      <c r="NWC1" s="24"/>
      <c r="NWD1" s="24"/>
      <c r="NWE1" s="24"/>
      <c r="NWF1" s="24"/>
      <c r="NWG1" s="24"/>
      <c r="NWH1" s="24"/>
      <c r="NWI1" s="24"/>
      <c r="NWJ1" s="24"/>
      <c r="NWK1" s="24"/>
      <c r="NWL1" s="24"/>
      <c r="NWM1" s="24"/>
      <c r="NWN1" s="24"/>
      <c r="NWO1" s="24"/>
      <c r="NWP1" s="24"/>
      <c r="NWQ1" s="24"/>
      <c r="NWR1" s="24"/>
      <c r="NWS1" s="24"/>
      <c r="NWT1" s="24"/>
      <c r="NWU1" s="24"/>
      <c r="NWV1" s="24"/>
      <c r="NWW1" s="24"/>
      <c r="NWX1" s="24"/>
      <c r="NWY1" s="24"/>
      <c r="NWZ1" s="24"/>
      <c r="NXA1" s="24"/>
      <c r="NXB1" s="24"/>
      <c r="NXC1" s="24"/>
      <c r="NXD1" s="24"/>
      <c r="NXE1" s="24"/>
      <c r="NXF1" s="24"/>
      <c r="NXG1" s="24"/>
      <c r="NXH1" s="24"/>
      <c r="NXI1" s="24"/>
      <c r="NXJ1" s="24"/>
      <c r="NXK1" s="24"/>
      <c r="NXL1" s="24"/>
      <c r="NXM1" s="24"/>
      <c r="NXN1" s="24"/>
      <c r="NXO1" s="24"/>
      <c r="NXP1" s="24"/>
      <c r="NXQ1" s="24"/>
      <c r="NXR1" s="24"/>
      <c r="NXS1" s="24"/>
      <c r="NXT1" s="24"/>
      <c r="NXU1" s="24"/>
      <c r="NXV1" s="24"/>
      <c r="NXW1" s="24"/>
      <c r="NXX1" s="24"/>
      <c r="NXY1" s="24"/>
      <c r="NXZ1" s="24"/>
      <c r="NYA1" s="24"/>
      <c r="NYB1" s="24"/>
      <c r="NYC1" s="24"/>
      <c r="NYD1" s="24"/>
      <c r="NYE1" s="24"/>
      <c r="NYF1" s="24"/>
      <c r="NYG1" s="24"/>
      <c r="NYH1" s="24"/>
      <c r="NYI1" s="24"/>
      <c r="NYJ1" s="24"/>
      <c r="NYK1" s="24"/>
      <c r="NYL1" s="24"/>
      <c r="NYM1" s="24"/>
      <c r="NYN1" s="24"/>
      <c r="NYO1" s="24"/>
      <c r="NYP1" s="24"/>
      <c r="NYQ1" s="24"/>
      <c r="NYR1" s="24"/>
      <c r="NYS1" s="24"/>
      <c r="NYT1" s="24"/>
      <c r="NYU1" s="24"/>
      <c r="NYV1" s="24"/>
      <c r="NYW1" s="24"/>
      <c r="NYX1" s="24"/>
      <c r="NYY1" s="24"/>
      <c r="NYZ1" s="24"/>
      <c r="NZA1" s="24"/>
      <c r="NZB1" s="24"/>
      <c r="NZC1" s="24"/>
      <c r="NZD1" s="24"/>
      <c r="NZE1" s="24"/>
      <c r="NZF1" s="24"/>
      <c r="NZG1" s="24"/>
      <c r="NZH1" s="24"/>
      <c r="NZI1" s="24"/>
      <c r="NZJ1" s="24"/>
      <c r="NZK1" s="24"/>
      <c r="NZL1" s="24"/>
      <c r="NZM1" s="24"/>
      <c r="NZN1" s="24"/>
      <c r="NZO1" s="24"/>
      <c r="NZP1" s="24"/>
      <c r="NZQ1" s="24"/>
      <c r="NZR1" s="24"/>
      <c r="NZS1" s="24"/>
      <c r="NZT1" s="24"/>
      <c r="NZU1" s="24"/>
      <c r="NZV1" s="24"/>
      <c r="NZW1" s="24"/>
      <c r="NZX1" s="24"/>
      <c r="NZY1" s="24"/>
      <c r="NZZ1" s="24"/>
      <c r="OAA1" s="24"/>
      <c r="OAB1" s="24"/>
      <c r="OAC1" s="24"/>
      <c r="OAD1" s="24"/>
      <c r="OAE1" s="24"/>
      <c r="OAF1" s="24"/>
      <c r="OAG1" s="24"/>
      <c r="OAH1" s="24"/>
      <c r="OAI1" s="24"/>
      <c r="OAJ1" s="24"/>
      <c r="OAK1" s="24"/>
      <c r="OAL1" s="24"/>
      <c r="OAM1" s="24"/>
      <c r="OAN1" s="24"/>
      <c r="OAO1" s="24"/>
      <c r="OAP1" s="24"/>
      <c r="OAQ1" s="24"/>
      <c r="OAR1" s="24"/>
      <c r="OAS1" s="24"/>
      <c r="OAT1" s="24"/>
      <c r="OAU1" s="24"/>
      <c r="OAV1" s="24"/>
      <c r="OAW1" s="24"/>
      <c r="OAX1" s="24"/>
      <c r="OAY1" s="24"/>
      <c r="OAZ1" s="24"/>
      <c r="OBA1" s="24"/>
      <c r="OBB1" s="24"/>
      <c r="OBC1" s="24"/>
      <c r="OBD1" s="24"/>
      <c r="OBE1" s="24"/>
      <c r="OBF1" s="24"/>
      <c r="OBG1" s="24"/>
      <c r="OBH1" s="24"/>
      <c r="OBI1" s="24"/>
      <c r="OBJ1" s="24"/>
      <c r="OBK1" s="24"/>
      <c r="OBL1" s="24"/>
      <c r="OBM1" s="24"/>
      <c r="OBN1" s="24"/>
      <c r="OBO1" s="24"/>
      <c r="OBP1" s="24"/>
      <c r="OBQ1" s="24"/>
      <c r="OBR1" s="24"/>
      <c r="OBS1" s="24"/>
      <c r="OBT1" s="24"/>
      <c r="OBU1" s="24"/>
      <c r="OBV1" s="24"/>
      <c r="OBW1" s="24"/>
      <c r="OBX1" s="24"/>
      <c r="OBY1" s="24"/>
      <c r="OBZ1" s="24"/>
      <c r="OCA1" s="24"/>
      <c r="OCB1" s="24"/>
      <c r="OCC1" s="24"/>
      <c r="OCD1" s="24"/>
      <c r="OCE1" s="24"/>
      <c r="OCF1" s="24"/>
      <c r="OCG1" s="24"/>
      <c r="OCH1" s="24"/>
      <c r="OCI1" s="24"/>
      <c r="OCJ1" s="24"/>
      <c r="OCK1" s="24"/>
      <c r="OCL1" s="24"/>
      <c r="OCM1" s="24"/>
      <c r="OCN1" s="24"/>
      <c r="OCO1" s="24"/>
      <c r="OCP1" s="24"/>
      <c r="OCQ1" s="24"/>
      <c r="OCR1" s="24"/>
      <c r="OCS1" s="24"/>
      <c r="OCT1" s="24"/>
      <c r="OCU1" s="24"/>
      <c r="OCV1" s="24"/>
      <c r="OCW1" s="24"/>
      <c r="OCX1" s="24"/>
      <c r="OCY1" s="24"/>
      <c r="OCZ1" s="24"/>
      <c r="ODA1" s="24"/>
      <c r="ODB1" s="24"/>
      <c r="ODC1" s="24"/>
      <c r="ODD1" s="24"/>
      <c r="ODE1" s="24"/>
      <c r="ODF1" s="24"/>
      <c r="ODG1" s="24"/>
      <c r="ODH1" s="24"/>
      <c r="ODI1" s="24"/>
      <c r="ODJ1" s="24"/>
      <c r="ODK1" s="24"/>
      <c r="ODL1" s="24"/>
      <c r="ODM1" s="24"/>
      <c r="ODN1" s="24"/>
      <c r="ODO1" s="24"/>
      <c r="ODP1" s="24"/>
      <c r="ODQ1" s="24"/>
      <c r="ODR1" s="24"/>
      <c r="ODS1" s="24"/>
      <c r="ODT1" s="24"/>
      <c r="ODU1" s="24"/>
      <c r="ODV1" s="24"/>
      <c r="ODW1" s="24"/>
      <c r="ODX1" s="24"/>
      <c r="ODY1" s="24"/>
      <c r="ODZ1" s="24"/>
      <c r="OEA1" s="24"/>
      <c r="OEB1" s="24"/>
      <c r="OEC1" s="24"/>
      <c r="OED1" s="24"/>
      <c r="OEE1" s="24"/>
      <c r="OEF1" s="24"/>
      <c r="OEG1" s="24"/>
      <c r="OEH1" s="24"/>
      <c r="OEI1" s="24"/>
      <c r="OEJ1" s="24"/>
      <c r="OEK1" s="24"/>
      <c r="OEL1" s="24"/>
      <c r="OEM1" s="24"/>
      <c r="OEN1" s="24"/>
      <c r="OEO1" s="24"/>
      <c r="OEP1" s="24"/>
      <c r="OEQ1" s="24"/>
      <c r="OER1" s="24"/>
      <c r="OES1" s="24"/>
      <c r="OET1" s="24"/>
      <c r="OEU1" s="24"/>
      <c r="OEV1" s="24"/>
      <c r="OEW1" s="24"/>
      <c r="OEX1" s="24"/>
      <c r="OEY1" s="24"/>
      <c r="OEZ1" s="24"/>
      <c r="OFA1" s="24"/>
      <c r="OFB1" s="24"/>
      <c r="OFC1" s="24"/>
      <c r="OFD1" s="24"/>
      <c r="OFE1" s="24"/>
      <c r="OFF1" s="24"/>
      <c r="OFG1" s="24"/>
      <c r="OFH1" s="24"/>
      <c r="OFI1" s="24"/>
      <c r="OFJ1" s="24"/>
      <c r="OFK1" s="24"/>
      <c r="OFL1" s="24"/>
      <c r="OFM1" s="24"/>
      <c r="OFN1" s="24"/>
      <c r="OFO1" s="24"/>
      <c r="OFP1" s="24"/>
      <c r="OFQ1" s="24"/>
      <c r="OFR1" s="24"/>
      <c r="OFS1" s="24"/>
      <c r="OFT1" s="24"/>
      <c r="OFU1" s="24"/>
      <c r="OFV1" s="24"/>
      <c r="OFW1" s="24"/>
      <c r="OFX1" s="24"/>
      <c r="OFY1" s="24"/>
      <c r="OFZ1" s="24"/>
      <c r="OGA1" s="24"/>
      <c r="OGB1" s="24"/>
      <c r="OGC1" s="24"/>
      <c r="OGD1" s="24"/>
      <c r="OGE1" s="24"/>
      <c r="OGF1" s="24"/>
      <c r="OGG1" s="24"/>
      <c r="OGH1" s="24"/>
      <c r="OGI1" s="24"/>
      <c r="OGJ1" s="24"/>
      <c r="OGK1" s="24"/>
      <c r="OGL1" s="24"/>
      <c r="OGM1" s="24"/>
      <c r="OGN1" s="24"/>
      <c r="OGO1" s="24"/>
      <c r="OGP1" s="24"/>
      <c r="OGQ1" s="24"/>
      <c r="OGR1" s="24"/>
      <c r="OGS1" s="24"/>
      <c r="OGT1" s="24"/>
      <c r="OGU1" s="24"/>
      <c r="OGV1" s="24"/>
      <c r="OGW1" s="24"/>
      <c r="OGX1" s="24"/>
      <c r="OGY1" s="24"/>
      <c r="OGZ1" s="24"/>
      <c r="OHA1" s="24"/>
      <c r="OHB1" s="24"/>
      <c r="OHC1" s="24"/>
      <c r="OHD1" s="24"/>
      <c r="OHE1" s="24"/>
      <c r="OHF1" s="24"/>
      <c r="OHG1" s="24"/>
      <c r="OHH1" s="24"/>
      <c r="OHI1" s="24"/>
      <c r="OHJ1" s="24"/>
      <c r="OHK1" s="24"/>
      <c r="OHL1" s="24"/>
      <c r="OHM1" s="24"/>
      <c r="OHN1" s="24"/>
      <c r="OHO1" s="24"/>
      <c r="OHP1" s="24"/>
      <c r="OHQ1" s="24"/>
      <c r="OHR1" s="24"/>
      <c r="OHS1" s="24"/>
      <c r="OHT1" s="24"/>
      <c r="OHU1" s="24"/>
      <c r="OHV1" s="24"/>
      <c r="OHW1" s="24"/>
      <c r="OHX1" s="24"/>
      <c r="OHY1" s="24"/>
      <c r="OHZ1" s="24"/>
      <c r="OIA1" s="24"/>
      <c r="OIB1" s="24"/>
      <c r="OIC1" s="24"/>
      <c r="OID1" s="24"/>
      <c r="OIE1" s="24"/>
      <c r="OIF1" s="24"/>
      <c r="OIG1" s="24"/>
      <c r="OIH1" s="24"/>
      <c r="OII1" s="24"/>
      <c r="OIJ1" s="24"/>
      <c r="OIK1" s="24"/>
      <c r="OIL1" s="24"/>
      <c r="OIM1" s="24"/>
      <c r="OIN1" s="24"/>
      <c r="OIO1" s="24"/>
      <c r="OIP1" s="24"/>
      <c r="OIQ1" s="24"/>
      <c r="OIR1" s="24"/>
      <c r="OIS1" s="24"/>
      <c r="OIT1" s="24"/>
      <c r="OIU1" s="24"/>
      <c r="OIV1" s="24"/>
      <c r="OIW1" s="24"/>
      <c r="OIX1" s="24"/>
      <c r="OIY1" s="24"/>
      <c r="OIZ1" s="24"/>
      <c r="OJA1" s="24"/>
      <c r="OJB1" s="24"/>
      <c r="OJC1" s="24"/>
      <c r="OJD1" s="24"/>
      <c r="OJE1" s="24"/>
      <c r="OJF1" s="24"/>
      <c r="OJG1" s="24"/>
      <c r="OJH1" s="24"/>
      <c r="OJI1" s="24"/>
      <c r="OJJ1" s="24"/>
      <c r="OJK1" s="24"/>
      <c r="OJL1" s="24"/>
      <c r="OJM1" s="24"/>
      <c r="OJN1" s="24"/>
      <c r="OJO1" s="24"/>
      <c r="OJP1" s="24"/>
      <c r="OJQ1" s="24"/>
      <c r="OJR1" s="24"/>
      <c r="OJS1" s="24"/>
      <c r="OJT1" s="24"/>
      <c r="OJU1" s="24"/>
      <c r="OJV1" s="24"/>
      <c r="OJW1" s="24"/>
      <c r="OJX1" s="24"/>
      <c r="OJY1" s="24"/>
      <c r="OJZ1" s="24"/>
      <c r="OKA1" s="24"/>
      <c r="OKB1" s="24"/>
      <c r="OKC1" s="24"/>
      <c r="OKD1" s="24"/>
      <c r="OKE1" s="24"/>
      <c r="OKF1" s="24"/>
      <c r="OKG1" s="24"/>
      <c r="OKH1" s="24"/>
      <c r="OKI1" s="24"/>
      <c r="OKJ1" s="24"/>
      <c r="OKK1" s="24"/>
      <c r="OKL1" s="24"/>
      <c r="OKM1" s="24"/>
      <c r="OKN1" s="24"/>
      <c r="OKO1" s="24"/>
      <c r="OKP1" s="24"/>
      <c r="OKQ1" s="24"/>
      <c r="OKR1" s="24"/>
      <c r="OKS1" s="24"/>
      <c r="OKT1" s="24"/>
      <c r="OKU1" s="24"/>
      <c r="OKV1" s="24"/>
      <c r="OKW1" s="24"/>
      <c r="OKX1" s="24"/>
      <c r="OKY1" s="24"/>
      <c r="OKZ1" s="24"/>
      <c r="OLA1" s="24"/>
      <c r="OLB1" s="24"/>
      <c r="OLC1" s="24"/>
      <c r="OLD1" s="24"/>
      <c r="OLE1" s="24"/>
      <c r="OLF1" s="24"/>
      <c r="OLG1" s="24"/>
      <c r="OLH1" s="24"/>
      <c r="OLI1" s="24"/>
      <c r="OLJ1" s="24"/>
      <c r="OLK1" s="24"/>
      <c r="OLL1" s="24"/>
      <c r="OLM1" s="24"/>
      <c r="OLN1" s="24"/>
      <c r="OLO1" s="24"/>
      <c r="OLP1" s="24"/>
      <c r="OLQ1" s="24"/>
      <c r="OLR1" s="24"/>
      <c r="OLS1" s="24"/>
      <c r="OLT1" s="24"/>
      <c r="OLU1" s="24"/>
      <c r="OLV1" s="24"/>
      <c r="OLW1" s="24"/>
      <c r="OLX1" s="24"/>
      <c r="OLY1" s="24"/>
      <c r="OLZ1" s="24"/>
      <c r="OMA1" s="24"/>
      <c r="OMB1" s="24"/>
      <c r="OMC1" s="24"/>
      <c r="OMD1" s="24"/>
      <c r="OME1" s="24"/>
      <c r="OMF1" s="24"/>
      <c r="OMG1" s="24"/>
      <c r="OMH1" s="24"/>
      <c r="OMI1" s="24"/>
      <c r="OMJ1" s="24"/>
      <c r="OMK1" s="24"/>
      <c r="OML1" s="24"/>
      <c r="OMM1" s="24"/>
      <c r="OMN1" s="24"/>
      <c r="OMO1" s="24"/>
      <c r="OMP1" s="24"/>
      <c r="OMQ1" s="24"/>
      <c r="OMR1" s="24"/>
      <c r="OMS1" s="24"/>
      <c r="OMT1" s="24"/>
      <c r="OMU1" s="24"/>
      <c r="OMV1" s="24"/>
      <c r="OMW1" s="24"/>
      <c r="OMX1" s="24"/>
      <c r="OMY1" s="24"/>
      <c r="OMZ1" s="24"/>
      <c r="ONA1" s="24"/>
      <c r="ONB1" s="24"/>
      <c r="ONC1" s="24"/>
      <c r="OND1" s="24"/>
      <c r="ONE1" s="24"/>
      <c r="ONF1" s="24"/>
      <c r="ONG1" s="24"/>
      <c r="ONH1" s="24"/>
      <c r="ONI1" s="24"/>
      <c r="ONJ1" s="24"/>
      <c r="ONK1" s="24"/>
      <c r="ONL1" s="24"/>
      <c r="ONM1" s="24"/>
      <c r="ONN1" s="24"/>
      <c r="ONO1" s="24"/>
      <c r="ONP1" s="24"/>
      <c r="ONQ1" s="24"/>
      <c r="ONR1" s="24"/>
      <c r="ONS1" s="24"/>
      <c r="ONT1" s="24"/>
      <c r="ONU1" s="24"/>
      <c r="ONV1" s="24"/>
      <c r="ONW1" s="24"/>
      <c r="ONX1" s="24"/>
      <c r="ONY1" s="24"/>
      <c r="ONZ1" s="24"/>
      <c r="OOA1" s="24"/>
      <c r="OOB1" s="24"/>
      <c r="OOC1" s="24"/>
      <c r="OOD1" s="24"/>
      <c r="OOE1" s="24"/>
      <c r="OOF1" s="24"/>
      <c r="OOG1" s="24"/>
      <c r="OOH1" s="24"/>
      <c r="OOI1" s="24"/>
      <c r="OOJ1" s="24"/>
      <c r="OOK1" s="24"/>
      <c r="OOL1" s="24"/>
      <c r="OOM1" s="24"/>
      <c r="OON1" s="24"/>
      <c r="OOO1" s="24"/>
      <c r="OOP1" s="24"/>
      <c r="OOQ1" s="24"/>
      <c r="OOR1" s="24"/>
      <c r="OOS1" s="24"/>
      <c r="OOT1" s="24"/>
      <c r="OOU1" s="24"/>
      <c r="OOV1" s="24"/>
      <c r="OOW1" s="24"/>
      <c r="OOX1" s="24"/>
      <c r="OOY1" s="24"/>
      <c r="OOZ1" s="24"/>
      <c r="OPA1" s="24"/>
      <c r="OPB1" s="24"/>
      <c r="OPC1" s="24"/>
      <c r="OPD1" s="24"/>
      <c r="OPE1" s="24"/>
      <c r="OPF1" s="24"/>
      <c r="OPG1" s="24"/>
      <c r="OPH1" s="24"/>
      <c r="OPI1" s="24"/>
      <c r="OPJ1" s="24"/>
      <c r="OPK1" s="24"/>
      <c r="OPL1" s="24"/>
      <c r="OPM1" s="24"/>
      <c r="OPN1" s="24"/>
      <c r="OPO1" s="24"/>
      <c r="OPP1" s="24"/>
      <c r="OPQ1" s="24"/>
      <c r="OPR1" s="24"/>
      <c r="OPS1" s="24"/>
      <c r="OPT1" s="24"/>
      <c r="OPU1" s="24"/>
      <c r="OPV1" s="24"/>
      <c r="OPW1" s="24"/>
      <c r="OPX1" s="24"/>
      <c r="OPY1" s="24"/>
      <c r="OPZ1" s="24"/>
      <c r="OQA1" s="24"/>
      <c r="OQB1" s="24"/>
      <c r="OQC1" s="24"/>
      <c r="OQD1" s="24"/>
      <c r="OQE1" s="24"/>
      <c r="OQF1" s="24"/>
      <c r="OQG1" s="24"/>
      <c r="OQH1" s="24"/>
      <c r="OQI1" s="24"/>
      <c r="OQJ1" s="24"/>
      <c r="OQK1" s="24"/>
      <c r="OQL1" s="24"/>
      <c r="OQM1" s="24"/>
      <c r="OQN1" s="24"/>
      <c r="OQO1" s="24"/>
      <c r="OQP1" s="24"/>
      <c r="OQQ1" s="24"/>
      <c r="OQR1" s="24"/>
      <c r="OQS1" s="24"/>
      <c r="OQT1" s="24"/>
      <c r="OQU1" s="24"/>
      <c r="OQV1" s="24"/>
      <c r="OQW1" s="24"/>
      <c r="OQX1" s="24"/>
      <c r="OQY1" s="24"/>
      <c r="OQZ1" s="24"/>
      <c r="ORA1" s="24"/>
      <c r="ORB1" s="24"/>
      <c r="ORC1" s="24"/>
      <c r="ORD1" s="24"/>
      <c r="ORE1" s="24"/>
      <c r="ORF1" s="24"/>
      <c r="ORG1" s="24"/>
      <c r="ORH1" s="24"/>
      <c r="ORI1" s="24"/>
      <c r="ORJ1" s="24"/>
      <c r="ORK1" s="24"/>
      <c r="ORL1" s="24"/>
      <c r="ORM1" s="24"/>
      <c r="ORN1" s="24"/>
      <c r="ORO1" s="24"/>
      <c r="ORP1" s="24"/>
      <c r="ORQ1" s="24"/>
      <c r="ORR1" s="24"/>
      <c r="ORS1" s="24"/>
      <c r="ORT1" s="24"/>
      <c r="ORU1" s="24"/>
      <c r="ORV1" s="24"/>
      <c r="ORW1" s="24"/>
      <c r="ORX1" s="24"/>
      <c r="ORY1" s="24"/>
      <c r="ORZ1" s="24"/>
      <c r="OSA1" s="24"/>
      <c r="OSB1" s="24"/>
      <c r="OSC1" s="24"/>
      <c r="OSD1" s="24"/>
      <c r="OSE1" s="24"/>
      <c r="OSF1" s="24"/>
      <c r="OSG1" s="24"/>
      <c r="OSH1" s="24"/>
      <c r="OSI1" s="24"/>
      <c r="OSJ1" s="24"/>
      <c r="OSK1" s="24"/>
      <c r="OSL1" s="24"/>
      <c r="OSM1" s="24"/>
      <c r="OSN1" s="24"/>
      <c r="OSO1" s="24"/>
      <c r="OSP1" s="24"/>
      <c r="OSQ1" s="24"/>
      <c r="OSR1" s="24"/>
      <c r="OSS1" s="24"/>
      <c r="OST1" s="24"/>
      <c r="OSU1" s="24"/>
      <c r="OSV1" s="24"/>
      <c r="OSW1" s="24"/>
      <c r="OSX1" s="24"/>
      <c r="OSY1" s="24"/>
      <c r="OSZ1" s="24"/>
      <c r="OTA1" s="24"/>
      <c r="OTB1" s="24"/>
      <c r="OTC1" s="24"/>
      <c r="OTD1" s="24"/>
      <c r="OTE1" s="24"/>
      <c r="OTF1" s="24"/>
      <c r="OTG1" s="24"/>
      <c r="OTH1" s="24"/>
      <c r="OTI1" s="24"/>
      <c r="OTJ1" s="24"/>
      <c r="OTK1" s="24"/>
      <c r="OTL1" s="24"/>
      <c r="OTM1" s="24"/>
      <c r="OTN1" s="24"/>
      <c r="OTO1" s="24"/>
      <c r="OTP1" s="24"/>
      <c r="OTQ1" s="24"/>
      <c r="OTR1" s="24"/>
      <c r="OTS1" s="24"/>
      <c r="OTT1" s="24"/>
      <c r="OTU1" s="24"/>
      <c r="OTV1" s="24"/>
      <c r="OTW1" s="24"/>
      <c r="OTX1" s="24"/>
      <c r="OTY1" s="24"/>
      <c r="OTZ1" s="24"/>
      <c r="OUA1" s="24"/>
      <c r="OUB1" s="24"/>
      <c r="OUC1" s="24"/>
      <c r="OUD1" s="24"/>
      <c r="OUE1" s="24"/>
      <c r="OUF1" s="24"/>
      <c r="OUG1" s="24"/>
      <c r="OUH1" s="24"/>
      <c r="OUI1" s="24"/>
      <c r="OUJ1" s="24"/>
      <c r="OUK1" s="24"/>
      <c r="OUL1" s="24"/>
      <c r="OUM1" s="24"/>
      <c r="OUN1" s="24"/>
      <c r="OUO1" s="24"/>
      <c r="OUP1" s="24"/>
      <c r="OUQ1" s="24"/>
      <c r="OUR1" s="24"/>
      <c r="OUS1" s="24"/>
      <c r="OUT1" s="24"/>
      <c r="OUU1" s="24"/>
      <c r="OUV1" s="24"/>
      <c r="OUW1" s="24"/>
      <c r="OUX1" s="24"/>
      <c r="OUY1" s="24"/>
      <c r="OUZ1" s="24"/>
      <c r="OVA1" s="24"/>
      <c r="OVB1" s="24"/>
      <c r="OVC1" s="24"/>
      <c r="OVD1" s="24"/>
      <c r="OVE1" s="24"/>
      <c r="OVF1" s="24"/>
      <c r="OVG1" s="24"/>
      <c r="OVH1" s="24"/>
      <c r="OVI1" s="24"/>
      <c r="OVJ1" s="24"/>
      <c r="OVK1" s="24"/>
      <c r="OVL1" s="24"/>
      <c r="OVM1" s="24"/>
      <c r="OVN1" s="24"/>
      <c r="OVO1" s="24"/>
      <c r="OVP1" s="24"/>
      <c r="OVQ1" s="24"/>
      <c r="OVR1" s="24"/>
      <c r="OVS1" s="24"/>
      <c r="OVT1" s="24"/>
      <c r="OVU1" s="24"/>
      <c r="OVV1" s="24"/>
      <c r="OVW1" s="24"/>
      <c r="OVX1" s="24"/>
      <c r="OVY1" s="24"/>
      <c r="OVZ1" s="24"/>
      <c r="OWA1" s="24"/>
      <c r="OWB1" s="24"/>
      <c r="OWC1" s="24"/>
      <c r="OWD1" s="24"/>
      <c r="OWE1" s="24"/>
      <c r="OWF1" s="24"/>
      <c r="OWG1" s="24"/>
      <c r="OWH1" s="24"/>
      <c r="OWI1" s="24"/>
      <c r="OWJ1" s="24"/>
      <c r="OWK1" s="24"/>
      <c r="OWL1" s="24"/>
      <c r="OWM1" s="24"/>
      <c r="OWN1" s="24"/>
      <c r="OWO1" s="24"/>
      <c r="OWP1" s="24"/>
      <c r="OWQ1" s="24"/>
      <c r="OWR1" s="24"/>
      <c r="OWS1" s="24"/>
      <c r="OWT1" s="24"/>
      <c r="OWU1" s="24"/>
      <c r="OWV1" s="24"/>
      <c r="OWW1" s="24"/>
      <c r="OWX1" s="24"/>
      <c r="OWY1" s="24"/>
      <c r="OWZ1" s="24"/>
      <c r="OXA1" s="24"/>
      <c r="OXB1" s="24"/>
      <c r="OXC1" s="24"/>
      <c r="OXD1" s="24"/>
      <c r="OXE1" s="24"/>
      <c r="OXF1" s="24"/>
      <c r="OXG1" s="24"/>
      <c r="OXH1" s="24"/>
      <c r="OXI1" s="24"/>
      <c r="OXJ1" s="24"/>
      <c r="OXK1" s="24"/>
      <c r="OXL1" s="24"/>
      <c r="OXM1" s="24"/>
      <c r="OXN1" s="24"/>
      <c r="OXO1" s="24"/>
      <c r="OXP1" s="24"/>
      <c r="OXQ1" s="24"/>
      <c r="OXR1" s="24"/>
      <c r="OXS1" s="24"/>
      <c r="OXT1" s="24"/>
      <c r="OXU1" s="24"/>
      <c r="OXV1" s="24"/>
      <c r="OXW1" s="24"/>
      <c r="OXX1" s="24"/>
      <c r="OXY1" s="24"/>
      <c r="OXZ1" s="24"/>
      <c r="OYA1" s="24"/>
      <c r="OYB1" s="24"/>
      <c r="OYC1" s="24"/>
      <c r="OYD1" s="24"/>
      <c r="OYE1" s="24"/>
      <c r="OYF1" s="24"/>
      <c r="OYG1" s="24"/>
      <c r="OYH1" s="24"/>
      <c r="OYI1" s="24"/>
      <c r="OYJ1" s="24"/>
      <c r="OYK1" s="24"/>
      <c r="OYL1" s="24"/>
      <c r="OYM1" s="24"/>
      <c r="OYN1" s="24"/>
      <c r="OYO1" s="24"/>
      <c r="OYP1" s="24"/>
      <c r="OYQ1" s="24"/>
      <c r="OYR1" s="24"/>
      <c r="OYS1" s="24"/>
      <c r="OYT1" s="24"/>
      <c r="OYU1" s="24"/>
      <c r="OYV1" s="24"/>
      <c r="OYW1" s="24"/>
      <c r="OYX1" s="24"/>
      <c r="OYY1" s="24"/>
      <c r="OYZ1" s="24"/>
      <c r="OZA1" s="24"/>
      <c r="OZB1" s="24"/>
      <c r="OZC1" s="24"/>
      <c r="OZD1" s="24"/>
      <c r="OZE1" s="24"/>
      <c r="OZF1" s="24"/>
      <c r="OZG1" s="24"/>
      <c r="OZH1" s="24"/>
      <c r="OZI1" s="24"/>
      <c r="OZJ1" s="24"/>
      <c r="OZK1" s="24"/>
      <c r="OZL1" s="24"/>
      <c r="OZM1" s="24"/>
      <c r="OZN1" s="24"/>
      <c r="OZO1" s="24"/>
      <c r="OZP1" s="24"/>
      <c r="OZQ1" s="24"/>
      <c r="OZR1" s="24"/>
      <c r="OZS1" s="24"/>
      <c r="OZT1" s="24"/>
      <c r="OZU1" s="24"/>
      <c r="OZV1" s="24"/>
      <c r="OZW1" s="24"/>
      <c r="OZX1" s="24"/>
      <c r="OZY1" s="24"/>
      <c r="OZZ1" s="24"/>
      <c r="PAA1" s="24"/>
      <c r="PAB1" s="24"/>
      <c r="PAC1" s="24"/>
      <c r="PAD1" s="24"/>
      <c r="PAE1" s="24"/>
      <c r="PAF1" s="24"/>
      <c r="PAG1" s="24"/>
      <c r="PAH1" s="24"/>
      <c r="PAI1" s="24"/>
      <c r="PAJ1" s="24"/>
      <c r="PAK1" s="24"/>
      <c r="PAL1" s="24"/>
      <c r="PAM1" s="24"/>
      <c r="PAN1" s="24"/>
      <c r="PAO1" s="24"/>
      <c r="PAP1" s="24"/>
      <c r="PAQ1" s="24"/>
      <c r="PAR1" s="24"/>
      <c r="PAS1" s="24"/>
      <c r="PAT1" s="24"/>
      <c r="PAU1" s="24"/>
      <c r="PAV1" s="24"/>
      <c r="PAW1" s="24"/>
      <c r="PAX1" s="24"/>
      <c r="PAY1" s="24"/>
      <c r="PAZ1" s="24"/>
      <c r="PBA1" s="24"/>
      <c r="PBB1" s="24"/>
      <c r="PBC1" s="24"/>
      <c r="PBD1" s="24"/>
      <c r="PBE1" s="24"/>
      <c r="PBF1" s="24"/>
      <c r="PBG1" s="24"/>
      <c r="PBH1" s="24"/>
      <c r="PBI1" s="24"/>
      <c r="PBJ1" s="24"/>
      <c r="PBK1" s="24"/>
      <c r="PBL1" s="24"/>
      <c r="PBM1" s="24"/>
      <c r="PBN1" s="24"/>
      <c r="PBO1" s="24"/>
      <c r="PBP1" s="24"/>
      <c r="PBQ1" s="24"/>
      <c r="PBR1" s="24"/>
      <c r="PBS1" s="24"/>
      <c r="PBT1" s="24"/>
      <c r="PBU1" s="24"/>
      <c r="PBV1" s="24"/>
      <c r="PBW1" s="24"/>
      <c r="PBX1" s="24"/>
      <c r="PBY1" s="24"/>
      <c r="PBZ1" s="24"/>
      <c r="PCA1" s="24"/>
      <c r="PCB1" s="24"/>
      <c r="PCC1" s="24"/>
      <c r="PCD1" s="24"/>
      <c r="PCE1" s="24"/>
      <c r="PCF1" s="24"/>
      <c r="PCG1" s="24"/>
      <c r="PCH1" s="24"/>
      <c r="PCI1" s="24"/>
      <c r="PCJ1" s="24"/>
      <c r="PCK1" s="24"/>
      <c r="PCL1" s="24"/>
      <c r="PCM1" s="24"/>
      <c r="PCN1" s="24"/>
      <c r="PCO1" s="24"/>
      <c r="PCP1" s="24"/>
      <c r="PCQ1" s="24"/>
      <c r="PCR1" s="24"/>
      <c r="PCS1" s="24"/>
      <c r="PCT1" s="24"/>
      <c r="PCU1" s="24"/>
      <c r="PCV1" s="24"/>
      <c r="PCW1" s="24"/>
      <c r="PCX1" s="24"/>
      <c r="PCY1" s="24"/>
      <c r="PCZ1" s="24"/>
      <c r="PDA1" s="24"/>
      <c r="PDB1" s="24"/>
      <c r="PDC1" s="24"/>
      <c r="PDD1" s="24"/>
      <c r="PDE1" s="24"/>
      <c r="PDF1" s="24"/>
      <c r="PDG1" s="24"/>
      <c r="PDH1" s="24"/>
      <c r="PDI1" s="24"/>
      <c r="PDJ1" s="24"/>
      <c r="PDK1" s="24"/>
      <c r="PDL1" s="24"/>
      <c r="PDM1" s="24"/>
      <c r="PDN1" s="24"/>
      <c r="PDO1" s="24"/>
      <c r="PDP1" s="24"/>
      <c r="PDQ1" s="24"/>
      <c r="PDR1" s="24"/>
      <c r="PDS1" s="24"/>
      <c r="PDT1" s="24"/>
      <c r="PDU1" s="24"/>
      <c r="PDV1" s="24"/>
      <c r="PDW1" s="24"/>
      <c r="PDX1" s="24"/>
      <c r="PDY1" s="24"/>
      <c r="PDZ1" s="24"/>
      <c r="PEA1" s="24"/>
      <c r="PEB1" s="24"/>
      <c r="PEC1" s="24"/>
      <c r="PED1" s="24"/>
      <c r="PEE1" s="24"/>
      <c r="PEF1" s="24"/>
      <c r="PEG1" s="24"/>
      <c r="PEH1" s="24"/>
      <c r="PEI1" s="24"/>
      <c r="PEJ1" s="24"/>
      <c r="PEK1" s="24"/>
      <c r="PEL1" s="24"/>
      <c r="PEM1" s="24"/>
      <c r="PEN1" s="24"/>
      <c r="PEO1" s="24"/>
      <c r="PEP1" s="24"/>
      <c r="PEQ1" s="24"/>
      <c r="PER1" s="24"/>
      <c r="PES1" s="24"/>
      <c r="PET1" s="24"/>
      <c r="PEU1" s="24"/>
      <c r="PEV1" s="24"/>
      <c r="PEW1" s="24"/>
      <c r="PEX1" s="24"/>
      <c r="PEY1" s="24"/>
      <c r="PEZ1" s="24"/>
      <c r="PFA1" s="24"/>
      <c r="PFB1" s="24"/>
      <c r="PFC1" s="24"/>
      <c r="PFD1" s="24"/>
      <c r="PFE1" s="24"/>
      <c r="PFF1" s="24"/>
      <c r="PFG1" s="24"/>
      <c r="PFH1" s="24"/>
      <c r="PFI1" s="24"/>
      <c r="PFJ1" s="24"/>
      <c r="PFK1" s="24"/>
      <c r="PFL1" s="24"/>
      <c r="PFM1" s="24"/>
      <c r="PFN1" s="24"/>
      <c r="PFO1" s="24"/>
      <c r="PFP1" s="24"/>
      <c r="PFQ1" s="24"/>
      <c r="PFR1" s="24"/>
      <c r="PFS1" s="24"/>
      <c r="PFT1" s="24"/>
      <c r="PFU1" s="24"/>
      <c r="PFV1" s="24"/>
      <c r="PFW1" s="24"/>
      <c r="PFX1" s="24"/>
      <c r="PFY1" s="24"/>
      <c r="PFZ1" s="24"/>
      <c r="PGA1" s="24"/>
      <c r="PGB1" s="24"/>
      <c r="PGC1" s="24"/>
      <c r="PGD1" s="24"/>
      <c r="PGE1" s="24"/>
      <c r="PGF1" s="24"/>
      <c r="PGG1" s="24"/>
      <c r="PGH1" s="24"/>
      <c r="PGI1" s="24"/>
      <c r="PGJ1" s="24"/>
      <c r="PGK1" s="24"/>
      <c r="PGL1" s="24"/>
      <c r="PGM1" s="24"/>
      <c r="PGN1" s="24"/>
      <c r="PGO1" s="24"/>
      <c r="PGP1" s="24"/>
      <c r="PGQ1" s="24"/>
      <c r="PGR1" s="24"/>
      <c r="PGS1" s="24"/>
      <c r="PGT1" s="24"/>
      <c r="PGU1" s="24"/>
      <c r="PGV1" s="24"/>
      <c r="PGW1" s="24"/>
      <c r="PGX1" s="24"/>
      <c r="PGY1" s="24"/>
      <c r="PGZ1" s="24"/>
      <c r="PHA1" s="24"/>
      <c r="PHB1" s="24"/>
      <c r="PHC1" s="24"/>
      <c r="PHD1" s="24"/>
      <c r="PHE1" s="24"/>
      <c r="PHF1" s="24"/>
      <c r="PHG1" s="24"/>
      <c r="PHH1" s="24"/>
      <c r="PHI1" s="24"/>
      <c r="PHJ1" s="24"/>
      <c r="PHK1" s="24"/>
      <c r="PHL1" s="24"/>
      <c r="PHM1" s="24"/>
      <c r="PHN1" s="24"/>
      <c r="PHO1" s="24"/>
      <c r="PHP1" s="24"/>
      <c r="PHQ1" s="24"/>
      <c r="PHR1" s="24"/>
      <c r="PHS1" s="24"/>
      <c r="PHT1" s="24"/>
      <c r="PHU1" s="24"/>
      <c r="PHV1" s="24"/>
      <c r="PHW1" s="24"/>
      <c r="PHX1" s="24"/>
      <c r="PHY1" s="24"/>
      <c r="PHZ1" s="24"/>
      <c r="PIA1" s="24"/>
      <c r="PIB1" s="24"/>
      <c r="PIC1" s="24"/>
      <c r="PID1" s="24"/>
      <c r="PIE1" s="24"/>
      <c r="PIF1" s="24"/>
      <c r="PIG1" s="24"/>
      <c r="PIH1" s="24"/>
      <c r="PII1" s="24"/>
      <c r="PIJ1" s="24"/>
      <c r="PIK1" s="24"/>
      <c r="PIL1" s="24"/>
      <c r="PIM1" s="24"/>
      <c r="PIN1" s="24"/>
      <c r="PIO1" s="24"/>
      <c r="PIP1" s="24"/>
      <c r="PIQ1" s="24"/>
      <c r="PIR1" s="24"/>
      <c r="PIS1" s="24"/>
      <c r="PIT1" s="24"/>
      <c r="PIU1" s="24"/>
      <c r="PIV1" s="24"/>
      <c r="PIW1" s="24"/>
      <c r="PIX1" s="24"/>
      <c r="PIY1" s="24"/>
      <c r="PIZ1" s="24"/>
      <c r="PJA1" s="24"/>
      <c r="PJB1" s="24"/>
      <c r="PJC1" s="24"/>
      <c r="PJD1" s="24"/>
      <c r="PJE1" s="24"/>
      <c r="PJF1" s="24"/>
      <c r="PJG1" s="24"/>
      <c r="PJH1" s="24"/>
      <c r="PJI1" s="24"/>
      <c r="PJJ1" s="24"/>
      <c r="PJK1" s="24"/>
      <c r="PJL1" s="24"/>
      <c r="PJM1" s="24"/>
      <c r="PJN1" s="24"/>
      <c r="PJO1" s="24"/>
      <c r="PJP1" s="24"/>
      <c r="PJQ1" s="24"/>
      <c r="PJR1" s="24"/>
      <c r="PJS1" s="24"/>
      <c r="PJT1" s="24"/>
      <c r="PJU1" s="24"/>
      <c r="PJV1" s="24"/>
      <c r="PJW1" s="24"/>
      <c r="PJX1" s="24"/>
      <c r="PJY1" s="24"/>
      <c r="PJZ1" s="24"/>
      <c r="PKA1" s="24"/>
      <c r="PKB1" s="24"/>
      <c r="PKC1" s="24"/>
      <c r="PKD1" s="24"/>
      <c r="PKE1" s="24"/>
      <c r="PKF1" s="24"/>
      <c r="PKG1" s="24"/>
      <c r="PKH1" s="24"/>
      <c r="PKI1" s="24"/>
      <c r="PKJ1" s="24"/>
      <c r="PKK1" s="24"/>
      <c r="PKL1" s="24"/>
      <c r="PKM1" s="24"/>
      <c r="PKN1" s="24"/>
      <c r="PKO1" s="24"/>
      <c r="PKP1" s="24"/>
      <c r="PKQ1" s="24"/>
      <c r="PKR1" s="24"/>
      <c r="PKS1" s="24"/>
      <c r="PKT1" s="24"/>
      <c r="PKU1" s="24"/>
      <c r="PKV1" s="24"/>
      <c r="PKW1" s="24"/>
      <c r="PKX1" s="24"/>
      <c r="PKY1" s="24"/>
      <c r="PKZ1" s="24"/>
      <c r="PLA1" s="24"/>
      <c r="PLB1" s="24"/>
      <c r="PLC1" s="24"/>
      <c r="PLD1" s="24"/>
      <c r="PLE1" s="24"/>
      <c r="PLF1" s="24"/>
      <c r="PLG1" s="24"/>
      <c r="PLH1" s="24"/>
      <c r="PLI1" s="24"/>
      <c r="PLJ1" s="24"/>
      <c r="PLK1" s="24"/>
      <c r="PLL1" s="24"/>
      <c r="PLM1" s="24"/>
      <c r="PLN1" s="24"/>
      <c r="PLO1" s="24"/>
      <c r="PLP1" s="24"/>
      <c r="PLQ1" s="24"/>
      <c r="PLR1" s="24"/>
      <c r="PLS1" s="24"/>
      <c r="PLT1" s="24"/>
      <c r="PLU1" s="24"/>
      <c r="PLV1" s="24"/>
      <c r="PLW1" s="24"/>
      <c r="PLX1" s="24"/>
      <c r="PLY1" s="24"/>
      <c r="PLZ1" s="24"/>
      <c r="PMA1" s="24"/>
      <c r="PMB1" s="24"/>
      <c r="PMC1" s="24"/>
      <c r="PMD1" s="24"/>
      <c r="PME1" s="24"/>
      <c r="PMF1" s="24"/>
      <c r="PMG1" s="24"/>
      <c r="PMH1" s="24"/>
      <c r="PMI1" s="24"/>
      <c r="PMJ1" s="24"/>
      <c r="PMK1" s="24"/>
      <c r="PML1" s="24"/>
      <c r="PMM1" s="24"/>
      <c r="PMN1" s="24"/>
      <c r="PMO1" s="24"/>
      <c r="PMP1" s="24"/>
      <c r="PMQ1" s="24"/>
      <c r="PMR1" s="24"/>
      <c r="PMS1" s="24"/>
      <c r="PMT1" s="24"/>
      <c r="PMU1" s="24"/>
      <c r="PMV1" s="24"/>
      <c r="PMW1" s="24"/>
      <c r="PMX1" s="24"/>
      <c r="PMY1" s="24"/>
      <c r="PMZ1" s="24"/>
      <c r="PNA1" s="24"/>
      <c r="PNB1" s="24"/>
      <c r="PNC1" s="24"/>
      <c r="PND1" s="24"/>
      <c r="PNE1" s="24"/>
      <c r="PNF1" s="24"/>
      <c r="PNG1" s="24"/>
      <c r="PNH1" s="24"/>
      <c r="PNI1" s="24"/>
      <c r="PNJ1" s="24"/>
      <c r="PNK1" s="24"/>
      <c r="PNL1" s="24"/>
      <c r="PNM1" s="24"/>
      <c r="PNN1" s="24"/>
      <c r="PNO1" s="24"/>
      <c r="PNP1" s="24"/>
      <c r="PNQ1" s="24"/>
      <c r="PNR1" s="24"/>
      <c r="PNS1" s="24"/>
      <c r="PNT1" s="24"/>
      <c r="PNU1" s="24"/>
      <c r="PNV1" s="24"/>
      <c r="PNW1" s="24"/>
      <c r="PNX1" s="24"/>
      <c r="PNY1" s="24"/>
      <c r="PNZ1" s="24"/>
      <c r="POA1" s="24"/>
      <c r="POB1" s="24"/>
      <c r="POC1" s="24"/>
      <c r="POD1" s="24"/>
      <c r="POE1" s="24"/>
      <c r="POF1" s="24"/>
      <c r="POG1" s="24"/>
      <c r="POH1" s="24"/>
      <c r="POI1" s="24"/>
      <c r="POJ1" s="24"/>
      <c r="POK1" s="24"/>
      <c r="POL1" s="24"/>
      <c r="POM1" s="24"/>
      <c r="PON1" s="24"/>
      <c r="POO1" s="24"/>
      <c r="POP1" s="24"/>
      <c r="POQ1" s="24"/>
      <c r="POR1" s="24"/>
      <c r="POS1" s="24"/>
      <c r="POT1" s="24"/>
      <c r="POU1" s="24"/>
      <c r="POV1" s="24"/>
      <c r="POW1" s="24"/>
      <c r="POX1" s="24"/>
      <c r="POY1" s="24"/>
      <c r="POZ1" s="24"/>
      <c r="PPA1" s="24"/>
      <c r="PPB1" s="24"/>
      <c r="PPC1" s="24"/>
      <c r="PPD1" s="24"/>
      <c r="PPE1" s="24"/>
      <c r="PPF1" s="24"/>
      <c r="PPG1" s="24"/>
      <c r="PPH1" s="24"/>
      <c r="PPI1" s="24"/>
      <c r="PPJ1" s="24"/>
      <c r="PPK1" s="24"/>
      <c r="PPL1" s="24"/>
      <c r="PPM1" s="24"/>
      <c r="PPN1" s="24"/>
      <c r="PPO1" s="24"/>
      <c r="PPP1" s="24"/>
      <c r="PPQ1" s="24"/>
      <c r="PPR1" s="24"/>
      <c r="PPS1" s="24"/>
      <c r="PPT1" s="24"/>
      <c r="PPU1" s="24"/>
      <c r="PPV1" s="24"/>
      <c r="PPW1" s="24"/>
      <c r="PPX1" s="24"/>
      <c r="PPY1" s="24"/>
      <c r="PPZ1" s="24"/>
      <c r="PQA1" s="24"/>
      <c r="PQB1" s="24"/>
      <c r="PQC1" s="24"/>
      <c r="PQD1" s="24"/>
      <c r="PQE1" s="24"/>
      <c r="PQF1" s="24"/>
      <c r="PQG1" s="24"/>
      <c r="PQH1" s="24"/>
      <c r="PQI1" s="24"/>
      <c r="PQJ1" s="24"/>
      <c r="PQK1" s="24"/>
      <c r="PQL1" s="24"/>
      <c r="PQM1" s="24"/>
      <c r="PQN1" s="24"/>
      <c r="PQO1" s="24"/>
      <c r="PQP1" s="24"/>
      <c r="PQQ1" s="24"/>
      <c r="PQR1" s="24"/>
      <c r="PQS1" s="24"/>
      <c r="PQT1" s="24"/>
      <c r="PQU1" s="24"/>
      <c r="PQV1" s="24"/>
      <c r="PQW1" s="24"/>
      <c r="PQX1" s="24"/>
      <c r="PQY1" s="24"/>
      <c r="PQZ1" s="24"/>
      <c r="PRA1" s="24"/>
      <c r="PRB1" s="24"/>
      <c r="PRC1" s="24"/>
      <c r="PRD1" s="24"/>
      <c r="PRE1" s="24"/>
      <c r="PRF1" s="24"/>
      <c r="PRG1" s="24"/>
      <c r="PRH1" s="24"/>
      <c r="PRI1" s="24"/>
      <c r="PRJ1" s="24"/>
      <c r="PRK1" s="24"/>
      <c r="PRL1" s="24"/>
      <c r="PRM1" s="24"/>
      <c r="PRN1" s="24"/>
      <c r="PRO1" s="24"/>
      <c r="PRP1" s="24"/>
      <c r="PRQ1" s="24"/>
      <c r="PRR1" s="24"/>
      <c r="PRS1" s="24"/>
      <c r="PRT1" s="24"/>
      <c r="PRU1" s="24"/>
      <c r="PRV1" s="24"/>
      <c r="PRW1" s="24"/>
      <c r="PRX1" s="24"/>
      <c r="PRY1" s="24"/>
      <c r="PRZ1" s="24"/>
      <c r="PSA1" s="24"/>
      <c r="PSB1" s="24"/>
      <c r="PSC1" s="24"/>
      <c r="PSD1" s="24"/>
      <c r="PSE1" s="24"/>
      <c r="PSF1" s="24"/>
      <c r="PSG1" s="24"/>
      <c r="PSH1" s="24"/>
      <c r="PSI1" s="24"/>
      <c r="PSJ1" s="24"/>
      <c r="PSK1" s="24"/>
      <c r="PSL1" s="24"/>
      <c r="PSM1" s="24"/>
      <c r="PSN1" s="24"/>
      <c r="PSO1" s="24"/>
      <c r="PSP1" s="24"/>
      <c r="PSQ1" s="24"/>
      <c r="PSR1" s="24"/>
      <c r="PSS1" s="24"/>
      <c r="PST1" s="24"/>
      <c r="PSU1" s="24"/>
      <c r="PSV1" s="24"/>
      <c r="PSW1" s="24"/>
      <c r="PSX1" s="24"/>
      <c r="PSY1" s="24"/>
      <c r="PSZ1" s="24"/>
      <c r="PTA1" s="24"/>
      <c r="PTB1" s="24"/>
      <c r="PTC1" s="24"/>
      <c r="PTD1" s="24"/>
      <c r="PTE1" s="24"/>
      <c r="PTF1" s="24"/>
      <c r="PTG1" s="24"/>
      <c r="PTH1" s="24"/>
      <c r="PTI1" s="24"/>
      <c r="PTJ1" s="24"/>
      <c r="PTK1" s="24"/>
      <c r="PTL1" s="24"/>
      <c r="PTM1" s="24"/>
      <c r="PTN1" s="24"/>
      <c r="PTO1" s="24"/>
      <c r="PTP1" s="24"/>
      <c r="PTQ1" s="24"/>
      <c r="PTR1" s="24"/>
      <c r="PTS1" s="24"/>
      <c r="PTT1" s="24"/>
      <c r="PTU1" s="24"/>
      <c r="PTV1" s="24"/>
      <c r="PTW1" s="24"/>
      <c r="PTX1" s="24"/>
      <c r="PTY1" s="24"/>
      <c r="PTZ1" s="24"/>
      <c r="PUA1" s="24"/>
      <c r="PUB1" s="24"/>
      <c r="PUC1" s="24"/>
      <c r="PUD1" s="24"/>
      <c r="PUE1" s="24"/>
      <c r="PUF1" s="24"/>
      <c r="PUG1" s="24"/>
      <c r="PUH1" s="24"/>
      <c r="PUI1" s="24"/>
      <c r="PUJ1" s="24"/>
      <c r="PUK1" s="24"/>
      <c r="PUL1" s="24"/>
      <c r="PUM1" s="24"/>
      <c r="PUN1" s="24"/>
      <c r="PUO1" s="24"/>
      <c r="PUP1" s="24"/>
      <c r="PUQ1" s="24"/>
      <c r="PUR1" s="24"/>
      <c r="PUS1" s="24"/>
      <c r="PUT1" s="24"/>
      <c r="PUU1" s="24"/>
      <c r="PUV1" s="24"/>
      <c r="PUW1" s="24"/>
      <c r="PUX1" s="24"/>
      <c r="PUY1" s="24"/>
      <c r="PUZ1" s="24"/>
      <c r="PVA1" s="24"/>
      <c r="PVB1" s="24"/>
      <c r="PVC1" s="24"/>
      <c r="PVD1" s="24"/>
      <c r="PVE1" s="24"/>
      <c r="PVF1" s="24"/>
      <c r="PVG1" s="24"/>
      <c r="PVH1" s="24"/>
      <c r="PVI1" s="24"/>
      <c r="PVJ1" s="24"/>
      <c r="PVK1" s="24"/>
      <c r="PVL1" s="24"/>
      <c r="PVM1" s="24"/>
      <c r="PVN1" s="24"/>
      <c r="PVO1" s="24"/>
      <c r="PVP1" s="24"/>
      <c r="PVQ1" s="24"/>
      <c r="PVR1" s="24"/>
      <c r="PVS1" s="24"/>
      <c r="PVT1" s="24"/>
      <c r="PVU1" s="24"/>
      <c r="PVV1" s="24"/>
      <c r="PVW1" s="24"/>
      <c r="PVX1" s="24"/>
      <c r="PVY1" s="24"/>
      <c r="PVZ1" s="24"/>
      <c r="PWA1" s="24"/>
      <c r="PWB1" s="24"/>
      <c r="PWC1" s="24"/>
      <c r="PWD1" s="24"/>
      <c r="PWE1" s="24"/>
      <c r="PWF1" s="24"/>
      <c r="PWG1" s="24"/>
      <c r="PWH1" s="24"/>
      <c r="PWI1" s="24"/>
      <c r="PWJ1" s="24"/>
      <c r="PWK1" s="24"/>
      <c r="PWL1" s="24"/>
      <c r="PWM1" s="24"/>
      <c r="PWN1" s="24"/>
      <c r="PWO1" s="24"/>
      <c r="PWP1" s="24"/>
      <c r="PWQ1" s="24"/>
      <c r="PWR1" s="24"/>
      <c r="PWS1" s="24"/>
      <c r="PWT1" s="24"/>
      <c r="PWU1" s="24"/>
      <c r="PWV1" s="24"/>
      <c r="PWW1" s="24"/>
      <c r="PWX1" s="24"/>
      <c r="PWY1" s="24"/>
      <c r="PWZ1" s="24"/>
      <c r="PXA1" s="24"/>
      <c r="PXB1" s="24"/>
      <c r="PXC1" s="24"/>
      <c r="PXD1" s="24"/>
      <c r="PXE1" s="24"/>
      <c r="PXF1" s="24"/>
      <c r="PXG1" s="24"/>
      <c r="PXH1" s="24"/>
      <c r="PXI1" s="24"/>
      <c r="PXJ1" s="24"/>
      <c r="PXK1" s="24"/>
      <c r="PXL1" s="24"/>
      <c r="PXM1" s="24"/>
      <c r="PXN1" s="24"/>
      <c r="PXO1" s="24"/>
      <c r="PXP1" s="24"/>
      <c r="PXQ1" s="24"/>
      <c r="PXR1" s="24"/>
      <c r="PXS1" s="24"/>
      <c r="PXT1" s="24"/>
      <c r="PXU1" s="24"/>
      <c r="PXV1" s="24"/>
      <c r="PXW1" s="24"/>
      <c r="PXX1" s="24"/>
      <c r="PXY1" s="24"/>
      <c r="PXZ1" s="24"/>
      <c r="PYA1" s="24"/>
      <c r="PYB1" s="24"/>
      <c r="PYC1" s="24"/>
      <c r="PYD1" s="24"/>
      <c r="PYE1" s="24"/>
      <c r="PYF1" s="24"/>
      <c r="PYG1" s="24"/>
      <c r="PYH1" s="24"/>
      <c r="PYI1" s="24"/>
      <c r="PYJ1" s="24"/>
      <c r="PYK1" s="24"/>
      <c r="PYL1" s="24"/>
      <c r="PYM1" s="24"/>
      <c r="PYN1" s="24"/>
      <c r="PYO1" s="24"/>
      <c r="PYP1" s="24"/>
      <c r="PYQ1" s="24"/>
      <c r="PYR1" s="24"/>
      <c r="PYS1" s="24"/>
      <c r="PYT1" s="24"/>
      <c r="PYU1" s="24"/>
      <c r="PYV1" s="24"/>
      <c r="PYW1" s="24"/>
      <c r="PYX1" s="24"/>
      <c r="PYY1" s="24"/>
      <c r="PYZ1" s="24"/>
      <c r="PZA1" s="24"/>
      <c r="PZB1" s="24"/>
      <c r="PZC1" s="24"/>
      <c r="PZD1" s="24"/>
      <c r="PZE1" s="24"/>
      <c r="PZF1" s="24"/>
      <c r="PZG1" s="24"/>
      <c r="PZH1" s="24"/>
      <c r="PZI1" s="24"/>
      <c r="PZJ1" s="24"/>
      <c r="PZK1" s="24"/>
      <c r="PZL1" s="24"/>
      <c r="PZM1" s="24"/>
      <c r="PZN1" s="24"/>
      <c r="PZO1" s="24"/>
      <c r="PZP1" s="24"/>
      <c r="PZQ1" s="24"/>
      <c r="PZR1" s="24"/>
      <c r="PZS1" s="24"/>
      <c r="PZT1" s="24"/>
      <c r="PZU1" s="24"/>
      <c r="PZV1" s="24"/>
      <c r="PZW1" s="24"/>
      <c r="PZX1" s="24"/>
      <c r="PZY1" s="24"/>
      <c r="PZZ1" s="24"/>
      <c r="QAA1" s="24"/>
      <c r="QAB1" s="24"/>
      <c r="QAC1" s="24"/>
      <c r="QAD1" s="24"/>
      <c r="QAE1" s="24"/>
      <c r="QAF1" s="24"/>
      <c r="QAG1" s="24"/>
      <c r="QAH1" s="24"/>
      <c r="QAI1" s="24"/>
      <c r="QAJ1" s="24"/>
      <c r="QAK1" s="24"/>
      <c r="QAL1" s="24"/>
      <c r="QAM1" s="24"/>
      <c r="QAN1" s="24"/>
      <c r="QAO1" s="24"/>
      <c r="QAP1" s="24"/>
      <c r="QAQ1" s="24"/>
      <c r="QAR1" s="24"/>
      <c r="QAS1" s="24"/>
      <c r="QAT1" s="24"/>
      <c r="QAU1" s="24"/>
      <c r="QAV1" s="24"/>
      <c r="QAW1" s="24"/>
      <c r="QAX1" s="24"/>
      <c r="QAY1" s="24"/>
      <c r="QAZ1" s="24"/>
      <c r="QBA1" s="24"/>
      <c r="QBB1" s="24"/>
      <c r="QBC1" s="24"/>
      <c r="QBD1" s="24"/>
      <c r="QBE1" s="24"/>
      <c r="QBF1" s="24"/>
      <c r="QBG1" s="24"/>
      <c r="QBH1" s="24"/>
      <c r="QBI1" s="24"/>
      <c r="QBJ1" s="24"/>
      <c r="QBK1" s="24"/>
      <c r="QBL1" s="24"/>
      <c r="QBM1" s="24"/>
      <c r="QBN1" s="24"/>
      <c r="QBO1" s="24"/>
      <c r="QBP1" s="24"/>
      <c r="QBQ1" s="24"/>
      <c r="QBR1" s="24"/>
      <c r="QBS1" s="24"/>
      <c r="QBT1" s="24"/>
      <c r="QBU1" s="24"/>
      <c r="QBV1" s="24"/>
      <c r="QBW1" s="24"/>
      <c r="QBX1" s="24"/>
      <c r="QBY1" s="24"/>
      <c r="QBZ1" s="24"/>
      <c r="QCA1" s="24"/>
      <c r="QCB1" s="24"/>
      <c r="QCC1" s="24"/>
      <c r="QCD1" s="24"/>
      <c r="QCE1" s="24"/>
      <c r="QCF1" s="24"/>
      <c r="QCG1" s="24"/>
      <c r="QCH1" s="24"/>
      <c r="QCI1" s="24"/>
      <c r="QCJ1" s="24"/>
      <c r="QCK1" s="24"/>
      <c r="QCL1" s="24"/>
      <c r="QCM1" s="24"/>
      <c r="QCN1" s="24"/>
      <c r="QCO1" s="24"/>
      <c r="QCP1" s="24"/>
      <c r="QCQ1" s="24"/>
      <c r="QCR1" s="24"/>
      <c r="QCS1" s="24"/>
      <c r="QCT1" s="24"/>
      <c r="QCU1" s="24"/>
      <c r="QCV1" s="24"/>
      <c r="QCW1" s="24"/>
      <c r="QCX1" s="24"/>
      <c r="QCY1" s="24"/>
      <c r="QCZ1" s="24"/>
      <c r="QDA1" s="24"/>
      <c r="QDB1" s="24"/>
      <c r="QDC1" s="24"/>
      <c r="QDD1" s="24"/>
      <c r="QDE1" s="24"/>
      <c r="QDF1" s="24"/>
      <c r="QDG1" s="24"/>
      <c r="QDH1" s="24"/>
      <c r="QDI1" s="24"/>
      <c r="QDJ1" s="24"/>
      <c r="QDK1" s="24"/>
      <c r="QDL1" s="24"/>
      <c r="QDM1" s="24"/>
      <c r="QDN1" s="24"/>
      <c r="QDO1" s="24"/>
      <c r="QDP1" s="24"/>
      <c r="QDQ1" s="24"/>
      <c r="QDR1" s="24"/>
      <c r="QDS1" s="24"/>
      <c r="QDT1" s="24"/>
      <c r="QDU1" s="24"/>
      <c r="QDV1" s="24"/>
      <c r="QDW1" s="24"/>
      <c r="QDX1" s="24"/>
      <c r="QDY1" s="24"/>
      <c r="QDZ1" s="24"/>
      <c r="QEA1" s="24"/>
      <c r="QEB1" s="24"/>
      <c r="QEC1" s="24"/>
      <c r="QED1" s="24"/>
      <c r="QEE1" s="24"/>
      <c r="QEF1" s="24"/>
      <c r="QEG1" s="24"/>
      <c r="QEH1" s="24"/>
      <c r="QEI1" s="24"/>
      <c r="QEJ1" s="24"/>
      <c r="QEK1" s="24"/>
      <c r="QEL1" s="24"/>
      <c r="QEM1" s="24"/>
      <c r="QEN1" s="24"/>
      <c r="QEO1" s="24"/>
      <c r="QEP1" s="24"/>
      <c r="QEQ1" s="24"/>
      <c r="QER1" s="24"/>
      <c r="QES1" s="24"/>
      <c r="QET1" s="24"/>
      <c r="QEU1" s="24"/>
      <c r="QEV1" s="24"/>
      <c r="QEW1" s="24"/>
      <c r="QEX1" s="24"/>
      <c r="QEY1" s="24"/>
      <c r="QEZ1" s="24"/>
      <c r="QFA1" s="24"/>
      <c r="QFB1" s="24"/>
      <c r="QFC1" s="24"/>
      <c r="QFD1" s="24"/>
      <c r="QFE1" s="24"/>
      <c r="QFF1" s="24"/>
      <c r="QFG1" s="24"/>
      <c r="QFH1" s="24"/>
      <c r="QFI1" s="24"/>
      <c r="QFJ1" s="24"/>
      <c r="QFK1" s="24"/>
      <c r="QFL1" s="24"/>
      <c r="QFM1" s="24"/>
      <c r="QFN1" s="24"/>
      <c r="QFO1" s="24"/>
      <c r="QFP1" s="24"/>
      <c r="QFQ1" s="24"/>
      <c r="QFR1" s="24"/>
      <c r="QFS1" s="24"/>
      <c r="QFT1" s="24"/>
      <c r="QFU1" s="24"/>
      <c r="QFV1" s="24"/>
      <c r="QFW1" s="24"/>
      <c r="QFX1" s="24"/>
      <c r="QFY1" s="24"/>
      <c r="QFZ1" s="24"/>
      <c r="QGA1" s="24"/>
      <c r="QGB1" s="24"/>
      <c r="QGC1" s="24"/>
      <c r="QGD1" s="24"/>
      <c r="QGE1" s="24"/>
      <c r="QGF1" s="24"/>
      <c r="QGG1" s="24"/>
      <c r="QGH1" s="24"/>
      <c r="QGI1" s="24"/>
      <c r="QGJ1" s="24"/>
      <c r="QGK1" s="24"/>
      <c r="QGL1" s="24"/>
      <c r="QGM1" s="24"/>
      <c r="QGN1" s="24"/>
      <c r="QGO1" s="24"/>
      <c r="QGP1" s="24"/>
      <c r="QGQ1" s="24"/>
      <c r="QGR1" s="24"/>
      <c r="QGS1" s="24"/>
      <c r="QGT1" s="24"/>
      <c r="QGU1" s="24"/>
      <c r="QGV1" s="24"/>
      <c r="QGW1" s="24"/>
      <c r="QGX1" s="24"/>
      <c r="QGY1" s="24"/>
      <c r="QGZ1" s="24"/>
      <c r="QHA1" s="24"/>
      <c r="QHB1" s="24"/>
      <c r="QHC1" s="24"/>
      <c r="QHD1" s="24"/>
      <c r="QHE1" s="24"/>
      <c r="QHF1" s="24"/>
      <c r="QHG1" s="24"/>
      <c r="QHH1" s="24"/>
      <c r="QHI1" s="24"/>
      <c r="QHJ1" s="24"/>
      <c r="QHK1" s="24"/>
      <c r="QHL1" s="24"/>
      <c r="QHM1" s="24"/>
      <c r="QHN1" s="24"/>
      <c r="QHO1" s="24"/>
      <c r="QHP1" s="24"/>
      <c r="QHQ1" s="24"/>
      <c r="QHR1" s="24"/>
      <c r="QHS1" s="24"/>
      <c r="QHT1" s="24"/>
      <c r="QHU1" s="24"/>
      <c r="QHV1" s="24"/>
      <c r="QHW1" s="24"/>
      <c r="QHX1" s="24"/>
      <c r="QHY1" s="24"/>
      <c r="QHZ1" s="24"/>
      <c r="QIA1" s="24"/>
      <c r="QIB1" s="24"/>
      <c r="QIC1" s="24"/>
      <c r="QID1" s="24"/>
      <c r="QIE1" s="24"/>
      <c r="QIF1" s="24"/>
      <c r="QIG1" s="24"/>
      <c r="QIH1" s="24"/>
      <c r="QII1" s="24"/>
      <c r="QIJ1" s="24"/>
      <c r="QIK1" s="24"/>
      <c r="QIL1" s="24"/>
      <c r="QIM1" s="24"/>
      <c r="QIN1" s="24"/>
      <c r="QIO1" s="24"/>
      <c r="QIP1" s="24"/>
      <c r="QIQ1" s="24"/>
      <c r="QIR1" s="24"/>
      <c r="QIS1" s="24"/>
      <c r="QIT1" s="24"/>
      <c r="QIU1" s="24"/>
      <c r="QIV1" s="24"/>
      <c r="QIW1" s="24"/>
      <c r="QIX1" s="24"/>
      <c r="QIY1" s="24"/>
      <c r="QIZ1" s="24"/>
      <c r="QJA1" s="24"/>
      <c r="QJB1" s="24"/>
      <c r="QJC1" s="24"/>
      <c r="QJD1" s="24"/>
      <c r="QJE1" s="24"/>
      <c r="QJF1" s="24"/>
      <c r="QJG1" s="24"/>
      <c r="QJH1" s="24"/>
      <c r="QJI1" s="24"/>
      <c r="QJJ1" s="24"/>
      <c r="QJK1" s="24"/>
      <c r="QJL1" s="24"/>
      <c r="QJM1" s="24"/>
      <c r="QJN1" s="24"/>
      <c r="QJO1" s="24"/>
      <c r="QJP1" s="24"/>
      <c r="QJQ1" s="24"/>
      <c r="QJR1" s="24"/>
      <c r="QJS1" s="24"/>
      <c r="QJT1" s="24"/>
      <c r="QJU1" s="24"/>
      <c r="QJV1" s="24"/>
      <c r="QJW1" s="24"/>
      <c r="QJX1" s="24"/>
      <c r="QJY1" s="24"/>
      <c r="QJZ1" s="24"/>
      <c r="QKA1" s="24"/>
      <c r="QKB1" s="24"/>
      <c r="QKC1" s="24"/>
      <c r="QKD1" s="24"/>
      <c r="QKE1" s="24"/>
      <c r="QKF1" s="24"/>
      <c r="QKG1" s="24"/>
      <c r="QKH1" s="24"/>
      <c r="QKI1" s="24"/>
      <c r="QKJ1" s="24"/>
      <c r="QKK1" s="24"/>
      <c r="QKL1" s="24"/>
      <c r="QKM1" s="24"/>
      <c r="QKN1" s="24"/>
      <c r="QKO1" s="24"/>
      <c r="QKP1" s="24"/>
      <c r="QKQ1" s="24"/>
      <c r="QKR1" s="24"/>
      <c r="QKS1" s="24"/>
      <c r="QKT1" s="24"/>
      <c r="QKU1" s="24"/>
      <c r="QKV1" s="24"/>
      <c r="QKW1" s="24"/>
      <c r="QKX1" s="24"/>
      <c r="QKY1" s="24"/>
      <c r="QKZ1" s="24"/>
      <c r="QLA1" s="24"/>
      <c r="QLB1" s="24"/>
      <c r="QLC1" s="24"/>
      <c r="QLD1" s="24"/>
      <c r="QLE1" s="24"/>
      <c r="QLF1" s="24"/>
      <c r="QLG1" s="24"/>
      <c r="QLH1" s="24"/>
      <c r="QLI1" s="24"/>
      <c r="QLJ1" s="24"/>
      <c r="QLK1" s="24"/>
      <c r="QLL1" s="24"/>
      <c r="QLM1" s="24"/>
      <c r="QLN1" s="24"/>
      <c r="QLO1" s="24"/>
      <c r="QLP1" s="24"/>
      <c r="QLQ1" s="24"/>
      <c r="QLR1" s="24"/>
      <c r="QLS1" s="24"/>
      <c r="QLT1" s="24"/>
      <c r="QLU1" s="24"/>
      <c r="QLV1" s="24"/>
      <c r="QLW1" s="24"/>
      <c r="QLX1" s="24"/>
      <c r="QLY1" s="24"/>
      <c r="QLZ1" s="24"/>
      <c r="QMA1" s="24"/>
      <c r="QMB1" s="24"/>
      <c r="QMC1" s="24"/>
      <c r="QMD1" s="24"/>
      <c r="QME1" s="24"/>
      <c r="QMF1" s="24"/>
      <c r="QMG1" s="24"/>
      <c r="QMH1" s="24"/>
      <c r="QMI1" s="24"/>
      <c r="QMJ1" s="24"/>
      <c r="QMK1" s="24"/>
      <c r="QML1" s="24"/>
      <c r="QMM1" s="24"/>
      <c r="QMN1" s="24"/>
      <c r="QMO1" s="24"/>
      <c r="QMP1" s="24"/>
      <c r="QMQ1" s="24"/>
      <c r="QMR1" s="24"/>
      <c r="QMS1" s="24"/>
      <c r="QMT1" s="24"/>
      <c r="QMU1" s="24"/>
      <c r="QMV1" s="24"/>
      <c r="QMW1" s="24"/>
      <c r="QMX1" s="24"/>
      <c r="QMY1" s="24"/>
      <c r="QMZ1" s="24"/>
      <c r="QNA1" s="24"/>
      <c r="QNB1" s="24"/>
      <c r="QNC1" s="24"/>
      <c r="QND1" s="24"/>
      <c r="QNE1" s="24"/>
      <c r="QNF1" s="24"/>
      <c r="QNG1" s="24"/>
      <c r="QNH1" s="24"/>
      <c r="QNI1" s="24"/>
      <c r="QNJ1" s="24"/>
      <c r="QNK1" s="24"/>
      <c r="QNL1" s="24"/>
      <c r="QNM1" s="24"/>
      <c r="QNN1" s="24"/>
      <c r="QNO1" s="24"/>
      <c r="QNP1" s="24"/>
      <c r="QNQ1" s="24"/>
      <c r="QNR1" s="24"/>
      <c r="QNS1" s="24"/>
      <c r="QNT1" s="24"/>
      <c r="QNU1" s="24"/>
      <c r="QNV1" s="24"/>
      <c r="QNW1" s="24"/>
      <c r="QNX1" s="24"/>
      <c r="QNY1" s="24"/>
      <c r="QNZ1" s="24"/>
      <c r="QOA1" s="24"/>
      <c r="QOB1" s="24"/>
      <c r="QOC1" s="24"/>
      <c r="QOD1" s="24"/>
      <c r="QOE1" s="24"/>
      <c r="QOF1" s="24"/>
      <c r="QOG1" s="24"/>
      <c r="QOH1" s="24"/>
      <c r="QOI1" s="24"/>
      <c r="QOJ1" s="24"/>
      <c r="QOK1" s="24"/>
      <c r="QOL1" s="24"/>
      <c r="QOM1" s="24"/>
      <c r="QON1" s="24"/>
      <c r="QOO1" s="24"/>
      <c r="QOP1" s="24"/>
      <c r="QOQ1" s="24"/>
      <c r="QOR1" s="24"/>
      <c r="QOS1" s="24"/>
      <c r="QOT1" s="24"/>
      <c r="QOU1" s="24"/>
      <c r="QOV1" s="24"/>
      <c r="QOW1" s="24"/>
      <c r="QOX1" s="24"/>
      <c r="QOY1" s="24"/>
      <c r="QOZ1" s="24"/>
      <c r="QPA1" s="24"/>
      <c r="QPB1" s="24"/>
      <c r="QPC1" s="24"/>
      <c r="QPD1" s="24"/>
      <c r="QPE1" s="24"/>
      <c r="QPF1" s="24"/>
      <c r="QPG1" s="24"/>
      <c r="QPH1" s="24"/>
      <c r="QPI1" s="24"/>
      <c r="QPJ1" s="24"/>
      <c r="QPK1" s="24"/>
      <c r="QPL1" s="24"/>
      <c r="QPM1" s="24"/>
      <c r="QPN1" s="24"/>
      <c r="QPO1" s="24"/>
      <c r="QPP1" s="24"/>
      <c r="QPQ1" s="24"/>
      <c r="QPR1" s="24"/>
      <c r="QPS1" s="24"/>
      <c r="QPT1" s="24"/>
      <c r="QPU1" s="24"/>
      <c r="QPV1" s="24"/>
      <c r="QPW1" s="24"/>
      <c r="QPX1" s="24"/>
      <c r="QPY1" s="24"/>
      <c r="QPZ1" s="24"/>
      <c r="QQA1" s="24"/>
      <c r="QQB1" s="24"/>
      <c r="QQC1" s="24"/>
      <c r="QQD1" s="24"/>
      <c r="QQE1" s="24"/>
      <c r="QQF1" s="24"/>
      <c r="QQG1" s="24"/>
      <c r="QQH1" s="24"/>
      <c r="QQI1" s="24"/>
      <c r="QQJ1" s="24"/>
      <c r="QQK1" s="24"/>
      <c r="QQL1" s="24"/>
      <c r="QQM1" s="24"/>
      <c r="QQN1" s="24"/>
      <c r="QQO1" s="24"/>
      <c r="QQP1" s="24"/>
      <c r="QQQ1" s="24"/>
      <c r="QQR1" s="24"/>
      <c r="QQS1" s="24"/>
      <c r="QQT1" s="24"/>
      <c r="QQU1" s="24"/>
      <c r="QQV1" s="24"/>
      <c r="QQW1" s="24"/>
      <c r="QQX1" s="24"/>
      <c r="QQY1" s="24"/>
      <c r="QQZ1" s="24"/>
      <c r="QRA1" s="24"/>
      <c r="QRB1" s="24"/>
      <c r="QRC1" s="24"/>
      <c r="QRD1" s="24"/>
      <c r="QRE1" s="24"/>
      <c r="QRF1" s="24"/>
      <c r="QRG1" s="24"/>
      <c r="QRH1" s="24"/>
      <c r="QRI1" s="24"/>
      <c r="QRJ1" s="24"/>
      <c r="QRK1" s="24"/>
      <c r="QRL1" s="24"/>
      <c r="QRM1" s="24"/>
      <c r="QRN1" s="24"/>
      <c r="QRO1" s="24"/>
      <c r="QRP1" s="24"/>
      <c r="QRQ1" s="24"/>
      <c r="QRR1" s="24"/>
      <c r="QRS1" s="24"/>
      <c r="QRT1" s="24"/>
      <c r="QRU1" s="24"/>
      <c r="QRV1" s="24"/>
      <c r="QRW1" s="24"/>
      <c r="QRX1" s="24"/>
      <c r="QRY1" s="24"/>
      <c r="QRZ1" s="24"/>
      <c r="QSA1" s="24"/>
      <c r="QSB1" s="24"/>
      <c r="QSC1" s="24"/>
      <c r="QSD1" s="24"/>
      <c r="QSE1" s="24"/>
      <c r="QSF1" s="24"/>
      <c r="QSG1" s="24"/>
      <c r="QSH1" s="24"/>
      <c r="QSI1" s="24"/>
      <c r="QSJ1" s="24"/>
      <c r="QSK1" s="24"/>
      <c r="QSL1" s="24"/>
      <c r="QSM1" s="24"/>
      <c r="QSN1" s="24"/>
      <c r="QSO1" s="24"/>
      <c r="QSP1" s="24"/>
      <c r="QSQ1" s="24"/>
      <c r="QSR1" s="24"/>
      <c r="QSS1" s="24"/>
      <c r="QST1" s="24"/>
      <c r="QSU1" s="24"/>
      <c r="QSV1" s="24"/>
      <c r="QSW1" s="24"/>
      <c r="QSX1" s="24"/>
      <c r="QSY1" s="24"/>
      <c r="QSZ1" s="24"/>
      <c r="QTA1" s="24"/>
      <c r="QTB1" s="24"/>
      <c r="QTC1" s="24"/>
      <c r="QTD1" s="24"/>
      <c r="QTE1" s="24"/>
      <c r="QTF1" s="24"/>
      <c r="QTG1" s="24"/>
      <c r="QTH1" s="24"/>
      <c r="QTI1" s="24"/>
      <c r="QTJ1" s="24"/>
      <c r="QTK1" s="24"/>
      <c r="QTL1" s="24"/>
      <c r="QTM1" s="24"/>
      <c r="QTN1" s="24"/>
      <c r="QTO1" s="24"/>
      <c r="QTP1" s="24"/>
      <c r="QTQ1" s="24"/>
      <c r="QTR1" s="24"/>
      <c r="QTS1" s="24"/>
      <c r="QTT1" s="24"/>
      <c r="QTU1" s="24"/>
      <c r="QTV1" s="24"/>
      <c r="QTW1" s="24"/>
      <c r="QTX1" s="24"/>
      <c r="QTY1" s="24"/>
      <c r="QTZ1" s="24"/>
      <c r="QUA1" s="24"/>
      <c r="QUB1" s="24"/>
      <c r="QUC1" s="24"/>
      <c r="QUD1" s="24"/>
      <c r="QUE1" s="24"/>
      <c r="QUF1" s="24"/>
      <c r="QUG1" s="24"/>
      <c r="QUH1" s="24"/>
      <c r="QUI1" s="24"/>
      <c r="QUJ1" s="24"/>
      <c r="QUK1" s="24"/>
      <c r="QUL1" s="24"/>
      <c r="QUM1" s="24"/>
      <c r="QUN1" s="24"/>
      <c r="QUO1" s="24"/>
      <c r="QUP1" s="24"/>
      <c r="QUQ1" s="24"/>
      <c r="QUR1" s="24"/>
      <c r="QUS1" s="24"/>
      <c r="QUT1" s="24"/>
      <c r="QUU1" s="24"/>
      <c r="QUV1" s="24"/>
      <c r="QUW1" s="24"/>
      <c r="QUX1" s="24"/>
      <c r="QUY1" s="24"/>
      <c r="QUZ1" s="24"/>
      <c r="QVA1" s="24"/>
      <c r="QVB1" s="24"/>
      <c r="QVC1" s="24"/>
      <c r="QVD1" s="24"/>
      <c r="QVE1" s="24"/>
      <c r="QVF1" s="24"/>
      <c r="QVG1" s="24"/>
      <c r="QVH1" s="24"/>
      <c r="QVI1" s="24"/>
      <c r="QVJ1" s="24"/>
      <c r="QVK1" s="24"/>
      <c r="QVL1" s="24"/>
      <c r="QVM1" s="24"/>
      <c r="QVN1" s="24"/>
      <c r="QVO1" s="24"/>
      <c r="QVP1" s="24"/>
      <c r="QVQ1" s="24"/>
      <c r="QVR1" s="24"/>
      <c r="QVS1" s="24"/>
      <c r="QVT1" s="24"/>
      <c r="QVU1" s="24"/>
      <c r="QVV1" s="24"/>
      <c r="QVW1" s="24"/>
      <c r="QVX1" s="24"/>
      <c r="QVY1" s="24"/>
      <c r="QVZ1" s="24"/>
      <c r="QWA1" s="24"/>
      <c r="QWB1" s="24"/>
      <c r="QWC1" s="24"/>
      <c r="QWD1" s="24"/>
      <c r="QWE1" s="24"/>
      <c r="QWF1" s="24"/>
      <c r="QWG1" s="24"/>
      <c r="QWH1" s="24"/>
      <c r="QWI1" s="24"/>
      <c r="QWJ1" s="24"/>
      <c r="QWK1" s="24"/>
      <c r="QWL1" s="24"/>
      <c r="QWM1" s="24"/>
      <c r="QWN1" s="24"/>
      <c r="QWO1" s="24"/>
      <c r="QWP1" s="24"/>
      <c r="QWQ1" s="24"/>
      <c r="QWR1" s="24"/>
      <c r="QWS1" s="24"/>
      <c r="QWT1" s="24"/>
      <c r="QWU1" s="24"/>
      <c r="QWV1" s="24"/>
      <c r="QWW1" s="24"/>
      <c r="QWX1" s="24"/>
      <c r="QWY1" s="24"/>
      <c r="QWZ1" s="24"/>
      <c r="QXA1" s="24"/>
      <c r="QXB1" s="24"/>
      <c r="QXC1" s="24"/>
      <c r="QXD1" s="24"/>
      <c r="QXE1" s="24"/>
      <c r="QXF1" s="24"/>
      <c r="QXG1" s="24"/>
      <c r="QXH1" s="24"/>
      <c r="QXI1" s="24"/>
      <c r="QXJ1" s="24"/>
      <c r="QXK1" s="24"/>
      <c r="QXL1" s="24"/>
      <c r="QXM1" s="24"/>
      <c r="QXN1" s="24"/>
      <c r="QXO1" s="24"/>
      <c r="QXP1" s="24"/>
      <c r="QXQ1" s="24"/>
      <c r="QXR1" s="24"/>
      <c r="QXS1" s="24"/>
      <c r="QXT1" s="24"/>
      <c r="QXU1" s="24"/>
      <c r="QXV1" s="24"/>
      <c r="QXW1" s="24"/>
      <c r="QXX1" s="24"/>
      <c r="QXY1" s="24"/>
      <c r="QXZ1" s="24"/>
      <c r="QYA1" s="24"/>
      <c r="QYB1" s="24"/>
      <c r="QYC1" s="24"/>
      <c r="QYD1" s="24"/>
      <c r="QYE1" s="24"/>
      <c r="QYF1" s="24"/>
      <c r="QYG1" s="24"/>
      <c r="QYH1" s="24"/>
      <c r="QYI1" s="24"/>
      <c r="QYJ1" s="24"/>
      <c r="QYK1" s="24"/>
      <c r="QYL1" s="24"/>
      <c r="QYM1" s="24"/>
      <c r="QYN1" s="24"/>
      <c r="QYO1" s="24"/>
      <c r="QYP1" s="24"/>
      <c r="QYQ1" s="24"/>
      <c r="QYR1" s="24"/>
      <c r="QYS1" s="24"/>
      <c r="QYT1" s="24"/>
      <c r="QYU1" s="24"/>
      <c r="QYV1" s="24"/>
      <c r="QYW1" s="24"/>
      <c r="QYX1" s="24"/>
      <c r="QYY1" s="24"/>
      <c r="QYZ1" s="24"/>
      <c r="QZA1" s="24"/>
      <c r="QZB1" s="24"/>
      <c r="QZC1" s="24"/>
      <c r="QZD1" s="24"/>
      <c r="QZE1" s="24"/>
      <c r="QZF1" s="24"/>
      <c r="QZG1" s="24"/>
      <c r="QZH1" s="24"/>
      <c r="QZI1" s="24"/>
      <c r="QZJ1" s="24"/>
      <c r="QZK1" s="24"/>
      <c r="QZL1" s="24"/>
      <c r="QZM1" s="24"/>
      <c r="QZN1" s="24"/>
      <c r="QZO1" s="24"/>
      <c r="QZP1" s="24"/>
      <c r="QZQ1" s="24"/>
      <c r="QZR1" s="24"/>
      <c r="QZS1" s="24"/>
      <c r="QZT1" s="24"/>
      <c r="QZU1" s="24"/>
      <c r="QZV1" s="24"/>
      <c r="QZW1" s="24"/>
      <c r="QZX1" s="24"/>
      <c r="QZY1" s="24"/>
      <c r="QZZ1" s="24"/>
      <c r="RAA1" s="24"/>
      <c r="RAB1" s="24"/>
      <c r="RAC1" s="24"/>
      <c r="RAD1" s="24"/>
      <c r="RAE1" s="24"/>
      <c r="RAF1" s="24"/>
      <c r="RAG1" s="24"/>
      <c r="RAH1" s="24"/>
      <c r="RAI1" s="24"/>
      <c r="RAJ1" s="24"/>
      <c r="RAK1" s="24"/>
      <c r="RAL1" s="24"/>
      <c r="RAM1" s="24"/>
      <c r="RAN1" s="24"/>
      <c r="RAO1" s="24"/>
      <c r="RAP1" s="24"/>
      <c r="RAQ1" s="24"/>
      <c r="RAR1" s="24"/>
      <c r="RAS1" s="24"/>
      <c r="RAT1" s="24"/>
      <c r="RAU1" s="24"/>
      <c r="RAV1" s="24"/>
      <c r="RAW1" s="24"/>
      <c r="RAX1" s="24"/>
      <c r="RAY1" s="24"/>
      <c r="RAZ1" s="24"/>
      <c r="RBA1" s="24"/>
      <c r="RBB1" s="24"/>
      <c r="RBC1" s="24"/>
      <c r="RBD1" s="24"/>
      <c r="RBE1" s="24"/>
      <c r="RBF1" s="24"/>
      <c r="RBG1" s="24"/>
      <c r="RBH1" s="24"/>
      <c r="RBI1" s="24"/>
      <c r="RBJ1" s="24"/>
      <c r="RBK1" s="24"/>
      <c r="RBL1" s="24"/>
      <c r="RBM1" s="24"/>
      <c r="RBN1" s="24"/>
      <c r="RBO1" s="24"/>
      <c r="RBP1" s="24"/>
      <c r="RBQ1" s="24"/>
      <c r="RBR1" s="24"/>
      <c r="RBS1" s="24"/>
      <c r="RBT1" s="24"/>
      <c r="RBU1" s="24"/>
      <c r="RBV1" s="24"/>
      <c r="RBW1" s="24"/>
      <c r="RBX1" s="24"/>
      <c r="RBY1" s="24"/>
      <c r="RBZ1" s="24"/>
      <c r="RCA1" s="24"/>
      <c r="RCB1" s="24"/>
      <c r="RCC1" s="24"/>
      <c r="RCD1" s="24"/>
      <c r="RCE1" s="24"/>
      <c r="RCF1" s="24"/>
      <c r="RCG1" s="24"/>
      <c r="RCH1" s="24"/>
      <c r="RCI1" s="24"/>
      <c r="RCJ1" s="24"/>
      <c r="RCK1" s="24"/>
      <c r="RCL1" s="24"/>
      <c r="RCM1" s="24"/>
      <c r="RCN1" s="24"/>
      <c r="RCO1" s="24"/>
      <c r="RCP1" s="24"/>
      <c r="RCQ1" s="24"/>
      <c r="RCR1" s="24"/>
      <c r="RCS1" s="24"/>
      <c r="RCT1" s="24"/>
      <c r="RCU1" s="24"/>
      <c r="RCV1" s="24"/>
      <c r="RCW1" s="24"/>
      <c r="RCX1" s="24"/>
      <c r="RCY1" s="24"/>
      <c r="RCZ1" s="24"/>
      <c r="RDA1" s="24"/>
      <c r="RDB1" s="24"/>
      <c r="RDC1" s="24"/>
      <c r="RDD1" s="24"/>
      <c r="RDE1" s="24"/>
      <c r="RDF1" s="24"/>
      <c r="RDG1" s="24"/>
      <c r="RDH1" s="24"/>
      <c r="RDI1" s="24"/>
      <c r="RDJ1" s="24"/>
      <c r="RDK1" s="24"/>
      <c r="RDL1" s="24"/>
      <c r="RDM1" s="24"/>
      <c r="RDN1" s="24"/>
      <c r="RDO1" s="24"/>
      <c r="RDP1" s="24"/>
      <c r="RDQ1" s="24"/>
      <c r="RDR1" s="24"/>
      <c r="RDS1" s="24"/>
      <c r="RDT1" s="24"/>
      <c r="RDU1" s="24"/>
      <c r="RDV1" s="24"/>
      <c r="RDW1" s="24"/>
      <c r="RDX1" s="24"/>
      <c r="RDY1" s="24"/>
      <c r="RDZ1" s="24"/>
      <c r="REA1" s="24"/>
      <c r="REB1" s="24"/>
      <c r="REC1" s="24"/>
      <c r="RED1" s="24"/>
      <c r="REE1" s="24"/>
      <c r="REF1" s="24"/>
      <c r="REG1" s="24"/>
      <c r="REH1" s="24"/>
      <c r="REI1" s="24"/>
      <c r="REJ1" s="24"/>
      <c r="REK1" s="24"/>
      <c r="REL1" s="24"/>
      <c r="REM1" s="24"/>
      <c r="REN1" s="24"/>
      <c r="REO1" s="24"/>
      <c r="REP1" s="24"/>
      <c r="REQ1" s="24"/>
      <c r="RER1" s="24"/>
      <c r="RES1" s="24"/>
      <c r="RET1" s="24"/>
      <c r="REU1" s="24"/>
      <c r="REV1" s="24"/>
      <c r="REW1" s="24"/>
      <c r="REX1" s="24"/>
      <c r="REY1" s="24"/>
      <c r="REZ1" s="24"/>
      <c r="RFA1" s="24"/>
      <c r="RFB1" s="24"/>
      <c r="RFC1" s="24"/>
      <c r="RFD1" s="24"/>
      <c r="RFE1" s="24"/>
      <c r="RFF1" s="24"/>
      <c r="RFG1" s="24"/>
      <c r="RFH1" s="24"/>
      <c r="RFI1" s="24"/>
      <c r="RFJ1" s="24"/>
      <c r="RFK1" s="24"/>
      <c r="RFL1" s="24"/>
      <c r="RFM1" s="24"/>
      <c r="RFN1" s="24"/>
      <c r="RFO1" s="24"/>
      <c r="RFP1" s="24"/>
      <c r="RFQ1" s="24"/>
      <c r="RFR1" s="24"/>
      <c r="RFS1" s="24"/>
      <c r="RFT1" s="24"/>
      <c r="RFU1" s="24"/>
      <c r="RFV1" s="24"/>
      <c r="RFW1" s="24"/>
      <c r="RFX1" s="24"/>
      <c r="RFY1" s="24"/>
      <c r="RFZ1" s="24"/>
      <c r="RGA1" s="24"/>
      <c r="RGB1" s="24"/>
      <c r="RGC1" s="24"/>
      <c r="RGD1" s="24"/>
      <c r="RGE1" s="24"/>
      <c r="RGF1" s="24"/>
      <c r="RGG1" s="24"/>
      <c r="RGH1" s="24"/>
      <c r="RGI1" s="24"/>
      <c r="RGJ1" s="24"/>
      <c r="RGK1" s="24"/>
      <c r="RGL1" s="24"/>
      <c r="RGM1" s="24"/>
      <c r="RGN1" s="24"/>
      <c r="RGO1" s="24"/>
      <c r="RGP1" s="24"/>
      <c r="RGQ1" s="24"/>
      <c r="RGR1" s="24"/>
      <c r="RGS1" s="24"/>
      <c r="RGT1" s="24"/>
      <c r="RGU1" s="24"/>
      <c r="RGV1" s="24"/>
      <c r="RGW1" s="24"/>
      <c r="RGX1" s="24"/>
      <c r="RGY1" s="24"/>
      <c r="RGZ1" s="24"/>
      <c r="RHA1" s="24"/>
      <c r="RHB1" s="24"/>
      <c r="RHC1" s="24"/>
      <c r="RHD1" s="24"/>
      <c r="RHE1" s="24"/>
      <c r="RHF1" s="24"/>
      <c r="RHG1" s="24"/>
      <c r="RHH1" s="24"/>
      <c r="RHI1" s="24"/>
      <c r="RHJ1" s="24"/>
      <c r="RHK1" s="24"/>
      <c r="RHL1" s="24"/>
      <c r="RHM1" s="24"/>
      <c r="RHN1" s="24"/>
      <c r="RHO1" s="24"/>
      <c r="RHP1" s="24"/>
      <c r="RHQ1" s="24"/>
      <c r="RHR1" s="24"/>
      <c r="RHS1" s="24"/>
      <c r="RHT1" s="24"/>
      <c r="RHU1" s="24"/>
      <c r="RHV1" s="24"/>
      <c r="RHW1" s="24"/>
      <c r="RHX1" s="24"/>
      <c r="RHY1" s="24"/>
      <c r="RHZ1" s="24"/>
      <c r="RIA1" s="24"/>
      <c r="RIB1" s="24"/>
      <c r="RIC1" s="24"/>
      <c r="RID1" s="24"/>
      <c r="RIE1" s="24"/>
      <c r="RIF1" s="24"/>
      <c r="RIG1" s="24"/>
      <c r="RIH1" s="24"/>
      <c r="RII1" s="24"/>
      <c r="RIJ1" s="24"/>
      <c r="RIK1" s="24"/>
      <c r="RIL1" s="24"/>
      <c r="RIM1" s="24"/>
      <c r="RIN1" s="24"/>
      <c r="RIO1" s="24"/>
      <c r="RIP1" s="24"/>
      <c r="RIQ1" s="24"/>
      <c r="RIR1" s="24"/>
      <c r="RIS1" s="24"/>
      <c r="RIT1" s="24"/>
      <c r="RIU1" s="24"/>
      <c r="RIV1" s="24"/>
      <c r="RIW1" s="24"/>
      <c r="RIX1" s="24"/>
      <c r="RIY1" s="24"/>
      <c r="RIZ1" s="24"/>
      <c r="RJA1" s="24"/>
      <c r="RJB1" s="24"/>
      <c r="RJC1" s="24"/>
      <c r="RJD1" s="24"/>
      <c r="RJE1" s="24"/>
      <c r="RJF1" s="24"/>
      <c r="RJG1" s="24"/>
      <c r="RJH1" s="24"/>
      <c r="RJI1" s="24"/>
      <c r="RJJ1" s="24"/>
      <c r="RJK1" s="24"/>
      <c r="RJL1" s="24"/>
      <c r="RJM1" s="24"/>
      <c r="RJN1" s="24"/>
      <c r="RJO1" s="24"/>
      <c r="RJP1" s="24"/>
      <c r="RJQ1" s="24"/>
      <c r="RJR1" s="24"/>
      <c r="RJS1" s="24"/>
      <c r="RJT1" s="24"/>
      <c r="RJU1" s="24"/>
      <c r="RJV1" s="24"/>
      <c r="RJW1" s="24"/>
      <c r="RJX1" s="24"/>
      <c r="RJY1" s="24"/>
      <c r="RJZ1" s="24"/>
      <c r="RKA1" s="24"/>
      <c r="RKB1" s="24"/>
      <c r="RKC1" s="24"/>
      <c r="RKD1" s="24"/>
      <c r="RKE1" s="24"/>
      <c r="RKF1" s="24"/>
      <c r="RKG1" s="24"/>
      <c r="RKH1" s="24"/>
      <c r="RKI1" s="24"/>
      <c r="RKJ1" s="24"/>
      <c r="RKK1" s="24"/>
      <c r="RKL1" s="24"/>
      <c r="RKM1" s="24"/>
      <c r="RKN1" s="24"/>
      <c r="RKO1" s="24"/>
      <c r="RKP1" s="24"/>
      <c r="RKQ1" s="24"/>
      <c r="RKR1" s="24"/>
      <c r="RKS1" s="24"/>
      <c r="RKT1" s="24"/>
      <c r="RKU1" s="24"/>
      <c r="RKV1" s="24"/>
      <c r="RKW1" s="24"/>
      <c r="RKX1" s="24"/>
      <c r="RKY1" s="24"/>
      <c r="RKZ1" s="24"/>
      <c r="RLA1" s="24"/>
      <c r="RLB1" s="24"/>
      <c r="RLC1" s="24"/>
      <c r="RLD1" s="24"/>
      <c r="RLE1" s="24"/>
      <c r="RLF1" s="24"/>
      <c r="RLG1" s="24"/>
      <c r="RLH1" s="24"/>
      <c r="RLI1" s="24"/>
      <c r="RLJ1" s="24"/>
      <c r="RLK1" s="24"/>
      <c r="RLL1" s="24"/>
      <c r="RLM1" s="24"/>
      <c r="RLN1" s="24"/>
      <c r="RLO1" s="24"/>
      <c r="RLP1" s="24"/>
      <c r="RLQ1" s="24"/>
      <c r="RLR1" s="24"/>
      <c r="RLS1" s="24"/>
      <c r="RLT1" s="24"/>
      <c r="RLU1" s="24"/>
      <c r="RLV1" s="24"/>
      <c r="RLW1" s="24"/>
      <c r="RLX1" s="24"/>
      <c r="RLY1" s="24"/>
      <c r="RLZ1" s="24"/>
      <c r="RMA1" s="24"/>
      <c r="RMB1" s="24"/>
      <c r="RMC1" s="24"/>
      <c r="RMD1" s="24"/>
      <c r="RME1" s="24"/>
      <c r="RMF1" s="24"/>
      <c r="RMG1" s="24"/>
      <c r="RMH1" s="24"/>
      <c r="RMI1" s="24"/>
      <c r="RMJ1" s="24"/>
      <c r="RMK1" s="24"/>
      <c r="RML1" s="24"/>
      <c r="RMM1" s="24"/>
      <c r="RMN1" s="24"/>
      <c r="RMO1" s="24"/>
      <c r="RMP1" s="24"/>
      <c r="RMQ1" s="24"/>
      <c r="RMR1" s="24"/>
      <c r="RMS1" s="24"/>
      <c r="RMT1" s="24"/>
      <c r="RMU1" s="24"/>
      <c r="RMV1" s="24"/>
      <c r="RMW1" s="24"/>
      <c r="RMX1" s="24"/>
      <c r="RMY1" s="24"/>
      <c r="RMZ1" s="24"/>
      <c r="RNA1" s="24"/>
      <c r="RNB1" s="24"/>
      <c r="RNC1" s="24"/>
      <c r="RND1" s="24"/>
      <c r="RNE1" s="24"/>
      <c r="RNF1" s="24"/>
      <c r="RNG1" s="24"/>
      <c r="RNH1" s="24"/>
      <c r="RNI1" s="24"/>
      <c r="RNJ1" s="24"/>
      <c r="RNK1" s="24"/>
      <c r="RNL1" s="24"/>
      <c r="RNM1" s="24"/>
      <c r="RNN1" s="24"/>
      <c r="RNO1" s="24"/>
      <c r="RNP1" s="24"/>
      <c r="RNQ1" s="24"/>
      <c r="RNR1" s="24"/>
      <c r="RNS1" s="24"/>
      <c r="RNT1" s="24"/>
      <c r="RNU1" s="24"/>
      <c r="RNV1" s="24"/>
      <c r="RNW1" s="24"/>
      <c r="RNX1" s="24"/>
      <c r="RNY1" s="24"/>
      <c r="RNZ1" s="24"/>
      <c r="ROA1" s="24"/>
      <c r="ROB1" s="24"/>
      <c r="ROC1" s="24"/>
      <c r="ROD1" s="24"/>
      <c r="ROE1" s="24"/>
      <c r="ROF1" s="24"/>
      <c r="ROG1" s="24"/>
      <c r="ROH1" s="24"/>
      <c r="ROI1" s="24"/>
      <c r="ROJ1" s="24"/>
      <c r="ROK1" s="24"/>
      <c r="ROL1" s="24"/>
      <c r="ROM1" s="24"/>
      <c r="RON1" s="24"/>
      <c r="ROO1" s="24"/>
      <c r="ROP1" s="24"/>
      <c r="ROQ1" s="24"/>
      <c r="ROR1" s="24"/>
      <c r="ROS1" s="24"/>
      <c r="ROT1" s="24"/>
      <c r="ROU1" s="24"/>
      <c r="ROV1" s="24"/>
      <c r="ROW1" s="24"/>
      <c r="ROX1" s="24"/>
      <c r="ROY1" s="24"/>
      <c r="ROZ1" s="24"/>
      <c r="RPA1" s="24"/>
      <c r="RPB1" s="24"/>
      <c r="RPC1" s="24"/>
      <c r="RPD1" s="24"/>
      <c r="RPE1" s="24"/>
      <c r="RPF1" s="24"/>
      <c r="RPG1" s="24"/>
      <c r="RPH1" s="24"/>
      <c r="RPI1" s="24"/>
      <c r="RPJ1" s="24"/>
      <c r="RPK1" s="24"/>
      <c r="RPL1" s="24"/>
      <c r="RPM1" s="24"/>
      <c r="RPN1" s="24"/>
      <c r="RPO1" s="24"/>
      <c r="RPP1" s="24"/>
      <c r="RPQ1" s="24"/>
      <c r="RPR1" s="24"/>
      <c r="RPS1" s="24"/>
      <c r="RPT1" s="24"/>
      <c r="RPU1" s="24"/>
      <c r="RPV1" s="24"/>
      <c r="RPW1" s="24"/>
      <c r="RPX1" s="24"/>
      <c r="RPY1" s="24"/>
      <c r="RPZ1" s="24"/>
      <c r="RQA1" s="24"/>
      <c r="RQB1" s="24"/>
      <c r="RQC1" s="24"/>
      <c r="RQD1" s="24"/>
      <c r="RQE1" s="24"/>
      <c r="RQF1" s="24"/>
      <c r="RQG1" s="24"/>
      <c r="RQH1" s="24"/>
      <c r="RQI1" s="24"/>
      <c r="RQJ1" s="24"/>
      <c r="RQK1" s="24"/>
      <c r="RQL1" s="24"/>
      <c r="RQM1" s="24"/>
      <c r="RQN1" s="24"/>
      <c r="RQO1" s="24"/>
      <c r="RQP1" s="24"/>
      <c r="RQQ1" s="24"/>
      <c r="RQR1" s="24"/>
      <c r="RQS1" s="24"/>
      <c r="RQT1" s="24"/>
      <c r="RQU1" s="24"/>
      <c r="RQV1" s="24"/>
      <c r="RQW1" s="24"/>
      <c r="RQX1" s="24"/>
      <c r="RQY1" s="24"/>
      <c r="RQZ1" s="24"/>
      <c r="RRA1" s="24"/>
      <c r="RRB1" s="24"/>
      <c r="RRC1" s="24"/>
      <c r="RRD1" s="24"/>
      <c r="RRE1" s="24"/>
      <c r="RRF1" s="24"/>
      <c r="RRG1" s="24"/>
      <c r="RRH1" s="24"/>
      <c r="RRI1" s="24"/>
      <c r="RRJ1" s="24"/>
      <c r="RRK1" s="24"/>
      <c r="RRL1" s="24"/>
      <c r="RRM1" s="24"/>
      <c r="RRN1" s="24"/>
      <c r="RRO1" s="24"/>
      <c r="RRP1" s="24"/>
      <c r="RRQ1" s="24"/>
      <c r="RRR1" s="24"/>
      <c r="RRS1" s="24"/>
      <c r="RRT1" s="24"/>
      <c r="RRU1" s="24"/>
      <c r="RRV1" s="24"/>
      <c r="RRW1" s="24"/>
      <c r="RRX1" s="24"/>
      <c r="RRY1" s="24"/>
      <c r="RRZ1" s="24"/>
      <c r="RSA1" s="24"/>
      <c r="RSB1" s="24"/>
      <c r="RSC1" s="24"/>
      <c r="RSD1" s="24"/>
      <c r="RSE1" s="24"/>
      <c r="RSF1" s="24"/>
      <c r="RSG1" s="24"/>
      <c r="RSH1" s="24"/>
      <c r="RSI1" s="24"/>
      <c r="RSJ1" s="24"/>
      <c r="RSK1" s="24"/>
      <c r="RSL1" s="24"/>
      <c r="RSM1" s="24"/>
      <c r="RSN1" s="24"/>
      <c r="RSO1" s="24"/>
      <c r="RSP1" s="24"/>
      <c r="RSQ1" s="24"/>
      <c r="RSR1" s="24"/>
      <c r="RSS1" s="24"/>
      <c r="RST1" s="24"/>
      <c r="RSU1" s="24"/>
      <c r="RSV1" s="24"/>
      <c r="RSW1" s="24"/>
      <c r="RSX1" s="24"/>
      <c r="RSY1" s="24"/>
      <c r="RSZ1" s="24"/>
      <c r="RTA1" s="24"/>
      <c r="RTB1" s="24"/>
      <c r="RTC1" s="24"/>
      <c r="RTD1" s="24"/>
      <c r="RTE1" s="24"/>
      <c r="RTF1" s="24"/>
      <c r="RTG1" s="24"/>
      <c r="RTH1" s="24"/>
      <c r="RTI1" s="24"/>
      <c r="RTJ1" s="24"/>
      <c r="RTK1" s="24"/>
      <c r="RTL1" s="24"/>
      <c r="RTM1" s="24"/>
      <c r="RTN1" s="24"/>
      <c r="RTO1" s="24"/>
      <c r="RTP1" s="24"/>
      <c r="RTQ1" s="24"/>
      <c r="RTR1" s="24"/>
      <c r="RTS1" s="24"/>
      <c r="RTT1" s="24"/>
      <c r="RTU1" s="24"/>
      <c r="RTV1" s="24"/>
      <c r="RTW1" s="24"/>
      <c r="RTX1" s="24"/>
      <c r="RTY1" s="24"/>
      <c r="RTZ1" s="24"/>
      <c r="RUA1" s="24"/>
      <c r="RUB1" s="24"/>
      <c r="RUC1" s="24"/>
      <c r="RUD1" s="24"/>
      <c r="RUE1" s="24"/>
      <c r="RUF1" s="24"/>
      <c r="RUG1" s="24"/>
      <c r="RUH1" s="24"/>
      <c r="RUI1" s="24"/>
      <c r="RUJ1" s="24"/>
      <c r="RUK1" s="24"/>
      <c r="RUL1" s="24"/>
      <c r="RUM1" s="24"/>
      <c r="RUN1" s="24"/>
      <c r="RUO1" s="24"/>
      <c r="RUP1" s="24"/>
      <c r="RUQ1" s="24"/>
      <c r="RUR1" s="24"/>
      <c r="RUS1" s="24"/>
      <c r="RUT1" s="24"/>
      <c r="RUU1" s="24"/>
      <c r="RUV1" s="24"/>
      <c r="RUW1" s="24"/>
      <c r="RUX1" s="24"/>
      <c r="RUY1" s="24"/>
      <c r="RUZ1" s="24"/>
      <c r="RVA1" s="24"/>
      <c r="RVB1" s="24"/>
      <c r="RVC1" s="24"/>
      <c r="RVD1" s="24"/>
      <c r="RVE1" s="24"/>
      <c r="RVF1" s="24"/>
      <c r="RVG1" s="24"/>
      <c r="RVH1" s="24"/>
      <c r="RVI1" s="24"/>
      <c r="RVJ1" s="24"/>
      <c r="RVK1" s="24"/>
      <c r="RVL1" s="24"/>
      <c r="RVM1" s="24"/>
      <c r="RVN1" s="24"/>
      <c r="RVO1" s="24"/>
      <c r="RVP1" s="24"/>
      <c r="RVQ1" s="24"/>
      <c r="RVR1" s="24"/>
      <c r="RVS1" s="24"/>
      <c r="RVT1" s="24"/>
      <c r="RVU1" s="24"/>
      <c r="RVV1" s="24"/>
      <c r="RVW1" s="24"/>
      <c r="RVX1" s="24"/>
      <c r="RVY1" s="24"/>
      <c r="RVZ1" s="24"/>
      <c r="RWA1" s="24"/>
      <c r="RWB1" s="24"/>
      <c r="RWC1" s="24"/>
      <c r="RWD1" s="24"/>
      <c r="RWE1" s="24"/>
      <c r="RWF1" s="24"/>
      <c r="RWG1" s="24"/>
      <c r="RWH1" s="24"/>
      <c r="RWI1" s="24"/>
      <c r="RWJ1" s="24"/>
      <c r="RWK1" s="24"/>
      <c r="RWL1" s="24"/>
      <c r="RWM1" s="24"/>
      <c r="RWN1" s="24"/>
      <c r="RWO1" s="24"/>
      <c r="RWP1" s="24"/>
      <c r="RWQ1" s="24"/>
      <c r="RWR1" s="24"/>
      <c r="RWS1" s="24"/>
      <c r="RWT1" s="24"/>
      <c r="RWU1" s="24"/>
      <c r="RWV1" s="24"/>
      <c r="RWW1" s="24"/>
      <c r="RWX1" s="24"/>
      <c r="RWY1" s="24"/>
      <c r="RWZ1" s="24"/>
      <c r="RXA1" s="24"/>
      <c r="RXB1" s="24"/>
      <c r="RXC1" s="24"/>
      <c r="RXD1" s="24"/>
      <c r="RXE1" s="24"/>
      <c r="RXF1" s="24"/>
      <c r="RXG1" s="24"/>
      <c r="RXH1" s="24"/>
      <c r="RXI1" s="24"/>
      <c r="RXJ1" s="24"/>
      <c r="RXK1" s="24"/>
      <c r="RXL1" s="24"/>
      <c r="RXM1" s="24"/>
      <c r="RXN1" s="24"/>
      <c r="RXO1" s="24"/>
      <c r="RXP1" s="24"/>
      <c r="RXQ1" s="24"/>
      <c r="RXR1" s="24"/>
      <c r="RXS1" s="24"/>
      <c r="RXT1" s="24"/>
      <c r="RXU1" s="24"/>
      <c r="RXV1" s="24"/>
      <c r="RXW1" s="24"/>
      <c r="RXX1" s="24"/>
      <c r="RXY1" s="24"/>
      <c r="RXZ1" s="24"/>
      <c r="RYA1" s="24"/>
      <c r="RYB1" s="24"/>
      <c r="RYC1" s="24"/>
      <c r="RYD1" s="24"/>
      <c r="RYE1" s="24"/>
      <c r="RYF1" s="24"/>
      <c r="RYG1" s="24"/>
      <c r="RYH1" s="24"/>
      <c r="RYI1" s="24"/>
      <c r="RYJ1" s="24"/>
      <c r="RYK1" s="24"/>
      <c r="RYL1" s="24"/>
      <c r="RYM1" s="24"/>
      <c r="RYN1" s="24"/>
      <c r="RYO1" s="24"/>
      <c r="RYP1" s="24"/>
      <c r="RYQ1" s="24"/>
      <c r="RYR1" s="24"/>
      <c r="RYS1" s="24"/>
      <c r="RYT1" s="24"/>
      <c r="RYU1" s="24"/>
      <c r="RYV1" s="24"/>
      <c r="RYW1" s="24"/>
      <c r="RYX1" s="24"/>
      <c r="RYY1" s="24"/>
      <c r="RYZ1" s="24"/>
      <c r="RZA1" s="24"/>
      <c r="RZB1" s="24"/>
      <c r="RZC1" s="24"/>
      <c r="RZD1" s="24"/>
      <c r="RZE1" s="24"/>
      <c r="RZF1" s="24"/>
      <c r="RZG1" s="24"/>
      <c r="RZH1" s="24"/>
      <c r="RZI1" s="24"/>
      <c r="RZJ1" s="24"/>
      <c r="RZK1" s="24"/>
      <c r="RZL1" s="24"/>
      <c r="RZM1" s="24"/>
      <c r="RZN1" s="24"/>
      <c r="RZO1" s="24"/>
      <c r="RZP1" s="24"/>
      <c r="RZQ1" s="24"/>
      <c r="RZR1" s="24"/>
      <c r="RZS1" s="24"/>
      <c r="RZT1" s="24"/>
      <c r="RZU1" s="24"/>
      <c r="RZV1" s="24"/>
      <c r="RZW1" s="24"/>
      <c r="RZX1" s="24"/>
      <c r="RZY1" s="24"/>
      <c r="RZZ1" s="24"/>
      <c r="SAA1" s="24"/>
      <c r="SAB1" s="24"/>
      <c r="SAC1" s="24"/>
      <c r="SAD1" s="24"/>
      <c r="SAE1" s="24"/>
      <c r="SAF1" s="24"/>
      <c r="SAG1" s="24"/>
      <c r="SAH1" s="24"/>
      <c r="SAI1" s="24"/>
      <c r="SAJ1" s="24"/>
      <c r="SAK1" s="24"/>
      <c r="SAL1" s="24"/>
      <c r="SAM1" s="24"/>
      <c r="SAN1" s="24"/>
      <c r="SAO1" s="24"/>
      <c r="SAP1" s="24"/>
      <c r="SAQ1" s="24"/>
      <c r="SAR1" s="24"/>
      <c r="SAS1" s="24"/>
      <c r="SAT1" s="24"/>
      <c r="SAU1" s="24"/>
      <c r="SAV1" s="24"/>
      <c r="SAW1" s="24"/>
      <c r="SAX1" s="24"/>
      <c r="SAY1" s="24"/>
      <c r="SAZ1" s="24"/>
      <c r="SBA1" s="24"/>
      <c r="SBB1" s="24"/>
      <c r="SBC1" s="24"/>
      <c r="SBD1" s="24"/>
      <c r="SBE1" s="24"/>
      <c r="SBF1" s="24"/>
      <c r="SBG1" s="24"/>
      <c r="SBH1" s="24"/>
      <c r="SBI1" s="24"/>
      <c r="SBJ1" s="24"/>
      <c r="SBK1" s="24"/>
      <c r="SBL1" s="24"/>
      <c r="SBM1" s="24"/>
      <c r="SBN1" s="24"/>
      <c r="SBO1" s="24"/>
      <c r="SBP1" s="24"/>
      <c r="SBQ1" s="24"/>
      <c r="SBR1" s="24"/>
      <c r="SBS1" s="24"/>
      <c r="SBT1" s="24"/>
      <c r="SBU1" s="24"/>
      <c r="SBV1" s="24"/>
      <c r="SBW1" s="24"/>
      <c r="SBX1" s="24"/>
      <c r="SBY1" s="24"/>
      <c r="SBZ1" s="24"/>
      <c r="SCA1" s="24"/>
      <c r="SCB1" s="24"/>
      <c r="SCC1" s="24"/>
      <c r="SCD1" s="24"/>
      <c r="SCE1" s="24"/>
      <c r="SCF1" s="24"/>
      <c r="SCG1" s="24"/>
      <c r="SCH1" s="24"/>
      <c r="SCI1" s="24"/>
      <c r="SCJ1" s="24"/>
      <c r="SCK1" s="24"/>
      <c r="SCL1" s="24"/>
      <c r="SCM1" s="24"/>
      <c r="SCN1" s="24"/>
      <c r="SCO1" s="24"/>
      <c r="SCP1" s="24"/>
      <c r="SCQ1" s="24"/>
      <c r="SCR1" s="24"/>
      <c r="SCS1" s="24"/>
      <c r="SCT1" s="24"/>
      <c r="SCU1" s="24"/>
      <c r="SCV1" s="24"/>
      <c r="SCW1" s="24"/>
      <c r="SCX1" s="24"/>
      <c r="SCY1" s="24"/>
      <c r="SCZ1" s="24"/>
      <c r="SDA1" s="24"/>
      <c r="SDB1" s="24"/>
      <c r="SDC1" s="24"/>
      <c r="SDD1" s="24"/>
      <c r="SDE1" s="24"/>
      <c r="SDF1" s="24"/>
      <c r="SDG1" s="24"/>
      <c r="SDH1" s="24"/>
      <c r="SDI1" s="24"/>
      <c r="SDJ1" s="24"/>
      <c r="SDK1" s="24"/>
      <c r="SDL1" s="24"/>
      <c r="SDM1" s="24"/>
      <c r="SDN1" s="24"/>
      <c r="SDO1" s="24"/>
      <c r="SDP1" s="24"/>
      <c r="SDQ1" s="24"/>
      <c r="SDR1" s="24"/>
      <c r="SDS1" s="24"/>
      <c r="SDT1" s="24"/>
      <c r="SDU1" s="24"/>
      <c r="SDV1" s="24"/>
      <c r="SDW1" s="24"/>
      <c r="SDX1" s="24"/>
      <c r="SDY1" s="24"/>
      <c r="SDZ1" s="24"/>
      <c r="SEA1" s="24"/>
      <c r="SEB1" s="24"/>
      <c r="SEC1" s="24"/>
      <c r="SED1" s="24"/>
      <c r="SEE1" s="24"/>
      <c r="SEF1" s="24"/>
      <c r="SEG1" s="24"/>
      <c r="SEH1" s="24"/>
      <c r="SEI1" s="24"/>
      <c r="SEJ1" s="24"/>
      <c r="SEK1" s="24"/>
      <c r="SEL1" s="24"/>
      <c r="SEM1" s="24"/>
      <c r="SEN1" s="24"/>
      <c r="SEO1" s="24"/>
      <c r="SEP1" s="24"/>
      <c r="SEQ1" s="24"/>
      <c r="SER1" s="24"/>
      <c r="SES1" s="24"/>
      <c r="SET1" s="24"/>
      <c r="SEU1" s="24"/>
      <c r="SEV1" s="24"/>
      <c r="SEW1" s="24"/>
      <c r="SEX1" s="24"/>
      <c r="SEY1" s="24"/>
      <c r="SEZ1" s="24"/>
      <c r="SFA1" s="24"/>
      <c r="SFB1" s="24"/>
      <c r="SFC1" s="24"/>
      <c r="SFD1" s="24"/>
      <c r="SFE1" s="24"/>
      <c r="SFF1" s="24"/>
      <c r="SFG1" s="24"/>
      <c r="SFH1" s="24"/>
      <c r="SFI1" s="24"/>
      <c r="SFJ1" s="24"/>
      <c r="SFK1" s="24"/>
      <c r="SFL1" s="24"/>
      <c r="SFM1" s="24"/>
      <c r="SFN1" s="24"/>
      <c r="SFO1" s="24"/>
      <c r="SFP1" s="24"/>
      <c r="SFQ1" s="24"/>
      <c r="SFR1" s="24"/>
      <c r="SFS1" s="24"/>
      <c r="SFT1" s="24"/>
      <c r="SFU1" s="24"/>
      <c r="SFV1" s="24"/>
      <c r="SFW1" s="24"/>
      <c r="SFX1" s="24"/>
      <c r="SFY1" s="24"/>
      <c r="SFZ1" s="24"/>
      <c r="SGA1" s="24"/>
      <c r="SGB1" s="24"/>
      <c r="SGC1" s="24"/>
      <c r="SGD1" s="24"/>
      <c r="SGE1" s="24"/>
      <c r="SGF1" s="24"/>
      <c r="SGG1" s="24"/>
      <c r="SGH1" s="24"/>
      <c r="SGI1" s="24"/>
      <c r="SGJ1" s="24"/>
      <c r="SGK1" s="24"/>
      <c r="SGL1" s="24"/>
      <c r="SGM1" s="24"/>
      <c r="SGN1" s="24"/>
      <c r="SGO1" s="24"/>
      <c r="SGP1" s="24"/>
      <c r="SGQ1" s="24"/>
      <c r="SGR1" s="24"/>
      <c r="SGS1" s="24"/>
      <c r="SGT1" s="24"/>
      <c r="SGU1" s="24"/>
      <c r="SGV1" s="24"/>
      <c r="SGW1" s="24"/>
      <c r="SGX1" s="24"/>
      <c r="SGY1" s="24"/>
      <c r="SGZ1" s="24"/>
      <c r="SHA1" s="24"/>
      <c r="SHB1" s="24"/>
      <c r="SHC1" s="24"/>
      <c r="SHD1" s="24"/>
      <c r="SHE1" s="24"/>
      <c r="SHF1" s="24"/>
      <c r="SHG1" s="24"/>
      <c r="SHH1" s="24"/>
      <c r="SHI1" s="24"/>
      <c r="SHJ1" s="24"/>
      <c r="SHK1" s="24"/>
      <c r="SHL1" s="24"/>
      <c r="SHM1" s="24"/>
      <c r="SHN1" s="24"/>
      <c r="SHO1" s="24"/>
      <c r="SHP1" s="24"/>
      <c r="SHQ1" s="24"/>
      <c r="SHR1" s="24"/>
      <c r="SHS1" s="24"/>
      <c r="SHT1" s="24"/>
      <c r="SHU1" s="24"/>
      <c r="SHV1" s="24"/>
      <c r="SHW1" s="24"/>
      <c r="SHX1" s="24"/>
      <c r="SHY1" s="24"/>
      <c r="SHZ1" s="24"/>
      <c r="SIA1" s="24"/>
      <c r="SIB1" s="24"/>
      <c r="SIC1" s="24"/>
      <c r="SID1" s="24"/>
      <c r="SIE1" s="24"/>
      <c r="SIF1" s="24"/>
      <c r="SIG1" s="24"/>
      <c r="SIH1" s="24"/>
      <c r="SII1" s="24"/>
      <c r="SIJ1" s="24"/>
      <c r="SIK1" s="24"/>
      <c r="SIL1" s="24"/>
      <c r="SIM1" s="24"/>
      <c r="SIN1" s="24"/>
      <c r="SIO1" s="24"/>
      <c r="SIP1" s="24"/>
      <c r="SIQ1" s="24"/>
      <c r="SIR1" s="24"/>
      <c r="SIS1" s="24"/>
      <c r="SIT1" s="24"/>
      <c r="SIU1" s="24"/>
      <c r="SIV1" s="24"/>
      <c r="SIW1" s="24"/>
      <c r="SIX1" s="24"/>
      <c r="SIY1" s="24"/>
      <c r="SIZ1" s="24"/>
      <c r="SJA1" s="24"/>
      <c r="SJB1" s="24"/>
      <c r="SJC1" s="24"/>
      <c r="SJD1" s="24"/>
      <c r="SJE1" s="24"/>
      <c r="SJF1" s="24"/>
      <c r="SJG1" s="24"/>
      <c r="SJH1" s="24"/>
      <c r="SJI1" s="24"/>
      <c r="SJJ1" s="24"/>
      <c r="SJK1" s="24"/>
      <c r="SJL1" s="24"/>
      <c r="SJM1" s="24"/>
      <c r="SJN1" s="24"/>
      <c r="SJO1" s="24"/>
      <c r="SJP1" s="24"/>
      <c r="SJQ1" s="24"/>
      <c r="SJR1" s="24"/>
      <c r="SJS1" s="24"/>
      <c r="SJT1" s="24"/>
      <c r="SJU1" s="24"/>
      <c r="SJV1" s="24"/>
      <c r="SJW1" s="24"/>
      <c r="SJX1" s="24"/>
      <c r="SJY1" s="24"/>
      <c r="SJZ1" s="24"/>
      <c r="SKA1" s="24"/>
      <c r="SKB1" s="24"/>
      <c r="SKC1" s="24"/>
      <c r="SKD1" s="24"/>
      <c r="SKE1" s="24"/>
      <c r="SKF1" s="24"/>
      <c r="SKG1" s="24"/>
      <c r="SKH1" s="24"/>
      <c r="SKI1" s="24"/>
      <c r="SKJ1" s="24"/>
      <c r="SKK1" s="24"/>
      <c r="SKL1" s="24"/>
      <c r="SKM1" s="24"/>
      <c r="SKN1" s="24"/>
      <c r="SKO1" s="24"/>
      <c r="SKP1" s="24"/>
      <c r="SKQ1" s="24"/>
      <c r="SKR1" s="24"/>
      <c r="SKS1" s="24"/>
      <c r="SKT1" s="24"/>
      <c r="SKU1" s="24"/>
      <c r="SKV1" s="24"/>
      <c r="SKW1" s="24"/>
      <c r="SKX1" s="24"/>
      <c r="SKY1" s="24"/>
      <c r="SKZ1" s="24"/>
      <c r="SLA1" s="24"/>
      <c r="SLB1" s="24"/>
      <c r="SLC1" s="24"/>
      <c r="SLD1" s="24"/>
      <c r="SLE1" s="24"/>
      <c r="SLF1" s="24"/>
      <c r="SLG1" s="24"/>
      <c r="SLH1" s="24"/>
      <c r="SLI1" s="24"/>
      <c r="SLJ1" s="24"/>
      <c r="SLK1" s="24"/>
      <c r="SLL1" s="24"/>
      <c r="SLM1" s="24"/>
      <c r="SLN1" s="24"/>
      <c r="SLO1" s="24"/>
      <c r="SLP1" s="24"/>
      <c r="SLQ1" s="24"/>
      <c r="SLR1" s="24"/>
      <c r="SLS1" s="24"/>
      <c r="SLT1" s="24"/>
      <c r="SLU1" s="24"/>
      <c r="SLV1" s="24"/>
      <c r="SLW1" s="24"/>
      <c r="SLX1" s="24"/>
      <c r="SLY1" s="24"/>
      <c r="SLZ1" s="24"/>
      <c r="SMA1" s="24"/>
      <c r="SMB1" s="24"/>
      <c r="SMC1" s="24"/>
      <c r="SMD1" s="24"/>
      <c r="SME1" s="24"/>
      <c r="SMF1" s="24"/>
      <c r="SMG1" s="24"/>
      <c r="SMH1" s="24"/>
      <c r="SMI1" s="24"/>
      <c r="SMJ1" s="24"/>
      <c r="SMK1" s="24"/>
      <c r="SML1" s="24"/>
      <c r="SMM1" s="24"/>
      <c r="SMN1" s="24"/>
      <c r="SMO1" s="24"/>
      <c r="SMP1" s="24"/>
      <c r="SMQ1" s="24"/>
      <c r="SMR1" s="24"/>
      <c r="SMS1" s="24"/>
      <c r="SMT1" s="24"/>
      <c r="SMU1" s="24"/>
      <c r="SMV1" s="24"/>
      <c r="SMW1" s="24"/>
      <c r="SMX1" s="24"/>
      <c r="SMY1" s="24"/>
      <c r="SMZ1" s="24"/>
      <c r="SNA1" s="24"/>
      <c r="SNB1" s="24"/>
      <c r="SNC1" s="24"/>
      <c r="SND1" s="24"/>
      <c r="SNE1" s="24"/>
      <c r="SNF1" s="24"/>
      <c r="SNG1" s="24"/>
      <c r="SNH1" s="24"/>
      <c r="SNI1" s="24"/>
      <c r="SNJ1" s="24"/>
      <c r="SNK1" s="24"/>
      <c r="SNL1" s="24"/>
      <c r="SNM1" s="24"/>
      <c r="SNN1" s="24"/>
      <c r="SNO1" s="24"/>
      <c r="SNP1" s="24"/>
      <c r="SNQ1" s="24"/>
      <c r="SNR1" s="24"/>
      <c r="SNS1" s="24"/>
      <c r="SNT1" s="24"/>
      <c r="SNU1" s="24"/>
      <c r="SNV1" s="24"/>
      <c r="SNW1" s="24"/>
      <c r="SNX1" s="24"/>
      <c r="SNY1" s="24"/>
      <c r="SNZ1" s="24"/>
      <c r="SOA1" s="24"/>
      <c r="SOB1" s="24"/>
      <c r="SOC1" s="24"/>
      <c r="SOD1" s="24"/>
      <c r="SOE1" s="24"/>
      <c r="SOF1" s="24"/>
      <c r="SOG1" s="24"/>
      <c r="SOH1" s="24"/>
      <c r="SOI1" s="24"/>
      <c r="SOJ1" s="24"/>
      <c r="SOK1" s="24"/>
      <c r="SOL1" s="24"/>
      <c r="SOM1" s="24"/>
      <c r="SON1" s="24"/>
      <c r="SOO1" s="24"/>
      <c r="SOP1" s="24"/>
      <c r="SOQ1" s="24"/>
      <c r="SOR1" s="24"/>
      <c r="SOS1" s="24"/>
      <c r="SOT1" s="24"/>
      <c r="SOU1" s="24"/>
      <c r="SOV1" s="24"/>
      <c r="SOW1" s="24"/>
      <c r="SOX1" s="24"/>
      <c r="SOY1" s="24"/>
      <c r="SOZ1" s="24"/>
      <c r="SPA1" s="24"/>
      <c r="SPB1" s="24"/>
      <c r="SPC1" s="24"/>
      <c r="SPD1" s="24"/>
      <c r="SPE1" s="24"/>
      <c r="SPF1" s="24"/>
      <c r="SPG1" s="24"/>
      <c r="SPH1" s="24"/>
      <c r="SPI1" s="24"/>
      <c r="SPJ1" s="24"/>
      <c r="SPK1" s="24"/>
      <c r="SPL1" s="24"/>
      <c r="SPM1" s="24"/>
      <c r="SPN1" s="24"/>
      <c r="SPO1" s="24"/>
      <c r="SPP1" s="24"/>
      <c r="SPQ1" s="24"/>
      <c r="SPR1" s="24"/>
      <c r="SPS1" s="24"/>
      <c r="SPT1" s="24"/>
      <c r="SPU1" s="24"/>
      <c r="SPV1" s="24"/>
      <c r="SPW1" s="24"/>
      <c r="SPX1" s="24"/>
      <c r="SPY1" s="24"/>
      <c r="SPZ1" s="24"/>
      <c r="SQA1" s="24"/>
      <c r="SQB1" s="24"/>
      <c r="SQC1" s="24"/>
      <c r="SQD1" s="24"/>
      <c r="SQE1" s="24"/>
      <c r="SQF1" s="24"/>
      <c r="SQG1" s="24"/>
      <c r="SQH1" s="24"/>
      <c r="SQI1" s="24"/>
      <c r="SQJ1" s="24"/>
      <c r="SQK1" s="24"/>
      <c r="SQL1" s="24"/>
      <c r="SQM1" s="24"/>
      <c r="SQN1" s="24"/>
      <c r="SQO1" s="24"/>
      <c r="SQP1" s="24"/>
      <c r="SQQ1" s="24"/>
      <c r="SQR1" s="24"/>
      <c r="SQS1" s="24"/>
      <c r="SQT1" s="24"/>
      <c r="SQU1" s="24"/>
      <c r="SQV1" s="24"/>
      <c r="SQW1" s="24"/>
      <c r="SQX1" s="24"/>
      <c r="SQY1" s="24"/>
      <c r="SQZ1" s="24"/>
      <c r="SRA1" s="24"/>
      <c r="SRB1" s="24"/>
      <c r="SRC1" s="24"/>
      <c r="SRD1" s="24"/>
      <c r="SRE1" s="24"/>
      <c r="SRF1" s="24"/>
      <c r="SRG1" s="24"/>
      <c r="SRH1" s="24"/>
      <c r="SRI1" s="24"/>
      <c r="SRJ1" s="24"/>
      <c r="SRK1" s="24"/>
      <c r="SRL1" s="24"/>
      <c r="SRM1" s="24"/>
      <c r="SRN1" s="24"/>
      <c r="SRO1" s="24"/>
      <c r="SRP1" s="24"/>
      <c r="SRQ1" s="24"/>
      <c r="SRR1" s="24"/>
      <c r="SRS1" s="24"/>
      <c r="SRT1" s="24"/>
      <c r="SRU1" s="24"/>
      <c r="SRV1" s="24"/>
      <c r="SRW1" s="24"/>
      <c r="SRX1" s="24"/>
      <c r="SRY1" s="24"/>
      <c r="SRZ1" s="24"/>
      <c r="SSA1" s="24"/>
      <c r="SSB1" s="24"/>
      <c r="SSC1" s="24"/>
      <c r="SSD1" s="24"/>
      <c r="SSE1" s="24"/>
      <c r="SSF1" s="24"/>
      <c r="SSG1" s="24"/>
      <c r="SSH1" s="24"/>
      <c r="SSI1" s="24"/>
      <c r="SSJ1" s="24"/>
      <c r="SSK1" s="24"/>
      <c r="SSL1" s="24"/>
      <c r="SSM1" s="24"/>
      <c r="SSN1" s="24"/>
      <c r="SSO1" s="24"/>
      <c r="SSP1" s="24"/>
      <c r="SSQ1" s="24"/>
      <c r="SSR1" s="24"/>
      <c r="SSS1" s="24"/>
      <c r="SST1" s="24"/>
      <c r="SSU1" s="24"/>
      <c r="SSV1" s="24"/>
      <c r="SSW1" s="24"/>
      <c r="SSX1" s="24"/>
      <c r="SSY1" s="24"/>
      <c r="SSZ1" s="24"/>
      <c r="STA1" s="24"/>
      <c r="STB1" s="24"/>
      <c r="STC1" s="24"/>
      <c r="STD1" s="24"/>
      <c r="STE1" s="24"/>
      <c r="STF1" s="24"/>
      <c r="STG1" s="24"/>
      <c r="STH1" s="24"/>
      <c r="STI1" s="24"/>
      <c r="STJ1" s="24"/>
      <c r="STK1" s="24"/>
      <c r="STL1" s="24"/>
      <c r="STM1" s="24"/>
      <c r="STN1" s="24"/>
      <c r="STO1" s="24"/>
      <c r="STP1" s="24"/>
      <c r="STQ1" s="24"/>
      <c r="STR1" s="24"/>
      <c r="STS1" s="24"/>
      <c r="STT1" s="24"/>
      <c r="STU1" s="24"/>
      <c r="STV1" s="24"/>
      <c r="STW1" s="24"/>
      <c r="STX1" s="24"/>
      <c r="STY1" s="24"/>
      <c r="STZ1" s="24"/>
      <c r="SUA1" s="24"/>
      <c r="SUB1" s="24"/>
      <c r="SUC1" s="24"/>
      <c r="SUD1" s="24"/>
      <c r="SUE1" s="24"/>
      <c r="SUF1" s="24"/>
      <c r="SUG1" s="24"/>
      <c r="SUH1" s="24"/>
      <c r="SUI1" s="24"/>
      <c r="SUJ1" s="24"/>
      <c r="SUK1" s="24"/>
      <c r="SUL1" s="24"/>
      <c r="SUM1" s="24"/>
      <c r="SUN1" s="24"/>
      <c r="SUO1" s="24"/>
      <c r="SUP1" s="24"/>
      <c r="SUQ1" s="24"/>
      <c r="SUR1" s="24"/>
      <c r="SUS1" s="24"/>
      <c r="SUT1" s="24"/>
      <c r="SUU1" s="24"/>
      <c r="SUV1" s="24"/>
      <c r="SUW1" s="24"/>
      <c r="SUX1" s="24"/>
      <c r="SUY1" s="24"/>
      <c r="SUZ1" s="24"/>
      <c r="SVA1" s="24"/>
      <c r="SVB1" s="24"/>
      <c r="SVC1" s="24"/>
      <c r="SVD1" s="24"/>
      <c r="SVE1" s="24"/>
      <c r="SVF1" s="24"/>
      <c r="SVG1" s="24"/>
      <c r="SVH1" s="24"/>
      <c r="SVI1" s="24"/>
      <c r="SVJ1" s="24"/>
      <c r="SVK1" s="24"/>
      <c r="SVL1" s="24"/>
      <c r="SVM1" s="24"/>
      <c r="SVN1" s="24"/>
      <c r="SVO1" s="24"/>
      <c r="SVP1" s="24"/>
      <c r="SVQ1" s="24"/>
      <c r="SVR1" s="24"/>
      <c r="SVS1" s="24"/>
      <c r="SVT1" s="24"/>
      <c r="SVU1" s="24"/>
      <c r="SVV1" s="24"/>
      <c r="SVW1" s="24"/>
      <c r="SVX1" s="24"/>
      <c r="SVY1" s="24"/>
      <c r="SVZ1" s="24"/>
      <c r="SWA1" s="24"/>
      <c r="SWB1" s="24"/>
      <c r="SWC1" s="24"/>
      <c r="SWD1" s="24"/>
      <c r="SWE1" s="24"/>
      <c r="SWF1" s="24"/>
      <c r="SWG1" s="24"/>
      <c r="SWH1" s="24"/>
      <c r="SWI1" s="24"/>
      <c r="SWJ1" s="24"/>
      <c r="SWK1" s="24"/>
      <c r="SWL1" s="24"/>
      <c r="SWM1" s="24"/>
      <c r="SWN1" s="24"/>
      <c r="SWO1" s="24"/>
      <c r="SWP1" s="24"/>
      <c r="SWQ1" s="24"/>
      <c r="SWR1" s="24"/>
      <c r="SWS1" s="24"/>
      <c r="SWT1" s="24"/>
      <c r="SWU1" s="24"/>
      <c r="SWV1" s="24"/>
      <c r="SWW1" s="24"/>
      <c r="SWX1" s="24"/>
      <c r="SWY1" s="24"/>
      <c r="SWZ1" s="24"/>
      <c r="SXA1" s="24"/>
      <c r="SXB1" s="24"/>
      <c r="SXC1" s="24"/>
      <c r="SXD1" s="24"/>
      <c r="SXE1" s="24"/>
      <c r="SXF1" s="24"/>
      <c r="SXG1" s="24"/>
      <c r="SXH1" s="24"/>
      <c r="SXI1" s="24"/>
      <c r="SXJ1" s="24"/>
      <c r="SXK1" s="24"/>
      <c r="SXL1" s="24"/>
      <c r="SXM1" s="24"/>
      <c r="SXN1" s="24"/>
      <c r="SXO1" s="24"/>
      <c r="SXP1" s="24"/>
      <c r="SXQ1" s="24"/>
      <c r="SXR1" s="24"/>
      <c r="SXS1" s="24"/>
      <c r="SXT1" s="24"/>
      <c r="SXU1" s="24"/>
      <c r="SXV1" s="24"/>
      <c r="SXW1" s="24"/>
      <c r="SXX1" s="24"/>
      <c r="SXY1" s="24"/>
      <c r="SXZ1" s="24"/>
      <c r="SYA1" s="24"/>
      <c r="SYB1" s="24"/>
      <c r="SYC1" s="24"/>
      <c r="SYD1" s="24"/>
      <c r="SYE1" s="24"/>
      <c r="SYF1" s="24"/>
      <c r="SYG1" s="24"/>
      <c r="SYH1" s="24"/>
      <c r="SYI1" s="24"/>
      <c r="SYJ1" s="24"/>
      <c r="SYK1" s="24"/>
      <c r="SYL1" s="24"/>
      <c r="SYM1" s="24"/>
      <c r="SYN1" s="24"/>
      <c r="SYO1" s="24"/>
      <c r="SYP1" s="24"/>
      <c r="SYQ1" s="24"/>
      <c r="SYR1" s="24"/>
      <c r="SYS1" s="24"/>
      <c r="SYT1" s="24"/>
      <c r="SYU1" s="24"/>
      <c r="SYV1" s="24"/>
      <c r="SYW1" s="24"/>
      <c r="SYX1" s="24"/>
      <c r="SYY1" s="24"/>
      <c r="SYZ1" s="24"/>
      <c r="SZA1" s="24"/>
      <c r="SZB1" s="24"/>
      <c r="SZC1" s="24"/>
      <c r="SZD1" s="24"/>
      <c r="SZE1" s="24"/>
      <c r="SZF1" s="24"/>
      <c r="SZG1" s="24"/>
      <c r="SZH1" s="24"/>
      <c r="SZI1" s="24"/>
      <c r="SZJ1" s="24"/>
      <c r="SZK1" s="24"/>
      <c r="SZL1" s="24"/>
      <c r="SZM1" s="24"/>
      <c r="SZN1" s="24"/>
      <c r="SZO1" s="24"/>
      <c r="SZP1" s="24"/>
      <c r="SZQ1" s="24"/>
      <c r="SZR1" s="24"/>
      <c r="SZS1" s="24"/>
      <c r="SZT1" s="24"/>
      <c r="SZU1" s="24"/>
      <c r="SZV1" s="24"/>
      <c r="SZW1" s="24"/>
      <c r="SZX1" s="24"/>
      <c r="SZY1" s="24"/>
      <c r="SZZ1" s="24"/>
      <c r="TAA1" s="24"/>
      <c r="TAB1" s="24"/>
      <c r="TAC1" s="24"/>
      <c r="TAD1" s="24"/>
      <c r="TAE1" s="24"/>
      <c r="TAF1" s="24"/>
      <c r="TAG1" s="24"/>
      <c r="TAH1" s="24"/>
      <c r="TAI1" s="24"/>
      <c r="TAJ1" s="24"/>
      <c r="TAK1" s="24"/>
      <c r="TAL1" s="24"/>
      <c r="TAM1" s="24"/>
      <c r="TAN1" s="24"/>
      <c r="TAO1" s="24"/>
      <c r="TAP1" s="24"/>
      <c r="TAQ1" s="24"/>
      <c r="TAR1" s="24"/>
      <c r="TAS1" s="24"/>
      <c r="TAT1" s="24"/>
      <c r="TAU1" s="24"/>
      <c r="TAV1" s="24"/>
      <c r="TAW1" s="24"/>
      <c r="TAX1" s="24"/>
      <c r="TAY1" s="24"/>
      <c r="TAZ1" s="24"/>
      <c r="TBA1" s="24"/>
      <c r="TBB1" s="24"/>
      <c r="TBC1" s="24"/>
      <c r="TBD1" s="24"/>
      <c r="TBE1" s="24"/>
      <c r="TBF1" s="24"/>
      <c r="TBG1" s="24"/>
      <c r="TBH1" s="24"/>
      <c r="TBI1" s="24"/>
      <c r="TBJ1" s="24"/>
      <c r="TBK1" s="24"/>
      <c r="TBL1" s="24"/>
      <c r="TBM1" s="24"/>
      <c r="TBN1" s="24"/>
      <c r="TBO1" s="24"/>
      <c r="TBP1" s="24"/>
      <c r="TBQ1" s="24"/>
      <c r="TBR1" s="24"/>
      <c r="TBS1" s="24"/>
      <c r="TBT1" s="24"/>
      <c r="TBU1" s="24"/>
      <c r="TBV1" s="24"/>
      <c r="TBW1" s="24"/>
      <c r="TBX1" s="24"/>
      <c r="TBY1" s="24"/>
      <c r="TBZ1" s="24"/>
      <c r="TCA1" s="24"/>
      <c r="TCB1" s="24"/>
      <c r="TCC1" s="24"/>
      <c r="TCD1" s="24"/>
      <c r="TCE1" s="24"/>
      <c r="TCF1" s="24"/>
      <c r="TCG1" s="24"/>
      <c r="TCH1" s="24"/>
      <c r="TCI1" s="24"/>
      <c r="TCJ1" s="24"/>
      <c r="TCK1" s="24"/>
      <c r="TCL1" s="24"/>
      <c r="TCM1" s="24"/>
      <c r="TCN1" s="24"/>
      <c r="TCO1" s="24"/>
      <c r="TCP1" s="24"/>
      <c r="TCQ1" s="24"/>
      <c r="TCR1" s="24"/>
      <c r="TCS1" s="24"/>
      <c r="TCT1" s="24"/>
      <c r="TCU1" s="24"/>
      <c r="TCV1" s="24"/>
      <c r="TCW1" s="24"/>
      <c r="TCX1" s="24"/>
      <c r="TCY1" s="24"/>
      <c r="TCZ1" s="24"/>
      <c r="TDA1" s="24"/>
      <c r="TDB1" s="24"/>
      <c r="TDC1" s="24"/>
      <c r="TDD1" s="24"/>
      <c r="TDE1" s="24"/>
      <c r="TDF1" s="24"/>
      <c r="TDG1" s="24"/>
      <c r="TDH1" s="24"/>
      <c r="TDI1" s="24"/>
      <c r="TDJ1" s="24"/>
      <c r="TDK1" s="24"/>
      <c r="TDL1" s="24"/>
      <c r="TDM1" s="24"/>
      <c r="TDN1" s="24"/>
      <c r="TDO1" s="24"/>
      <c r="TDP1" s="24"/>
      <c r="TDQ1" s="24"/>
      <c r="TDR1" s="24"/>
      <c r="TDS1" s="24"/>
      <c r="TDT1" s="24"/>
      <c r="TDU1" s="24"/>
      <c r="TDV1" s="24"/>
      <c r="TDW1" s="24"/>
      <c r="TDX1" s="24"/>
      <c r="TDY1" s="24"/>
      <c r="TDZ1" s="24"/>
      <c r="TEA1" s="24"/>
      <c r="TEB1" s="24"/>
      <c r="TEC1" s="24"/>
      <c r="TED1" s="24"/>
      <c r="TEE1" s="24"/>
      <c r="TEF1" s="24"/>
      <c r="TEG1" s="24"/>
      <c r="TEH1" s="24"/>
      <c r="TEI1" s="24"/>
      <c r="TEJ1" s="24"/>
      <c r="TEK1" s="24"/>
      <c r="TEL1" s="24"/>
      <c r="TEM1" s="24"/>
      <c r="TEN1" s="24"/>
      <c r="TEO1" s="24"/>
      <c r="TEP1" s="24"/>
      <c r="TEQ1" s="24"/>
      <c r="TER1" s="24"/>
      <c r="TES1" s="24"/>
      <c r="TET1" s="24"/>
      <c r="TEU1" s="24"/>
      <c r="TEV1" s="24"/>
      <c r="TEW1" s="24"/>
      <c r="TEX1" s="24"/>
      <c r="TEY1" s="24"/>
      <c r="TEZ1" s="24"/>
      <c r="TFA1" s="24"/>
      <c r="TFB1" s="24"/>
      <c r="TFC1" s="24"/>
      <c r="TFD1" s="24"/>
      <c r="TFE1" s="24"/>
      <c r="TFF1" s="24"/>
      <c r="TFG1" s="24"/>
      <c r="TFH1" s="24"/>
      <c r="TFI1" s="24"/>
      <c r="TFJ1" s="24"/>
      <c r="TFK1" s="24"/>
      <c r="TFL1" s="24"/>
      <c r="TFM1" s="24"/>
      <c r="TFN1" s="24"/>
      <c r="TFO1" s="24"/>
      <c r="TFP1" s="24"/>
      <c r="TFQ1" s="24"/>
      <c r="TFR1" s="24"/>
      <c r="TFS1" s="24"/>
      <c r="TFT1" s="24"/>
      <c r="TFU1" s="24"/>
      <c r="TFV1" s="24"/>
      <c r="TFW1" s="24"/>
      <c r="TFX1" s="24"/>
      <c r="TFY1" s="24"/>
      <c r="TFZ1" s="24"/>
      <c r="TGA1" s="24"/>
      <c r="TGB1" s="24"/>
      <c r="TGC1" s="24"/>
      <c r="TGD1" s="24"/>
      <c r="TGE1" s="24"/>
      <c r="TGF1" s="24"/>
      <c r="TGG1" s="24"/>
      <c r="TGH1" s="24"/>
      <c r="TGI1" s="24"/>
      <c r="TGJ1" s="24"/>
      <c r="TGK1" s="24"/>
      <c r="TGL1" s="24"/>
      <c r="TGM1" s="24"/>
      <c r="TGN1" s="24"/>
      <c r="TGO1" s="24"/>
      <c r="TGP1" s="24"/>
      <c r="TGQ1" s="24"/>
      <c r="TGR1" s="24"/>
      <c r="TGS1" s="24"/>
      <c r="TGT1" s="24"/>
      <c r="TGU1" s="24"/>
      <c r="TGV1" s="24"/>
      <c r="TGW1" s="24"/>
      <c r="TGX1" s="24"/>
      <c r="TGY1" s="24"/>
      <c r="TGZ1" s="24"/>
      <c r="THA1" s="24"/>
      <c r="THB1" s="24"/>
      <c r="THC1" s="24"/>
      <c r="THD1" s="24"/>
      <c r="THE1" s="24"/>
      <c r="THF1" s="24"/>
      <c r="THG1" s="24"/>
      <c r="THH1" s="24"/>
      <c r="THI1" s="24"/>
      <c r="THJ1" s="24"/>
      <c r="THK1" s="24"/>
      <c r="THL1" s="24"/>
      <c r="THM1" s="24"/>
      <c r="THN1" s="24"/>
      <c r="THO1" s="24"/>
      <c r="THP1" s="24"/>
      <c r="THQ1" s="24"/>
      <c r="THR1" s="24"/>
      <c r="THS1" s="24"/>
      <c r="THT1" s="24"/>
      <c r="THU1" s="24"/>
      <c r="THV1" s="24"/>
      <c r="THW1" s="24"/>
      <c r="THX1" s="24"/>
      <c r="THY1" s="24"/>
      <c r="THZ1" s="24"/>
      <c r="TIA1" s="24"/>
      <c r="TIB1" s="24"/>
      <c r="TIC1" s="24"/>
      <c r="TID1" s="24"/>
      <c r="TIE1" s="24"/>
      <c r="TIF1" s="24"/>
      <c r="TIG1" s="24"/>
      <c r="TIH1" s="24"/>
      <c r="TII1" s="24"/>
      <c r="TIJ1" s="24"/>
      <c r="TIK1" s="24"/>
      <c r="TIL1" s="24"/>
      <c r="TIM1" s="24"/>
      <c r="TIN1" s="24"/>
      <c r="TIO1" s="24"/>
      <c r="TIP1" s="24"/>
      <c r="TIQ1" s="24"/>
      <c r="TIR1" s="24"/>
      <c r="TIS1" s="24"/>
      <c r="TIT1" s="24"/>
      <c r="TIU1" s="24"/>
      <c r="TIV1" s="24"/>
      <c r="TIW1" s="24"/>
      <c r="TIX1" s="24"/>
      <c r="TIY1" s="24"/>
      <c r="TIZ1" s="24"/>
      <c r="TJA1" s="24"/>
      <c r="TJB1" s="24"/>
      <c r="TJC1" s="24"/>
      <c r="TJD1" s="24"/>
      <c r="TJE1" s="24"/>
      <c r="TJF1" s="24"/>
      <c r="TJG1" s="24"/>
      <c r="TJH1" s="24"/>
      <c r="TJI1" s="24"/>
      <c r="TJJ1" s="24"/>
      <c r="TJK1" s="24"/>
      <c r="TJL1" s="24"/>
      <c r="TJM1" s="24"/>
      <c r="TJN1" s="24"/>
      <c r="TJO1" s="24"/>
      <c r="TJP1" s="24"/>
      <c r="TJQ1" s="24"/>
      <c r="TJR1" s="24"/>
      <c r="TJS1" s="24"/>
      <c r="TJT1" s="24"/>
      <c r="TJU1" s="24"/>
      <c r="TJV1" s="24"/>
      <c r="TJW1" s="24"/>
      <c r="TJX1" s="24"/>
      <c r="TJY1" s="24"/>
      <c r="TJZ1" s="24"/>
      <c r="TKA1" s="24"/>
      <c r="TKB1" s="24"/>
      <c r="TKC1" s="24"/>
      <c r="TKD1" s="24"/>
      <c r="TKE1" s="24"/>
      <c r="TKF1" s="24"/>
      <c r="TKG1" s="24"/>
      <c r="TKH1" s="24"/>
      <c r="TKI1" s="24"/>
      <c r="TKJ1" s="24"/>
      <c r="TKK1" s="24"/>
      <c r="TKL1" s="24"/>
      <c r="TKM1" s="24"/>
      <c r="TKN1" s="24"/>
      <c r="TKO1" s="24"/>
      <c r="TKP1" s="24"/>
      <c r="TKQ1" s="24"/>
      <c r="TKR1" s="24"/>
      <c r="TKS1" s="24"/>
      <c r="TKT1" s="24"/>
      <c r="TKU1" s="24"/>
      <c r="TKV1" s="24"/>
      <c r="TKW1" s="24"/>
      <c r="TKX1" s="24"/>
      <c r="TKY1" s="24"/>
      <c r="TKZ1" s="24"/>
      <c r="TLA1" s="24"/>
      <c r="TLB1" s="24"/>
      <c r="TLC1" s="24"/>
      <c r="TLD1" s="24"/>
      <c r="TLE1" s="24"/>
      <c r="TLF1" s="24"/>
      <c r="TLG1" s="24"/>
      <c r="TLH1" s="24"/>
      <c r="TLI1" s="24"/>
      <c r="TLJ1" s="24"/>
      <c r="TLK1" s="24"/>
      <c r="TLL1" s="24"/>
      <c r="TLM1" s="24"/>
      <c r="TLN1" s="24"/>
      <c r="TLO1" s="24"/>
      <c r="TLP1" s="24"/>
      <c r="TLQ1" s="24"/>
      <c r="TLR1" s="24"/>
      <c r="TLS1" s="24"/>
      <c r="TLT1" s="24"/>
      <c r="TLU1" s="24"/>
      <c r="TLV1" s="24"/>
      <c r="TLW1" s="24"/>
      <c r="TLX1" s="24"/>
      <c r="TLY1" s="24"/>
      <c r="TLZ1" s="24"/>
      <c r="TMA1" s="24"/>
      <c r="TMB1" s="24"/>
      <c r="TMC1" s="24"/>
      <c r="TMD1" s="24"/>
      <c r="TME1" s="24"/>
      <c r="TMF1" s="24"/>
      <c r="TMG1" s="24"/>
      <c r="TMH1" s="24"/>
      <c r="TMI1" s="24"/>
      <c r="TMJ1" s="24"/>
      <c r="TMK1" s="24"/>
      <c r="TML1" s="24"/>
      <c r="TMM1" s="24"/>
      <c r="TMN1" s="24"/>
      <c r="TMO1" s="24"/>
      <c r="TMP1" s="24"/>
      <c r="TMQ1" s="24"/>
      <c r="TMR1" s="24"/>
      <c r="TMS1" s="24"/>
      <c r="TMT1" s="24"/>
      <c r="TMU1" s="24"/>
      <c r="TMV1" s="24"/>
      <c r="TMW1" s="24"/>
      <c r="TMX1" s="24"/>
      <c r="TMY1" s="24"/>
      <c r="TMZ1" s="24"/>
      <c r="TNA1" s="24"/>
      <c r="TNB1" s="24"/>
      <c r="TNC1" s="24"/>
      <c r="TND1" s="24"/>
      <c r="TNE1" s="24"/>
      <c r="TNF1" s="24"/>
      <c r="TNG1" s="24"/>
      <c r="TNH1" s="24"/>
      <c r="TNI1" s="24"/>
      <c r="TNJ1" s="24"/>
      <c r="TNK1" s="24"/>
      <c r="TNL1" s="24"/>
      <c r="TNM1" s="24"/>
      <c r="TNN1" s="24"/>
      <c r="TNO1" s="24"/>
      <c r="TNP1" s="24"/>
      <c r="TNQ1" s="24"/>
      <c r="TNR1" s="24"/>
      <c r="TNS1" s="24"/>
      <c r="TNT1" s="24"/>
      <c r="TNU1" s="24"/>
      <c r="TNV1" s="24"/>
      <c r="TNW1" s="24"/>
      <c r="TNX1" s="24"/>
      <c r="TNY1" s="24"/>
      <c r="TNZ1" s="24"/>
      <c r="TOA1" s="24"/>
      <c r="TOB1" s="24"/>
      <c r="TOC1" s="24"/>
      <c r="TOD1" s="24"/>
      <c r="TOE1" s="24"/>
      <c r="TOF1" s="24"/>
      <c r="TOG1" s="24"/>
      <c r="TOH1" s="24"/>
      <c r="TOI1" s="24"/>
      <c r="TOJ1" s="24"/>
      <c r="TOK1" s="24"/>
      <c r="TOL1" s="24"/>
      <c r="TOM1" s="24"/>
      <c r="TON1" s="24"/>
      <c r="TOO1" s="24"/>
      <c r="TOP1" s="24"/>
      <c r="TOQ1" s="24"/>
      <c r="TOR1" s="24"/>
      <c r="TOS1" s="24"/>
      <c r="TOT1" s="24"/>
      <c r="TOU1" s="24"/>
      <c r="TOV1" s="24"/>
      <c r="TOW1" s="24"/>
      <c r="TOX1" s="24"/>
      <c r="TOY1" s="24"/>
      <c r="TOZ1" s="24"/>
      <c r="TPA1" s="24"/>
      <c r="TPB1" s="24"/>
      <c r="TPC1" s="24"/>
      <c r="TPD1" s="24"/>
      <c r="TPE1" s="24"/>
      <c r="TPF1" s="24"/>
      <c r="TPG1" s="24"/>
      <c r="TPH1" s="24"/>
      <c r="TPI1" s="24"/>
      <c r="TPJ1" s="24"/>
      <c r="TPK1" s="24"/>
      <c r="TPL1" s="24"/>
      <c r="TPM1" s="24"/>
      <c r="TPN1" s="24"/>
      <c r="TPO1" s="24"/>
      <c r="TPP1" s="24"/>
      <c r="TPQ1" s="24"/>
      <c r="TPR1" s="24"/>
      <c r="TPS1" s="24"/>
      <c r="TPT1" s="24"/>
      <c r="TPU1" s="24"/>
      <c r="TPV1" s="24"/>
      <c r="TPW1" s="24"/>
      <c r="TPX1" s="24"/>
      <c r="TPY1" s="24"/>
      <c r="TPZ1" s="24"/>
      <c r="TQA1" s="24"/>
      <c r="TQB1" s="24"/>
      <c r="TQC1" s="24"/>
      <c r="TQD1" s="24"/>
      <c r="TQE1" s="24"/>
      <c r="TQF1" s="24"/>
      <c r="TQG1" s="24"/>
      <c r="TQH1" s="24"/>
      <c r="TQI1" s="24"/>
      <c r="TQJ1" s="24"/>
      <c r="TQK1" s="24"/>
      <c r="TQL1" s="24"/>
      <c r="TQM1" s="24"/>
      <c r="TQN1" s="24"/>
      <c r="TQO1" s="24"/>
      <c r="TQP1" s="24"/>
      <c r="TQQ1" s="24"/>
      <c r="TQR1" s="24"/>
      <c r="TQS1" s="24"/>
      <c r="TQT1" s="24"/>
      <c r="TQU1" s="24"/>
      <c r="TQV1" s="24"/>
      <c r="TQW1" s="24"/>
      <c r="TQX1" s="24"/>
      <c r="TQY1" s="24"/>
      <c r="TQZ1" s="24"/>
      <c r="TRA1" s="24"/>
      <c r="TRB1" s="24"/>
      <c r="TRC1" s="24"/>
      <c r="TRD1" s="24"/>
      <c r="TRE1" s="24"/>
      <c r="TRF1" s="24"/>
      <c r="TRG1" s="24"/>
      <c r="TRH1" s="24"/>
      <c r="TRI1" s="24"/>
      <c r="TRJ1" s="24"/>
      <c r="TRK1" s="24"/>
      <c r="TRL1" s="24"/>
      <c r="TRM1" s="24"/>
      <c r="TRN1" s="24"/>
      <c r="TRO1" s="24"/>
      <c r="TRP1" s="24"/>
      <c r="TRQ1" s="24"/>
      <c r="TRR1" s="24"/>
      <c r="TRS1" s="24"/>
      <c r="TRT1" s="24"/>
      <c r="TRU1" s="24"/>
      <c r="TRV1" s="24"/>
      <c r="TRW1" s="24"/>
      <c r="TRX1" s="24"/>
      <c r="TRY1" s="24"/>
      <c r="TRZ1" s="24"/>
      <c r="TSA1" s="24"/>
      <c r="TSB1" s="24"/>
      <c r="TSC1" s="24"/>
      <c r="TSD1" s="24"/>
      <c r="TSE1" s="24"/>
      <c r="TSF1" s="24"/>
      <c r="TSG1" s="24"/>
      <c r="TSH1" s="24"/>
      <c r="TSI1" s="24"/>
      <c r="TSJ1" s="24"/>
      <c r="TSK1" s="24"/>
      <c r="TSL1" s="24"/>
      <c r="TSM1" s="24"/>
      <c r="TSN1" s="24"/>
      <c r="TSO1" s="24"/>
      <c r="TSP1" s="24"/>
      <c r="TSQ1" s="24"/>
      <c r="TSR1" s="24"/>
      <c r="TSS1" s="24"/>
      <c r="TST1" s="24"/>
      <c r="TSU1" s="24"/>
      <c r="TSV1" s="24"/>
      <c r="TSW1" s="24"/>
      <c r="TSX1" s="24"/>
      <c r="TSY1" s="24"/>
      <c r="TSZ1" s="24"/>
      <c r="TTA1" s="24"/>
      <c r="TTB1" s="24"/>
      <c r="TTC1" s="24"/>
      <c r="TTD1" s="24"/>
      <c r="TTE1" s="24"/>
      <c r="TTF1" s="24"/>
      <c r="TTG1" s="24"/>
      <c r="TTH1" s="24"/>
      <c r="TTI1" s="24"/>
      <c r="TTJ1" s="24"/>
      <c r="TTK1" s="24"/>
      <c r="TTL1" s="24"/>
      <c r="TTM1" s="24"/>
      <c r="TTN1" s="24"/>
      <c r="TTO1" s="24"/>
      <c r="TTP1" s="24"/>
      <c r="TTQ1" s="24"/>
      <c r="TTR1" s="24"/>
      <c r="TTS1" s="24"/>
      <c r="TTT1" s="24"/>
      <c r="TTU1" s="24"/>
      <c r="TTV1" s="24"/>
      <c r="TTW1" s="24"/>
      <c r="TTX1" s="24"/>
      <c r="TTY1" s="24"/>
      <c r="TTZ1" s="24"/>
      <c r="TUA1" s="24"/>
      <c r="TUB1" s="24"/>
      <c r="TUC1" s="24"/>
      <c r="TUD1" s="24"/>
      <c r="TUE1" s="24"/>
      <c r="TUF1" s="24"/>
      <c r="TUG1" s="24"/>
      <c r="TUH1" s="24"/>
      <c r="TUI1" s="24"/>
      <c r="TUJ1" s="24"/>
      <c r="TUK1" s="24"/>
      <c r="TUL1" s="24"/>
      <c r="TUM1" s="24"/>
      <c r="TUN1" s="24"/>
      <c r="TUO1" s="24"/>
      <c r="TUP1" s="24"/>
      <c r="TUQ1" s="24"/>
      <c r="TUR1" s="24"/>
      <c r="TUS1" s="24"/>
      <c r="TUT1" s="24"/>
      <c r="TUU1" s="24"/>
      <c r="TUV1" s="24"/>
      <c r="TUW1" s="24"/>
      <c r="TUX1" s="24"/>
      <c r="TUY1" s="24"/>
      <c r="TUZ1" s="24"/>
      <c r="TVA1" s="24"/>
      <c r="TVB1" s="24"/>
      <c r="TVC1" s="24"/>
      <c r="TVD1" s="24"/>
      <c r="TVE1" s="24"/>
      <c r="TVF1" s="24"/>
      <c r="TVG1" s="24"/>
      <c r="TVH1" s="24"/>
      <c r="TVI1" s="24"/>
      <c r="TVJ1" s="24"/>
      <c r="TVK1" s="24"/>
      <c r="TVL1" s="24"/>
      <c r="TVM1" s="24"/>
      <c r="TVN1" s="24"/>
      <c r="TVO1" s="24"/>
      <c r="TVP1" s="24"/>
      <c r="TVQ1" s="24"/>
      <c r="TVR1" s="24"/>
      <c r="TVS1" s="24"/>
      <c r="TVT1" s="24"/>
      <c r="TVU1" s="24"/>
      <c r="TVV1" s="24"/>
      <c r="TVW1" s="24"/>
      <c r="TVX1" s="24"/>
      <c r="TVY1" s="24"/>
      <c r="TVZ1" s="24"/>
      <c r="TWA1" s="24"/>
      <c r="TWB1" s="24"/>
      <c r="TWC1" s="24"/>
      <c r="TWD1" s="24"/>
      <c r="TWE1" s="24"/>
      <c r="TWF1" s="24"/>
      <c r="TWG1" s="24"/>
      <c r="TWH1" s="24"/>
      <c r="TWI1" s="24"/>
      <c r="TWJ1" s="24"/>
      <c r="TWK1" s="24"/>
      <c r="TWL1" s="24"/>
      <c r="TWM1" s="24"/>
      <c r="TWN1" s="24"/>
      <c r="TWO1" s="24"/>
      <c r="TWP1" s="24"/>
      <c r="TWQ1" s="24"/>
      <c r="TWR1" s="24"/>
      <c r="TWS1" s="24"/>
      <c r="TWT1" s="24"/>
      <c r="TWU1" s="24"/>
      <c r="TWV1" s="24"/>
      <c r="TWW1" s="24"/>
      <c r="TWX1" s="24"/>
      <c r="TWY1" s="24"/>
      <c r="TWZ1" s="24"/>
      <c r="TXA1" s="24"/>
      <c r="TXB1" s="24"/>
      <c r="TXC1" s="24"/>
      <c r="TXD1" s="24"/>
      <c r="TXE1" s="24"/>
      <c r="TXF1" s="24"/>
      <c r="TXG1" s="24"/>
      <c r="TXH1" s="24"/>
      <c r="TXI1" s="24"/>
      <c r="TXJ1" s="24"/>
      <c r="TXK1" s="24"/>
      <c r="TXL1" s="24"/>
      <c r="TXM1" s="24"/>
      <c r="TXN1" s="24"/>
      <c r="TXO1" s="24"/>
      <c r="TXP1" s="24"/>
      <c r="TXQ1" s="24"/>
      <c r="TXR1" s="24"/>
      <c r="TXS1" s="24"/>
      <c r="TXT1" s="24"/>
      <c r="TXU1" s="24"/>
      <c r="TXV1" s="24"/>
      <c r="TXW1" s="24"/>
      <c r="TXX1" s="24"/>
      <c r="TXY1" s="24"/>
      <c r="TXZ1" s="24"/>
      <c r="TYA1" s="24"/>
      <c r="TYB1" s="24"/>
      <c r="TYC1" s="24"/>
      <c r="TYD1" s="24"/>
      <c r="TYE1" s="24"/>
      <c r="TYF1" s="24"/>
      <c r="TYG1" s="24"/>
      <c r="TYH1" s="24"/>
      <c r="TYI1" s="24"/>
      <c r="TYJ1" s="24"/>
      <c r="TYK1" s="24"/>
      <c r="TYL1" s="24"/>
      <c r="TYM1" s="24"/>
      <c r="TYN1" s="24"/>
      <c r="TYO1" s="24"/>
      <c r="TYP1" s="24"/>
      <c r="TYQ1" s="24"/>
      <c r="TYR1" s="24"/>
      <c r="TYS1" s="24"/>
      <c r="TYT1" s="24"/>
      <c r="TYU1" s="24"/>
      <c r="TYV1" s="24"/>
      <c r="TYW1" s="24"/>
      <c r="TYX1" s="24"/>
      <c r="TYY1" s="24"/>
      <c r="TYZ1" s="24"/>
      <c r="TZA1" s="24"/>
      <c r="TZB1" s="24"/>
      <c r="TZC1" s="24"/>
      <c r="TZD1" s="24"/>
      <c r="TZE1" s="24"/>
      <c r="TZF1" s="24"/>
      <c r="TZG1" s="24"/>
      <c r="TZH1" s="24"/>
      <c r="TZI1" s="24"/>
      <c r="TZJ1" s="24"/>
      <c r="TZK1" s="24"/>
      <c r="TZL1" s="24"/>
      <c r="TZM1" s="24"/>
      <c r="TZN1" s="24"/>
      <c r="TZO1" s="24"/>
      <c r="TZP1" s="24"/>
      <c r="TZQ1" s="24"/>
      <c r="TZR1" s="24"/>
      <c r="TZS1" s="24"/>
      <c r="TZT1" s="24"/>
      <c r="TZU1" s="24"/>
      <c r="TZV1" s="24"/>
      <c r="TZW1" s="24"/>
      <c r="TZX1" s="24"/>
      <c r="TZY1" s="24"/>
      <c r="TZZ1" s="24"/>
      <c r="UAA1" s="24"/>
      <c r="UAB1" s="24"/>
      <c r="UAC1" s="24"/>
      <c r="UAD1" s="24"/>
      <c r="UAE1" s="24"/>
      <c r="UAF1" s="24"/>
      <c r="UAG1" s="24"/>
      <c r="UAH1" s="24"/>
      <c r="UAI1" s="24"/>
      <c r="UAJ1" s="24"/>
      <c r="UAK1" s="24"/>
      <c r="UAL1" s="24"/>
      <c r="UAM1" s="24"/>
      <c r="UAN1" s="24"/>
      <c r="UAO1" s="24"/>
      <c r="UAP1" s="24"/>
      <c r="UAQ1" s="24"/>
      <c r="UAR1" s="24"/>
      <c r="UAS1" s="24"/>
      <c r="UAT1" s="24"/>
      <c r="UAU1" s="24"/>
      <c r="UAV1" s="24"/>
      <c r="UAW1" s="24"/>
      <c r="UAX1" s="24"/>
      <c r="UAY1" s="24"/>
      <c r="UAZ1" s="24"/>
      <c r="UBA1" s="24"/>
      <c r="UBB1" s="24"/>
      <c r="UBC1" s="24"/>
      <c r="UBD1" s="24"/>
      <c r="UBE1" s="24"/>
      <c r="UBF1" s="24"/>
      <c r="UBG1" s="24"/>
      <c r="UBH1" s="24"/>
      <c r="UBI1" s="24"/>
      <c r="UBJ1" s="24"/>
      <c r="UBK1" s="24"/>
      <c r="UBL1" s="24"/>
      <c r="UBM1" s="24"/>
      <c r="UBN1" s="24"/>
      <c r="UBO1" s="24"/>
      <c r="UBP1" s="24"/>
      <c r="UBQ1" s="24"/>
      <c r="UBR1" s="24"/>
      <c r="UBS1" s="24"/>
      <c r="UBT1" s="24"/>
      <c r="UBU1" s="24"/>
      <c r="UBV1" s="24"/>
      <c r="UBW1" s="24"/>
      <c r="UBX1" s="24"/>
      <c r="UBY1" s="24"/>
      <c r="UBZ1" s="24"/>
      <c r="UCA1" s="24"/>
      <c r="UCB1" s="24"/>
      <c r="UCC1" s="24"/>
      <c r="UCD1" s="24"/>
      <c r="UCE1" s="24"/>
      <c r="UCF1" s="24"/>
      <c r="UCG1" s="24"/>
      <c r="UCH1" s="24"/>
      <c r="UCI1" s="24"/>
      <c r="UCJ1" s="24"/>
      <c r="UCK1" s="24"/>
      <c r="UCL1" s="24"/>
      <c r="UCM1" s="24"/>
      <c r="UCN1" s="24"/>
      <c r="UCO1" s="24"/>
      <c r="UCP1" s="24"/>
      <c r="UCQ1" s="24"/>
      <c r="UCR1" s="24"/>
      <c r="UCS1" s="24"/>
      <c r="UCT1" s="24"/>
      <c r="UCU1" s="24"/>
      <c r="UCV1" s="24"/>
      <c r="UCW1" s="24"/>
      <c r="UCX1" s="24"/>
      <c r="UCY1" s="24"/>
      <c r="UCZ1" s="24"/>
      <c r="UDA1" s="24"/>
      <c r="UDB1" s="24"/>
      <c r="UDC1" s="24"/>
      <c r="UDD1" s="24"/>
      <c r="UDE1" s="24"/>
      <c r="UDF1" s="24"/>
      <c r="UDG1" s="24"/>
      <c r="UDH1" s="24"/>
      <c r="UDI1" s="24"/>
      <c r="UDJ1" s="24"/>
      <c r="UDK1" s="24"/>
      <c r="UDL1" s="24"/>
      <c r="UDM1" s="24"/>
      <c r="UDN1" s="24"/>
      <c r="UDO1" s="24"/>
      <c r="UDP1" s="24"/>
      <c r="UDQ1" s="24"/>
      <c r="UDR1" s="24"/>
      <c r="UDS1" s="24"/>
      <c r="UDT1" s="24"/>
      <c r="UDU1" s="24"/>
      <c r="UDV1" s="24"/>
      <c r="UDW1" s="24"/>
      <c r="UDX1" s="24"/>
      <c r="UDY1" s="24"/>
      <c r="UDZ1" s="24"/>
      <c r="UEA1" s="24"/>
      <c r="UEB1" s="24"/>
      <c r="UEC1" s="24"/>
      <c r="UED1" s="24"/>
      <c r="UEE1" s="24"/>
      <c r="UEF1" s="24"/>
      <c r="UEG1" s="24"/>
      <c r="UEH1" s="24"/>
      <c r="UEI1" s="24"/>
      <c r="UEJ1" s="24"/>
      <c r="UEK1" s="24"/>
      <c r="UEL1" s="24"/>
      <c r="UEM1" s="24"/>
      <c r="UEN1" s="24"/>
      <c r="UEO1" s="24"/>
      <c r="UEP1" s="24"/>
      <c r="UEQ1" s="24"/>
      <c r="UER1" s="24"/>
      <c r="UES1" s="24"/>
      <c r="UET1" s="24"/>
      <c r="UEU1" s="24"/>
      <c r="UEV1" s="24"/>
      <c r="UEW1" s="24"/>
      <c r="UEX1" s="24"/>
      <c r="UEY1" s="24"/>
      <c r="UEZ1" s="24"/>
      <c r="UFA1" s="24"/>
      <c r="UFB1" s="24"/>
      <c r="UFC1" s="24"/>
      <c r="UFD1" s="24"/>
      <c r="UFE1" s="24"/>
      <c r="UFF1" s="24"/>
      <c r="UFG1" s="24"/>
      <c r="UFH1" s="24"/>
      <c r="UFI1" s="24"/>
      <c r="UFJ1" s="24"/>
      <c r="UFK1" s="24"/>
      <c r="UFL1" s="24"/>
      <c r="UFM1" s="24"/>
      <c r="UFN1" s="24"/>
      <c r="UFO1" s="24"/>
      <c r="UFP1" s="24"/>
      <c r="UFQ1" s="24"/>
      <c r="UFR1" s="24"/>
      <c r="UFS1" s="24"/>
      <c r="UFT1" s="24"/>
      <c r="UFU1" s="24"/>
      <c r="UFV1" s="24"/>
      <c r="UFW1" s="24"/>
      <c r="UFX1" s="24"/>
      <c r="UFY1" s="24"/>
      <c r="UFZ1" s="24"/>
      <c r="UGA1" s="24"/>
      <c r="UGB1" s="24"/>
      <c r="UGC1" s="24"/>
      <c r="UGD1" s="24"/>
      <c r="UGE1" s="24"/>
      <c r="UGF1" s="24"/>
      <c r="UGG1" s="24"/>
      <c r="UGH1" s="24"/>
      <c r="UGI1" s="24"/>
      <c r="UGJ1" s="24"/>
      <c r="UGK1" s="24"/>
      <c r="UGL1" s="24"/>
      <c r="UGM1" s="24"/>
      <c r="UGN1" s="24"/>
      <c r="UGO1" s="24"/>
      <c r="UGP1" s="24"/>
      <c r="UGQ1" s="24"/>
      <c r="UGR1" s="24"/>
      <c r="UGS1" s="24"/>
      <c r="UGT1" s="24"/>
      <c r="UGU1" s="24"/>
      <c r="UGV1" s="24"/>
      <c r="UGW1" s="24"/>
      <c r="UGX1" s="24"/>
      <c r="UGY1" s="24"/>
      <c r="UGZ1" s="24"/>
      <c r="UHA1" s="24"/>
      <c r="UHB1" s="24"/>
      <c r="UHC1" s="24"/>
      <c r="UHD1" s="24"/>
      <c r="UHE1" s="24"/>
      <c r="UHF1" s="24"/>
      <c r="UHG1" s="24"/>
      <c r="UHH1" s="24"/>
      <c r="UHI1" s="24"/>
      <c r="UHJ1" s="24"/>
      <c r="UHK1" s="24"/>
      <c r="UHL1" s="24"/>
      <c r="UHM1" s="24"/>
      <c r="UHN1" s="24"/>
      <c r="UHO1" s="24"/>
      <c r="UHP1" s="24"/>
      <c r="UHQ1" s="24"/>
      <c r="UHR1" s="24"/>
      <c r="UHS1" s="24"/>
      <c r="UHT1" s="24"/>
      <c r="UHU1" s="24"/>
      <c r="UHV1" s="24"/>
      <c r="UHW1" s="24"/>
      <c r="UHX1" s="24"/>
      <c r="UHY1" s="24"/>
      <c r="UHZ1" s="24"/>
      <c r="UIA1" s="24"/>
      <c r="UIB1" s="24"/>
      <c r="UIC1" s="24"/>
      <c r="UID1" s="24"/>
      <c r="UIE1" s="24"/>
      <c r="UIF1" s="24"/>
      <c r="UIG1" s="24"/>
      <c r="UIH1" s="24"/>
      <c r="UII1" s="24"/>
      <c r="UIJ1" s="24"/>
      <c r="UIK1" s="24"/>
      <c r="UIL1" s="24"/>
      <c r="UIM1" s="24"/>
      <c r="UIN1" s="24"/>
      <c r="UIO1" s="24"/>
      <c r="UIP1" s="24"/>
      <c r="UIQ1" s="24"/>
      <c r="UIR1" s="24"/>
      <c r="UIS1" s="24"/>
      <c r="UIT1" s="24"/>
      <c r="UIU1" s="24"/>
      <c r="UIV1" s="24"/>
      <c r="UIW1" s="24"/>
      <c r="UIX1" s="24"/>
      <c r="UIY1" s="24"/>
      <c r="UIZ1" s="24"/>
      <c r="UJA1" s="24"/>
      <c r="UJB1" s="24"/>
      <c r="UJC1" s="24"/>
      <c r="UJD1" s="24"/>
      <c r="UJE1" s="24"/>
      <c r="UJF1" s="24"/>
      <c r="UJG1" s="24"/>
      <c r="UJH1" s="24"/>
      <c r="UJI1" s="24"/>
      <c r="UJJ1" s="24"/>
      <c r="UJK1" s="24"/>
      <c r="UJL1" s="24"/>
      <c r="UJM1" s="24"/>
      <c r="UJN1" s="24"/>
      <c r="UJO1" s="24"/>
      <c r="UJP1" s="24"/>
      <c r="UJQ1" s="24"/>
      <c r="UJR1" s="24"/>
      <c r="UJS1" s="24"/>
      <c r="UJT1" s="24"/>
      <c r="UJU1" s="24"/>
      <c r="UJV1" s="24"/>
      <c r="UJW1" s="24"/>
      <c r="UJX1" s="24"/>
      <c r="UJY1" s="24"/>
      <c r="UJZ1" s="24"/>
      <c r="UKA1" s="24"/>
      <c r="UKB1" s="24"/>
      <c r="UKC1" s="24"/>
      <c r="UKD1" s="24"/>
      <c r="UKE1" s="24"/>
      <c r="UKF1" s="24"/>
      <c r="UKG1" s="24"/>
      <c r="UKH1" s="24"/>
      <c r="UKI1" s="24"/>
      <c r="UKJ1" s="24"/>
      <c r="UKK1" s="24"/>
      <c r="UKL1" s="24"/>
      <c r="UKM1" s="24"/>
      <c r="UKN1" s="24"/>
      <c r="UKO1" s="24"/>
      <c r="UKP1" s="24"/>
      <c r="UKQ1" s="24"/>
      <c r="UKR1" s="24"/>
      <c r="UKS1" s="24"/>
      <c r="UKT1" s="24"/>
      <c r="UKU1" s="24"/>
      <c r="UKV1" s="24"/>
      <c r="UKW1" s="24"/>
      <c r="UKX1" s="24"/>
      <c r="UKY1" s="24"/>
      <c r="UKZ1" s="24"/>
      <c r="ULA1" s="24"/>
      <c r="ULB1" s="24"/>
      <c r="ULC1" s="24"/>
      <c r="ULD1" s="24"/>
      <c r="ULE1" s="24"/>
      <c r="ULF1" s="24"/>
      <c r="ULG1" s="24"/>
      <c r="ULH1" s="24"/>
      <c r="ULI1" s="24"/>
      <c r="ULJ1" s="24"/>
      <c r="ULK1" s="24"/>
      <c r="ULL1" s="24"/>
      <c r="ULM1" s="24"/>
      <c r="ULN1" s="24"/>
      <c r="ULO1" s="24"/>
      <c r="ULP1" s="24"/>
      <c r="ULQ1" s="24"/>
      <c r="ULR1" s="24"/>
      <c r="ULS1" s="24"/>
      <c r="ULT1" s="24"/>
      <c r="ULU1" s="24"/>
      <c r="ULV1" s="24"/>
      <c r="ULW1" s="24"/>
      <c r="ULX1" s="24"/>
      <c r="ULY1" s="24"/>
      <c r="ULZ1" s="24"/>
      <c r="UMA1" s="24"/>
      <c r="UMB1" s="24"/>
      <c r="UMC1" s="24"/>
      <c r="UMD1" s="24"/>
      <c r="UME1" s="24"/>
      <c r="UMF1" s="24"/>
      <c r="UMG1" s="24"/>
      <c r="UMH1" s="24"/>
      <c r="UMI1" s="24"/>
      <c r="UMJ1" s="24"/>
      <c r="UMK1" s="24"/>
      <c r="UML1" s="24"/>
      <c r="UMM1" s="24"/>
      <c r="UMN1" s="24"/>
      <c r="UMO1" s="24"/>
      <c r="UMP1" s="24"/>
      <c r="UMQ1" s="24"/>
      <c r="UMR1" s="24"/>
      <c r="UMS1" s="24"/>
      <c r="UMT1" s="24"/>
      <c r="UMU1" s="24"/>
      <c r="UMV1" s="24"/>
      <c r="UMW1" s="24"/>
      <c r="UMX1" s="24"/>
      <c r="UMY1" s="24"/>
      <c r="UMZ1" s="24"/>
      <c r="UNA1" s="24"/>
      <c r="UNB1" s="24"/>
      <c r="UNC1" s="24"/>
      <c r="UND1" s="24"/>
      <c r="UNE1" s="24"/>
      <c r="UNF1" s="24"/>
      <c r="UNG1" s="24"/>
      <c r="UNH1" s="24"/>
      <c r="UNI1" s="24"/>
      <c r="UNJ1" s="24"/>
      <c r="UNK1" s="24"/>
      <c r="UNL1" s="24"/>
      <c r="UNM1" s="24"/>
      <c r="UNN1" s="24"/>
      <c r="UNO1" s="24"/>
      <c r="UNP1" s="24"/>
      <c r="UNQ1" s="24"/>
      <c r="UNR1" s="24"/>
      <c r="UNS1" s="24"/>
      <c r="UNT1" s="24"/>
      <c r="UNU1" s="24"/>
      <c r="UNV1" s="24"/>
      <c r="UNW1" s="24"/>
      <c r="UNX1" s="24"/>
      <c r="UNY1" s="24"/>
      <c r="UNZ1" s="24"/>
      <c r="UOA1" s="24"/>
      <c r="UOB1" s="24"/>
      <c r="UOC1" s="24"/>
      <c r="UOD1" s="24"/>
      <c r="UOE1" s="24"/>
      <c r="UOF1" s="24"/>
      <c r="UOG1" s="24"/>
      <c r="UOH1" s="24"/>
      <c r="UOI1" s="24"/>
      <c r="UOJ1" s="24"/>
      <c r="UOK1" s="24"/>
      <c r="UOL1" s="24"/>
      <c r="UOM1" s="24"/>
      <c r="UON1" s="24"/>
      <c r="UOO1" s="24"/>
      <c r="UOP1" s="24"/>
      <c r="UOQ1" s="24"/>
      <c r="UOR1" s="24"/>
      <c r="UOS1" s="24"/>
      <c r="UOT1" s="24"/>
      <c r="UOU1" s="24"/>
      <c r="UOV1" s="24"/>
      <c r="UOW1" s="24"/>
      <c r="UOX1" s="24"/>
      <c r="UOY1" s="24"/>
      <c r="UOZ1" s="24"/>
      <c r="UPA1" s="24"/>
      <c r="UPB1" s="24"/>
      <c r="UPC1" s="24"/>
      <c r="UPD1" s="24"/>
      <c r="UPE1" s="24"/>
      <c r="UPF1" s="24"/>
      <c r="UPG1" s="24"/>
      <c r="UPH1" s="24"/>
      <c r="UPI1" s="24"/>
      <c r="UPJ1" s="24"/>
      <c r="UPK1" s="24"/>
      <c r="UPL1" s="24"/>
      <c r="UPM1" s="24"/>
      <c r="UPN1" s="24"/>
      <c r="UPO1" s="24"/>
      <c r="UPP1" s="24"/>
      <c r="UPQ1" s="24"/>
      <c r="UPR1" s="24"/>
      <c r="UPS1" s="24"/>
      <c r="UPT1" s="24"/>
      <c r="UPU1" s="24"/>
      <c r="UPV1" s="24"/>
      <c r="UPW1" s="24"/>
      <c r="UPX1" s="24"/>
      <c r="UPY1" s="24"/>
      <c r="UPZ1" s="24"/>
      <c r="UQA1" s="24"/>
      <c r="UQB1" s="24"/>
      <c r="UQC1" s="24"/>
      <c r="UQD1" s="24"/>
      <c r="UQE1" s="24"/>
      <c r="UQF1" s="24"/>
      <c r="UQG1" s="24"/>
      <c r="UQH1" s="24"/>
      <c r="UQI1" s="24"/>
      <c r="UQJ1" s="24"/>
      <c r="UQK1" s="24"/>
      <c r="UQL1" s="24"/>
      <c r="UQM1" s="24"/>
      <c r="UQN1" s="24"/>
      <c r="UQO1" s="24"/>
      <c r="UQP1" s="24"/>
      <c r="UQQ1" s="24"/>
      <c r="UQR1" s="24"/>
      <c r="UQS1" s="24"/>
      <c r="UQT1" s="24"/>
      <c r="UQU1" s="24"/>
      <c r="UQV1" s="24"/>
      <c r="UQW1" s="24"/>
      <c r="UQX1" s="24"/>
      <c r="UQY1" s="24"/>
      <c r="UQZ1" s="24"/>
      <c r="URA1" s="24"/>
      <c r="URB1" s="24"/>
      <c r="URC1" s="24"/>
      <c r="URD1" s="24"/>
      <c r="URE1" s="24"/>
      <c r="URF1" s="24"/>
      <c r="URG1" s="24"/>
      <c r="URH1" s="24"/>
      <c r="URI1" s="24"/>
      <c r="URJ1" s="24"/>
      <c r="URK1" s="24"/>
      <c r="URL1" s="24"/>
      <c r="URM1" s="24"/>
      <c r="URN1" s="24"/>
      <c r="URO1" s="24"/>
      <c r="URP1" s="24"/>
      <c r="URQ1" s="24"/>
      <c r="URR1" s="24"/>
      <c r="URS1" s="24"/>
      <c r="URT1" s="24"/>
      <c r="URU1" s="24"/>
      <c r="URV1" s="24"/>
      <c r="URW1" s="24"/>
      <c r="URX1" s="24"/>
      <c r="URY1" s="24"/>
      <c r="URZ1" s="24"/>
      <c r="USA1" s="24"/>
      <c r="USB1" s="24"/>
      <c r="USC1" s="24"/>
      <c r="USD1" s="24"/>
      <c r="USE1" s="24"/>
      <c r="USF1" s="24"/>
      <c r="USG1" s="24"/>
      <c r="USH1" s="24"/>
      <c r="USI1" s="24"/>
      <c r="USJ1" s="24"/>
      <c r="USK1" s="24"/>
      <c r="USL1" s="24"/>
      <c r="USM1" s="24"/>
      <c r="USN1" s="24"/>
      <c r="USO1" s="24"/>
      <c r="USP1" s="24"/>
      <c r="USQ1" s="24"/>
      <c r="USR1" s="24"/>
      <c r="USS1" s="24"/>
      <c r="UST1" s="24"/>
      <c r="USU1" s="24"/>
      <c r="USV1" s="24"/>
      <c r="USW1" s="24"/>
      <c r="USX1" s="24"/>
      <c r="USY1" s="24"/>
      <c r="USZ1" s="24"/>
      <c r="UTA1" s="24"/>
      <c r="UTB1" s="24"/>
      <c r="UTC1" s="24"/>
      <c r="UTD1" s="24"/>
      <c r="UTE1" s="24"/>
      <c r="UTF1" s="24"/>
      <c r="UTG1" s="24"/>
      <c r="UTH1" s="24"/>
      <c r="UTI1" s="24"/>
      <c r="UTJ1" s="24"/>
      <c r="UTK1" s="24"/>
      <c r="UTL1" s="24"/>
      <c r="UTM1" s="24"/>
      <c r="UTN1" s="24"/>
      <c r="UTO1" s="24"/>
      <c r="UTP1" s="24"/>
      <c r="UTQ1" s="24"/>
      <c r="UTR1" s="24"/>
      <c r="UTS1" s="24"/>
      <c r="UTT1" s="24"/>
      <c r="UTU1" s="24"/>
      <c r="UTV1" s="24"/>
      <c r="UTW1" s="24"/>
      <c r="UTX1" s="24"/>
      <c r="UTY1" s="24"/>
      <c r="UTZ1" s="24"/>
      <c r="UUA1" s="24"/>
      <c r="UUB1" s="24"/>
      <c r="UUC1" s="24"/>
      <c r="UUD1" s="24"/>
      <c r="UUE1" s="24"/>
      <c r="UUF1" s="24"/>
      <c r="UUG1" s="24"/>
      <c r="UUH1" s="24"/>
      <c r="UUI1" s="24"/>
      <c r="UUJ1" s="24"/>
      <c r="UUK1" s="24"/>
      <c r="UUL1" s="24"/>
      <c r="UUM1" s="24"/>
      <c r="UUN1" s="24"/>
      <c r="UUO1" s="24"/>
      <c r="UUP1" s="24"/>
      <c r="UUQ1" s="24"/>
      <c r="UUR1" s="24"/>
      <c r="UUS1" s="24"/>
      <c r="UUT1" s="24"/>
      <c r="UUU1" s="24"/>
      <c r="UUV1" s="24"/>
      <c r="UUW1" s="24"/>
      <c r="UUX1" s="24"/>
      <c r="UUY1" s="24"/>
      <c r="UUZ1" s="24"/>
      <c r="UVA1" s="24"/>
      <c r="UVB1" s="24"/>
      <c r="UVC1" s="24"/>
      <c r="UVD1" s="24"/>
      <c r="UVE1" s="24"/>
      <c r="UVF1" s="24"/>
      <c r="UVG1" s="24"/>
      <c r="UVH1" s="24"/>
      <c r="UVI1" s="24"/>
      <c r="UVJ1" s="24"/>
      <c r="UVK1" s="24"/>
      <c r="UVL1" s="24"/>
      <c r="UVM1" s="24"/>
      <c r="UVN1" s="24"/>
      <c r="UVO1" s="24"/>
      <c r="UVP1" s="24"/>
      <c r="UVQ1" s="24"/>
      <c r="UVR1" s="24"/>
      <c r="UVS1" s="24"/>
      <c r="UVT1" s="24"/>
      <c r="UVU1" s="24"/>
      <c r="UVV1" s="24"/>
      <c r="UVW1" s="24"/>
      <c r="UVX1" s="24"/>
      <c r="UVY1" s="24"/>
      <c r="UVZ1" s="24"/>
      <c r="UWA1" s="24"/>
      <c r="UWB1" s="24"/>
      <c r="UWC1" s="24"/>
      <c r="UWD1" s="24"/>
      <c r="UWE1" s="24"/>
      <c r="UWF1" s="24"/>
      <c r="UWG1" s="24"/>
      <c r="UWH1" s="24"/>
      <c r="UWI1" s="24"/>
      <c r="UWJ1" s="24"/>
      <c r="UWK1" s="24"/>
      <c r="UWL1" s="24"/>
      <c r="UWM1" s="24"/>
      <c r="UWN1" s="24"/>
      <c r="UWO1" s="24"/>
      <c r="UWP1" s="24"/>
      <c r="UWQ1" s="24"/>
      <c r="UWR1" s="24"/>
      <c r="UWS1" s="24"/>
      <c r="UWT1" s="24"/>
      <c r="UWU1" s="24"/>
      <c r="UWV1" s="24"/>
      <c r="UWW1" s="24"/>
      <c r="UWX1" s="24"/>
      <c r="UWY1" s="24"/>
      <c r="UWZ1" s="24"/>
      <c r="UXA1" s="24"/>
      <c r="UXB1" s="24"/>
      <c r="UXC1" s="24"/>
      <c r="UXD1" s="24"/>
      <c r="UXE1" s="24"/>
      <c r="UXF1" s="24"/>
      <c r="UXG1" s="24"/>
      <c r="UXH1" s="24"/>
      <c r="UXI1" s="24"/>
      <c r="UXJ1" s="24"/>
      <c r="UXK1" s="24"/>
      <c r="UXL1" s="24"/>
      <c r="UXM1" s="24"/>
      <c r="UXN1" s="24"/>
      <c r="UXO1" s="24"/>
      <c r="UXP1" s="24"/>
      <c r="UXQ1" s="24"/>
      <c r="UXR1" s="24"/>
      <c r="UXS1" s="24"/>
      <c r="UXT1" s="24"/>
      <c r="UXU1" s="24"/>
      <c r="UXV1" s="24"/>
      <c r="UXW1" s="24"/>
      <c r="UXX1" s="24"/>
      <c r="UXY1" s="24"/>
      <c r="UXZ1" s="24"/>
      <c r="UYA1" s="24"/>
      <c r="UYB1" s="24"/>
      <c r="UYC1" s="24"/>
      <c r="UYD1" s="24"/>
      <c r="UYE1" s="24"/>
      <c r="UYF1" s="24"/>
      <c r="UYG1" s="24"/>
      <c r="UYH1" s="24"/>
      <c r="UYI1" s="24"/>
      <c r="UYJ1" s="24"/>
      <c r="UYK1" s="24"/>
      <c r="UYL1" s="24"/>
      <c r="UYM1" s="24"/>
      <c r="UYN1" s="24"/>
      <c r="UYO1" s="24"/>
      <c r="UYP1" s="24"/>
      <c r="UYQ1" s="24"/>
      <c r="UYR1" s="24"/>
      <c r="UYS1" s="24"/>
      <c r="UYT1" s="24"/>
      <c r="UYU1" s="24"/>
      <c r="UYV1" s="24"/>
      <c r="UYW1" s="24"/>
      <c r="UYX1" s="24"/>
      <c r="UYY1" s="24"/>
      <c r="UYZ1" s="24"/>
      <c r="UZA1" s="24"/>
      <c r="UZB1" s="24"/>
      <c r="UZC1" s="24"/>
      <c r="UZD1" s="24"/>
      <c r="UZE1" s="24"/>
      <c r="UZF1" s="24"/>
      <c r="UZG1" s="24"/>
      <c r="UZH1" s="24"/>
      <c r="UZI1" s="24"/>
      <c r="UZJ1" s="24"/>
      <c r="UZK1" s="24"/>
      <c r="UZL1" s="24"/>
      <c r="UZM1" s="24"/>
      <c r="UZN1" s="24"/>
      <c r="UZO1" s="24"/>
      <c r="UZP1" s="24"/>
      <c r="UZQ1" s="24"/>
      <c r="UZR1" s="24"/>
      <c r="UZS1" s="24"/>
      <c r="UZT1" s="24"/>
      <c r="UZU1" s="24"/>
      <c r="UZV1" s="24"/>
      <c r="UZW1" s="24"/>
      <c r="UZX1" s="24"/>
      <c r="UZY1" s="24"/>
      <c r="UZZ1" s="24"/>
      <c r="VAA1" s="24"/>
      <c r="VAB1" s="24"/>
      <c r="VAC1" s="24"/>
      <c r="VAD1" s="24"/>
      <c r="VAE1" s="24"/>
      <c r="VAF1" s="24"/>
      <c r="VAG1" s="24"/>
      <c r="VAH1" s="24"/>
      <c r="VAI1" s="24"/>
      <c r="VAJ1" s="24"/>
      <c r="VAK1" s="24"/>
      <c r="VAL1" s="24"/>
      <c r="VAM1" s="24"/>
      <c r="VAN1" s="24"/>
      <c r="VAO1" s="24"/>
      <c r="VAP1" s="24"/>
      <c r="VAQ1" s="24"/>
      <c r="VAR1" s="24"/>
      <c r="VAS1" s="24"/>
      <c r="VAT1" s="24"/>
      <c r="VAU1" s="24"/>
      <c r="VAV1" s="24"/>
      <c r="VAW1" s="24"/>
      <c r="VAX1" s="24"/>
      <c r="VAY1" s="24"/>
      <c r="VAZ1" s="24"/>
      <c r="VBA1" s="24"/>
      <c r="VBB1" s="24"/>
      <c r="VBC1" s="24"/>
      <c r="VBD1" s="24"/>
      <c r="VBE1" s="24"/>
      <c r="VBF1" s="24"/>
      <c r="VBG1" s="24"/>
      <c r="VBH1" s="24"/>
      <c r="VBI1" s="24"/>
      <c r="VBJ1" s="24"/>
      <c r="VBK1" s="24"/>
      <c r="VBL1" s="24"/>
      <c r="VBM1" s="24"/>
      <c r="VBN1" s="24"/>
      <c r="VBO1" s="24"/>
      <c r="VBP1" s="24"/>
      <c r="VBQ1" s="24"/>
      <c r="VBR1" s="24"/>
      <c r="VBS1" s="24"/>
      <c r="VBT1" s="24"/>
      <c r="VBU1" s="24"/>
      <c r="VBV1" s="24"/>
      <c r="VBW1" s="24"/>
      <c r="VBX1" s="24"/>
      <c r="VBY1" s="24"/>
      <c r="VBZ1" s="24"/>
      <c r="VCA1" s="24"/>
      <c r="VCB1" s="24"/>
      <c r="VCC1" s="24"/>
      <c r="VCD1" s="24"/>
      <c r="VCE1" s="24"/>
      <c r="VCF1" s="24"/>
      <c r="VCG1" s="24"/>
      <c r="VCH1" s="24"/>
      <c r="VCI1" s="24"/>
      <c r="VCJ1" s="24"/>
      <c r="VCK1" s="24"/>
      <c r="VCL1" s="24"/>
      <c r="VCM1" s="24"/>
      <c r="VCN1" s="24"/>
      <c r="VCO1" s="24"/>
      <c r="VCP1" s="24"/>
      <c r="VCQ1" s="24"/>
      <c r="VCR1" s="24"/>
      <c r="VCS1" s="24"/>
      <c r="VCT1" s="24"/>
      <c r="VCU1" s="24"/>
      <c r="VCV1" s="24"/>
      <c r="VCW1" s="24"/>
      <c r="VCX1" s="24"/>
      <c r="VCY1" s="24"/>
      <c r="VCZ1" s="24"/>
      <c r="VDA1" s="24"/>
      <c r="VDB1" s="24"/>
      <c r="VDC1" s="24"/>
      <c r="VDD1" s="24"/>
      <c r="VDE1" s="24"/>
      <c r="VDF1" s="24"/>
      <c r="VDG1" s="24"/>
      <c r="VDH1" s="24"/>
      <c r="VDI1" s="24"/>
      <c r="VDJ1" s="24"/>
      <c r="VDK1" s="24"/>
      <c r="VDL1" s="24"/>
      <c r="VDM1" s="24"/>
      <c r="VDN1" s="24"/>
      <c r="VDO1" s="24"/>
      <c r="VDP1" s="24"/>
      <c r="VDQ1" s="24"/>
      <c r="VDR1" s="24"/>
      <c r="VDS1" s="24"/>
      <c r="VDT1" s="24"/>
      <c r="VDU1" s="24"/>
      <c r="VDV1" s="24"/>
      <c r="VDW1" s="24"/>
      <c r="VDX1" s="24"/>
      <c r="VDY1" s="24"/>
      <c r="VDZ1" s="24"/>
      <c r="VEA1" s="24"/>
      <c r="VEB1" s="24"/>
      <c r="VEC1" s="24"/>
      <c r="VED1" s="24"/>
      <c r="VEE1" s="24"/>
      <c r="VEF1" s="24"/>
      <c r="VEG1" s="24"/>
      <c r="VEH1" s="24"/>
      <c r="VEI1" s="24"/>
      <c r="VEJ1" s="24"/>
      <c r="VEK1" s="24"/>
      <c r="VEL1" s="24"/>
      <c r="VEM1" s="24"/>
      <c r="VEN1" s="24"/>
      <c r="VEO1" s="24"/>
      <c r="VEP1" s="24"/>
      <c r="VEQ1" s="24"/>
      <c r="VER1" s="24"/>
      <c r="VES1" s="24"/>
      <c r="VET1" s="24"/>
      <c r="VEU1" s="24"/>
      <c r="VEV1" s="24"/>
      <c r="VEW1" s="24"/>
      <c r="VEX1" s="24"/>
      <c r="VEY1" s="24"/>
      <c r="VEZ1" s="24"/>
      <c r="VFA1" s="24"/>
      <c r="VFB1" s="24"/>
      <c r="VFC1" s="24"/>
      <c r="VFD1" s="24"/>
      <c r="VFE1" s="24"/>
      <c r="VFF1" s="24"/>
      <c r="VFG1" s="24"/>
      <c r="VFH1" s="24"/>
      <c r="VFI1" s="24"/>
      <c r="VFJ1" s="24"/>
      <c r="VFK1" s="24"/>
      <c r="VFL1" s="24"/>
      <c r="VFM1" s="24"/>
      <c r="VFN1" s="24"/>
      <c r="VFO1" s="24"/>
      <c r="VFP1" s="24"/>
      <c r="VFQ1" s="24"/>
      <c r="VFR1" s="24"/>
      <c r="VFS1" s="24"/>
      <c r="VFT1" s="24"/>
      <c r="VFU1" s="24"/>
      <c r="VFV1" s="24"/>
      <c r="VFW1" s="24"/>
      <c r="VFX1" s="24"/>
      <c r="VFY1" s="24"/>
      <c r="VFZ1" s="24"/>
      <c r="VGA1" s="24"/>
      <c r="VGB1" s="24"/>
      <c r="VGC1" s="24"/>
      <c r="VGD1" s="24"/>
      <c r="VGE1" s="24"/>
      <c r="VGF1" s="24"/>
      <c r="VGG1" s="24"/>
      <c r="VGH1" s="24"/>
      <c r="VGI1" s="24"/>
      <c r="VGJ1" s="24"/>
      <c r="VGK1" s="24"/>
      <c r="VGL1" s="24"/>
      <c r="VGM1" s="24"/>
      <c r="VGN1" s="24"/>
      <c r="VGO1" s="24"/>
      <c r="VGP1" s="24"/>
      <c r="VGQ1" s="24"/>
      <c r="VGR1" s="24"/>
      <c r="VGS1" s="24"/>
      <c r="VGT1" s="24"/>
      <c r="VGU1" s="24"/>
      <c r="VGV1" s="24"/>
      <c r="VGW1" s="24"/>
      <c r="VGX1" s="24"/>
      <c r="VGY1" s="24"/>
      <c r="VGZ1" s="24"/>
      <c r="VHA1" s="24"/>
      <c r="VHB1" s="24"/>
      <c r="VHC1" s="24"/>
      <c r="VHD1" s="24"/>
      <c r="VHE1" s="24"/>
      <c r="VHF1" s="24"/>
      <c r="VHG1" s="24"/>
      <c r="VHH1" s="24"/>
      <c r="VHI1" s="24"/>
      <c r="VHJ1" s="24"/>
      <c r="VHK1" s="24"/>
      <c r="VHL1" s="24"/>
      <c r="VHM1" s="24"/>
      <c r="VHN1" s="24"/>
      <c r="VHO1" s="24"/>
      <c r="VHP1" s="24"/>
      <c r="VHQ1" s="24"/>
      <c r="VHR1" s="24"/>
      <c r="VHS1" s="24"/>
      <c r="VHT1" s="24"/>
      <c r="VHU1" s="24"/>
      <c r="VHV1" s="24"/>
      <c r="VHW1" s="24"/>
      <c r="VHX1" s="24"/>
      <c r="VHY1" s="24"/>
      <c r="VHZ1" s="24"/>
      <c r="VIA1" s="24"/>
      <c r="VIB1" s="24"/>
      <c r="VIC1" s="24"/>
      <c r="VID1" s="24"/>
      <c r="VIE1" s="24"/>
      <c r="VIF1" s="24"/>
      <c r="VIG1" s="24"/>
      <c r="VIH1" s="24"/>
      <c r="VII1" s="24"/>
      <c r="VIJ1" s="24"/>
      <c r="VIK1" s="24"/>
      <c r="VIL1" s="24"/>
      <c r="VIM1" s="24"/>
      <c r="VIN1" s="24"/>
      <c r="VIO1" s="24"/>
      <c r="VIP1" s="24"/>
      <c r="VIQ1" s="24"/>
      <c r="VIR1" s="24"/>
      <c r="VIS1" s="24"/>
      <c r="VIT1" s="24"/>
      <c r="VIU1" s="24"/>
      <c r="VIV1" s="24"/>
      <c r="VIW1" s="24"/>
      <c r="VIX1" s="24"/>
      <c r="VIY1" s="24"/>
      <c r="VIZ1" s="24"/>
      <c r="VJA1" s="24"/>
      <c r="VJB1" s="24"/>
      <c r="VJC1" s="24"/>
      <c r="VJD1" s="24"/>
      <c r="VJE1" s="24"/>
      <c r="VJF1" s="24"/>
      <c r="VJG1" s="24"/>
      <c r="VJH1" s="24"/>
      <c r="VJI1" s="24"/>
      <c r="VJJ1" s="24"/>
      <c r="VJK1" s="24"/>
      <c r="VJL1" s="24"/>
      <c r="VJM1" s="24"/>
      <c r="VJN1" s="24"/>
      <c r="VJO1" s="24"/>
      <c r="VJP1" s="24"/>
      <c r="VJQ1" s="24"/>
      <c r="VJR1" s="24"/>
      <c r="VJS1" s="24"/>
      <c r="VJT1" s="24"/>
      <c r="VJU1" s="24"/>
      <c r="VJV1" s="24"/>
      <c r="VJW1" s="24"/>
      <c r="VJX1" s="24"/>
      <c r="VJY1" s="24"/>
      <c r="VJZ1" s="24"/>
      <c r="VKA1" s="24"/>
      <c r="VKB1" s="24"/>
      <c r="VKC1" s="24"/>
      <c r="VKD1" s="24"/>
      <c r="VKE1" s="24"/>
      <c r="VKF1" s="24"/>
      <c r="VKG1" s="24"/>
      <c r="VKH1" s="24"/>
      <c r="VKI1" s="24"/>
      <c r="VKJ1" s="24"/>
      <c r="VKK1" s="24"/>
      <c r="VKL1" s="24"/>
      <c r="VKM1" s="24"/>
      <c r="VKN1" s="24"/>
      <c r="VKO1" s="24"/>
      <c r="VKP1" s="24"/>
      <c r="VKQ1" s="24"/>
      <c r="VKR1" s="24"/>
      <c r="VKS1" s="24"/>
      <c r="VKT1" s="24"/>
      <c r="VKU1" s="24"/>
      <c r="VKV1" s="24"/>
      <c r="VKW1" s="24"/>
      <c r="VKX1" s="24"/>
      <c r="VKY1" s="24"/>
      <c r="VKZ1" s="24"/>
      <c r="VLA1" s="24"/>
      <c r="VLB1" s="24"/>
      <c r="VLC1" s="24"/>
      <c r="VLD1" s="24"/>
      <c r="VLE1" s="24"/>
      <c r="VLF1" s="24"/>
      <c r="VLG1" s="24"/>
      <c r="VLH1" s="24"/>
      <c r="VLI1" s="24"/>
      <c r="VLJ1" s="24"/>
      <c r="VLK1" s="24"/>
      <c r="VLL1" s="24"/>
      <c r="VLM1" s="24"/>
      <c r="VLN1" s="24"/>
      <c r="VLO1" s="24"/>
      <c r="VLP1" s="24"/>
      <c r="VLQ1" s="24"/>
      <c r="VLR1" s="24"/>
      <c r="VLS1" s="24"/>
      <c r="VLT1" s="24"/>
      <c r="VLU1" s="24"/>
      <c r="VLV1" s="24"/>
      <c r="VLW1" s="24"/>
      <c r="VLX1" s="24"/>
      <c r="VLY1" s="24"/>
      <c r="VLZ1" s="24"/>
      <c r="VMA1" s="24"/>
      <c r="VMB1" s="24"/>
      <c r="VMC1" s="24"/>
      <c r="VMD1" s="24"/>
      <c r="VME1" s="24"/>
      <c r="VMF1" s="24"/>
      <c r="VMG1" s="24"/>
      <c r="VMH1" s="24"/>
      <c r="VMI1" s="24"/>
      <c r="VMJ1" s="24"/>
      <c r="VMK1" s="24"/>
      <c r="VML1" s="24"/>
      <c r="VMM1" s="24"/>
      <c r="VMN1" s="24"/>
      <c r="VMO1" s="24"/>
      <c r="VMP1" s="24"/>
      <c r="VMQ1" s="24"/>
      <c r="VMR1" s="24"/>
      <c r="VMS1" s="24"/>
      <c r="VMT1" s="24"/>
      <c r="VMU1" s="24"/>
      <c r="VMV1" s="24"/>
      <c r="VMW1" s="24"/>
      <c r="VMX1" s="24"/>
      <c r="VMY1" s="24"/>
      <c r="VMZ1" s="24"/>
      <c r="VNA1" s="24"/>
      <c r="VNB1" s="24"/>
      <c r="VNC1" s="24"/>
      <c r="VND1" s="24"/>
      <c r="VNE1" s="24"/>
      <c r="VNF1" s="24"/>
      <c r="VNG1" s="24"/>
      <c r="VNH1" s="24"/>
      <c r="VNI1" s="24"/>
      <c r="VNJ1" s="24"/>
      <c r="VNK1" s="24"/>
      <c r="VNL1" s="24"/>
      <c r="VNM1" s="24"/>
      <c r="VNN1" s="24"/>
      <c r="VNO1" s="24"/>
      <c r="VNP1" s="24"/>
      <c r="VNQ1" s="24"/>
      <c r="VNR1" s="24"/>
      <c r="VNS1" s="24"/>
      <c r="VNT1" s="24"/>
      <c r="VNU1" s="24"/>
      <c r="VNV1" s="24"/>
      <c r="VNW1" s="24"/>
      <c r="VNX1" s="24"/>
      <c r="VNY1" s="24"/>
      <c r="VNZ1" s="24"/>
      <c r="VOA1" s="24"/>
      <c r="VOB1" s="24"/>
      <c r="VOC1" s="24"/>
      <c r="VOD1" s="24"/>
      <c r="VOE1" s="24"/>
      <c r="VOF1" s="24"/>
      <c r="VOG1" s="24"/>
      <c r="VOH1" s="24"/>
      <c r="VOI1" s="24"/>
      <c r="VOJ1" s="24"/>
      <c r="VOK1" s="24"/>
      <c r="VOL1" s="24"/>
      <c r="VOM1" s="24"/>
      <c r="VON1" s="24"/>
      <c r="VOO1" s="24"/>
      <c r="VOP1" s="24"/>
      <c r="VOQ1" s="24"/>
      <c r="VOR1" s="24"/>
      <c r="VOS1" s="24"/>
      <c r="VOT1" s="24"/>
      <c r="VOU1" s="24"/>
      <c r="VOV1" s="24"/>
      <c r="VOW1" s="24"/>
      <c r="VOX1" s="24"/>
      <c r="VOY1" s="24"/>
      <c r="VOZ1" s="24"/>
      <c r="VPA1" s="24"/>
      <c r="VPB1" s="24"/>
      <c r="VPC1" s="24"/>
      <c r="VPD1" s="24"/>
      <c r="VPE1" s="24"/>
      <c r="VPF1" s="24"/>
      <c r="VPG1" s="24"/>
      <c r="VPH1" s="24"/>
      <c r="VPI1" s="24"/>
      <c r="VPJ1" s="24"/>
      <c r="VPK1" s="24"/>
      <c r="VPL1" s="24"/>
      <c r="VPM1" s="24"/>
      <c r="VPN1" s="24"/>
      <c r="VPO1" s="24"/>
      <c r="VPP1" s="24"/>
      <c r="VPQ1" s="24"/>
      <c r="VPR1" s="24"/>
      <c r="VPS1" s="24"/>
      <c r="VPT1" s="24"/>
      <c r="VPU1" s="24"/>
      <c r="VPV1" s="24"/>
      <c r="VPW1" s="24"/>
      <c r="VPX1" s="24"/>
      <c r="VPY1" s="24"/>
      <c r="VPZ1" s="24"/>
      <c r="VQA1" s="24"/>
      <c r="VQB1" s="24"/>
      <c r="VQC1" s="24"/>
      <c r="VQD1" s="24"/>
      <c r="VQE1" s="24"/>
      <c r="VQF1" s="24"/>
      <c r="VQG1" s="24"/>
      <c r="VQH1" s="24"/>
      <c r="VQI1" s="24"/>
      <c r="VQJ1" s="24"/>
      <c r="VQK1" s="24"/>
      <c r="VQL1" s="24"/>
      <c r="VQM1" s="24"/>
      <c r="VQN1" s="24"/>
      <c r="VQO1" s="24"/>
      <c r="VQP1" s="24"/>
      <c r="VQQ1" s="24"/>
      <c r="VQR1" s="24"/>
      <c r="VQS1" s="24"/>
      <c r="VQT1" s="24"/>
      <c r="VQU1" s="24"/>
      <c r="VQV1" s="24"/>
      <c r="VQW1" s="24"/>
      <c r="VQX1" s="24"/>
      <c r="VQY1" s="24"/>
      <c r="VQZ1" s="24"/>
      <c r="VRA1" s="24"/>
      <c r="VRB1" s="24"/>
      <c r="VRC1" s="24"/>
      <c r="VRD1" s="24"/>
      <c r="VRE1" s="24"/>
      <c r="VRF1" s="24"/>
      <c r="VRG1" s="24"/>
      <c r="VRH1" s="24"/>
      <c r="VRI1" s="24"/>
      <c r="VRJ1" s="24"/>
      <c r="VRK1" s="24"/>
      <c r="VRL1" s="24"/>
      <c r="VRM1" s="24"/>
      <c r="VRN1" s="24"/>
      <c r="VRO1" s="24"/>
      <c r="VRP1" s="24"/>
      <c r="VRQ1" s="24"/>
      <c r="VRR1" s="24"/>
      <c r="VRS1" s="24"/>
      <c r="VRT1" s="24"/>
      <c r="VRU1" s="24"/>
      <c r="VRV1" s="24"/>
      <c r="VRW1" s="24"/>
      <c r="VRX1" s="24"/>
      <c r="VRY1" s="24"/>
      <c r="VRZ1" s="24"/>
      <c r="VSA1" s="24"/>
      <c r="VSB1" s="24"/>
      <c r="VSC1" s="24"/>
      <c r="VSD1" s="24"/>
      <c r="VSE1" s="24"/>
      <c r="VSF1" s="24"/>
      <c r="VSG1" s="24"/>
      <c r="VSH1" s="24"/>
      <c r="VSI1" s="24"/>
      <c r="VSJ1" s="24"/>
      <c r="VSK1" s="24"/>
      <c r="VSL1" s="24"/>
      <c r="VSM1" s="24"/>
      <c r="VSN1" s="24"/>
      <c r="VSO1" s="24"/>
      <c r="VSP1" s="24"/>
      <c r="VSQ1" s="24"/>
      <c r="VSR1" s="24"/>
      <c r="VSS1" s="24"/>
      <c r="VST1" s="24"/>
      <c r="VSU1" s="24"/>
      <c r="VSV1" s="24"/>
      <c r="VSW1" s="24"/>
      <c r="VSX1" s="24"/>
      <c r="VSY1" s="24"/>
      <c r="VSZ1" s="24"/>
      <c r="VTA1" s="24"/>
      <c r="VTB1" s="24"/>
      <c r="VTC1" s="24"/>
      <c r="VTD1" s="24"/>
      <c r="VTE1" s="24"/>
      <c r="VTF1" s="24"/>
      <c r="VTG1" s="24"/>
      <c r="VTH1" s="24"/>
      <c r="VTI1" s="24"/>
      <c r="VTJ1" s="24"/>
      <c r="VTK1" s="24"/>
      <c r="VTL1" s="24"/>
      <c r="VTM1" s="24"/>
      <c r="VTN1" s="24"/>
      <c r="VTO1" s="24"/>
      <c r="VTP1" s="24"/>
      <c r="VTQ1" s="24"/>
      <c r="VTR1" s="24"/>
      <c r="VTS1" s="24"/>
      <c r="VTT1" s="24"/>
      <c r="VTU1" s="24"/>
      <c r="VTV1" s="24"/>
      <c r="VTW1" s="24"/>
      <c r="VTX1" s="24"/>
      <c r="VTY1" s="24"/>
      <c r="VTZ1" s="24"/>
      <c r="VUA1" s="24"/>
      <c r="VUB1" s="24"/>
      <c r="VUC1" s="24"/>
      <c r="VUD1" s="24"/>
      <c r="VUE1" s="24"/>
      <c r="VUF1" s="24"/>
      <c r="VUG1" s="24"/>
      <c r="VUH1" s="24"/>
      <c r="VUI1" s="24"/>
      <c r="VUJ1" s="24"/>
      <c r="VUK1" s="24"/>
      <c r="VUL1" s="24"/>
      <c r="VUM1" s="24"/>
      <c r="VUN1" s="24"/>
      <c r="VUO1" s="24"/>
      <c r="VUP1" s="24"/>
      <c r="VUQ1" s="24"/>
      <c r="VUR1" s="24"/>
      <c r="VUS1" s="24"/>
      <c r="VUT1" s="24"/>
      <c r="VUU1" s="24"/>
      <c r="VUV1" s="24"/>
      <c r="VUW1" s="24"/>
      <c r="VUX1" s="24"/>
      <c r="VUY1" s="24"/>
      <c r="VUZ1" s="24"/>
      <c r="VVA1" s="24"/>
      <c r="VVB1" s="24"/>
      <c r="VVC1" s="24"/>
      <c r="VVD1" s="24"/>
      <c r="VVE1" s="24"/>
      <c r="VVF1" s="24"/>
      <c r="VVG1" s="24"/>
      <c r="VVH1" s="24"/>
      <c r="VVI1" s="24"/>
      <c r="VVJ1" s="24"/>
      <c r="VVK1" s="24"/>
      <c r="VVL1" s="24"/>
      <c r="VVM1" s="24"/>
      <c r="VVN1" s="24"/>
      <c r="VVO1" s="24"/>
      <c r="VVP1" s="24"/>
      <c r="VVQ1" s="24"/>
      <c r="VVR1" s="24"/>
      <c r="VVS1" s="24"/>
      <c r="VVT1" s="24"/>
      <c r="VVU1" s="24"/>
      <c r="VVV1" s="24"/>
      <c r="VVW1" s="24"/>
      <c r="VVX1" s="24"/>
      <c r="VVY1" s="24"/>
      <c r="VVZ1" s="24"/>
      <c r="VWA1" s="24"/>
      <c r="VWB1" s="24"/>
      <c r="VWC1" s="24"/>
      <c r="VWD1" s="24"/>
      <c r="VWE1" s="24"/>
      <c r="VWF1" s="24"/>
      <c r="VWG1" s="24"/>
      <c r="VWH1" s="24"/>
      <c r="VWI1" s="24"/>
      <c r="VWJ1" s="24"/>
      <c r="VWK1" s="24"/>
      <c r="VWL1" s="24"/>
      <c r="VWM1" s="24"/>
      <c r="VWN1" s="24"/>
      <c r="VWO1" s="24"/>
      <c r="VWP1" s="24"/>
      <c r="VWQ1" s="24"/>
      <c r="VWR1" s="24"/>
      <c r="VWS1" s="24"/>
      <c r="VWT1" s="24"/>
      <c r="VWU1" s="24"/>
      <c r="VWV1" s="24"/>
      <c r="VWW1" s="24"/>
      <c r="VWX1" s="24"/>
      <c r="VWY1" s="24"/>
      <c r="VWZ1" s="24"/>
      <c r="VXA1" s="24"/>
      <c r="VXB1" s="24"/>
      <c r="VXC1" s="24"/>
      <c r="VXD1" s="24"/>
      <c r="VXE1" s="24"/>
      <c r="VXF1" s="24"/>
      <c r="VXG1" s="24"/>
      <c r="VXH1" s="24"/>
      <c r="VXI1" s="24"/>
      <c r="VXJ1" s="24"/>
      <c r="VXK1" s="24"/>
      <c r="VXL1" s="24"/>
      <c r="VXM1" s="24"/>
      <c r="VXN1" s="24"/>
      <c r="VXO1" s="24"/>
      <c r="VXP1" s="24"/>
      <c r="VXQ1" s="24"/>
      <c r="VXR1" s="24"/>
      <c r="VXS1" s="24"/>
      <c r="VXT1" s="24"/>
      <c r="VXU1" s="24"/>
      <c r="VXV1" s="24"/>
      <c r="VXW1" s="24"/>
      <c r="VXX1" s="24"/>
      <c r="VXY1" s="24"/>
      <c r="VXZ1" s="24"/>
      <c r="VYA1" s="24"/>
      <c r="VYB1" s="24"/>
      <c r="VYC1" s="24"/>
      <c r="VYD1" s="24"/>
      <c r="VYE1" s="24"/>
      <c r="VYF1" s="24"/>
      <c r="VYG1" s="24"/>
      <c r="VYH1" s="24"/>
      <c r="VYI1" s="24"/>
      <c r="VYJ1" s="24"/>
      <c r="VYK1" s="24"/>
      <c r="VYL1" s="24"/>
      <c r="VYM1" s="24"/>
      <c r="VYN1" s="24"/>
      <c r="VYO1" s="24"/>
      <c r="VYP1" s="24"/>
      <c r="VYQ1" s="24"/>
      <c r="VYR1" s="24"/>
      <c r="VYS1" s="24"/>
      <c r="VYT1" s="24"/>
      <c r="VYU1" s="24"/>
      <c r="VYV1" s="24"/>
      <c r="VYW1" s="24"/>
      <c r="VYX1" s="24"/>
      <c r="VYY1" s="24"/>
      <c r="VYZ1" s="24"/>
      <c r="VZA1" s="24"/>
      <c r="VZB1" s="24"/>
      <c r="VZC1" s="24"/>
      <c r="VZD1" s="24"/>
      <c r="VZE1" s="24"/>
      <c r="VZF1" s="24"/>
      <c r="VZG1" s="24"/>
      <c r="VZH1" s="24"/>
      <c r="VZI1" s="24"/>
      <c r="VZJ1" s="24"/>
      <c r="VZK1" s="24"/>
      <c r="VZL1" s="24"/>
      <c r="VZM1" s="24"/>
      <c r="VZN1" s="24"/>
      <c r="VZO1" s="24"/>
      <c r="VZP1" s="24"/>
      <c r="VZQ1" s="24"/>
      <c r="VZR1" s="24"/>
      <c r="VZS1" s="24"/>
      <c r="VZT1" s="24"/>
      <c r="VZU1" s="24"/>
      <c r="VZV1" s="24"/>
      <c r="VZW1" s="24"/>
      <c r="VZX1" s="24"/>
      <c r="VZY1" s="24"/>
      <c r="VZZ1" s="24"/>
      <c r="WAA1" s="24"/>
      <c r="WAB1" s="24"/>
      <c r="WAC1" s="24"/>
      <c r="WAD1" s="24"/>
      <c r="WAE1" s="24"/>
      <c r="WAF1" s="24"/>
      <c r="WAG1" s="24"/>
      <c r="WAH1" s="24"/>
      <c r="WAI1" s="24"/>
      <c r="WAJ1" s="24"/>
      <c r="WAK1" s="24"/>
      <c r="WAL1" s="24"/>
      <c r="WAM1" s="24"/>
      <c r="WAN1" s="24"/>
      <c r="WAO1" s="24"/>
      <c r="WAP1" s="24"/>
      <c r="WAQ1" s="24"/>
      <c r="WAR1" s="24"/>
      <c r="WAS1" s="24"/>
      <c r="WAT1" s="24"/>
      <c r="WAU1" s="24"/>
      <c r="WAV1" s="24"/>
      <c r="WAW1" s="24"/>
      <c r="WAX1" s="24"/>
      <c r="WAY1" s="24"/>
      <c r="WAZ1" s="24"/>
      <c r="WBA1" s="24"/>
      <c r="WBB1" s="24"/>
      <c r="WBC1" s="24"/>
      <c r="WBD1" s="24"/>
      <c r="WBE1" s="24"/>
      <c r="WBF1" s="24"/>
      <c r="WBG1" s="24"/>
      <c r="WBH1" s="24"/>
      <c r="WBI1" s="24"/>
      <c r="WBJ1" s="24"/>
      <c r="WBK1" s="24"/>
      <c r="WBL1" s="24"/>
      <c r="WBM1" s="24"/>
      <c r="WBN1" s="24"/>
      <c r="WBO1" s="24"/>
      <c r="WBP1" s="24"/>
      <c r="WBQ1" s="24"/>
      <c r="WBR1" s="24"/>
      <c r="WBS1" s="24"/>
      <c r="WBT1" s="24"/>
      <c r="WBU1" s="24"/>
      <c r="WBV1" s="24"/>
      <c r="WBW1" s="24"/>
      <c r="WBX1" s="24"/>
      <c r="WBY1" s="24"/>
      <c r="WBZ1" s="24"/>
      <c r="WCA1" s="24"/>
      <c r="WCB1" s="24"/>
      <c r="WCC1" s="24"/>
      <c r="WCD1" s="24"/>
      <c r="WCE1" s="24"/>
      <c r="WCF1" s="24"/>
      <c r="WCG1" s="24"/>
      <c r="WCH1" s="24"/>
      <c r="WCI1" s="24"/>
      <c r="WCJ1" s="24"/>
      <c r="WCK1" s="24"/>
      <c r="WCL1" s="24"/>
      <c r="WCM1" s="24"/>
      <c r="WCN1" s="24"/>
      <c r="WCO1" s="24"/>
      <c r="WCP1" s="24"/>
      <c r="WCQ1" s="24"/>
      <c r="WCR1" s="24"/>
      <c r="WCS1" s="24"/>
      <c r="WCT1" s="24"/>
      <c r="WCU1" s="24"/>
      <c r="WCV1" s="24"/>
      <c r="WCW1" s="24"/>
      <c r="WCX1" s="24"/>
      <c r="WCY1" s="24"/>
      <c r="WCZ1" s="24"/>
      <c r="WDA1" s="24"/>
      <c r="WDB1" s="24"/>
      <c r="WDC1" s="24"/>
      <c r="WDD1" s="24"/>
      <c r="WDE1" s="24"/>
      <c r="WDF1" s="24"/>
      <c r="WDG1" s="24"/>
      <c r="WDH1" s="24"/>
      <c r="WDI1" s="24"/>
      <c r="WDJ1" s="24"/>
      <c r="WDK1" s="24"/>
      <c r="WDL1" s="24"/>
      <c r="WDM1" s="24"/>
      <c r="WDN1" s="24"/>
      <c r="WDO1" s="24"/>
      <c r="WDP1" s="24"/>
      <c r="WDQ1" s="24"/>
      <c r="WDR1" s="24"/>
      <c r="WDS1" s="24"/>
      <c r="WDT1" s="24"/>
      <c r="WDU1" s="24"/>
      <c r="WDV1" s="24"/>
      <c r="WDW1" s="24"/>
      <c r="WDX1" s="24"/>
      <c r="WDY1" s="24"/>
      <c r="WDZ1" s="24"/>
      <c r="WEA1" s="24"/>
      <c r="WEB1" s="24"/>
      <c r="WEC1" s="24"/>
      <c r="WED1" s="24"/>
      <c r="WEE1" s="24"/>
      <c r="WEF1" s="24"/>
      <c r="WEG1" s="24"/>
      <c r="WEH1" s="24"/>
      <c r="WEI1" s="24"/>
      <c r="WEJ1" s="24"/>
      <c r="WEK1" s="24"/>
      <c r="WEL1" s="24"/>
      <c r="WEM1" s="24"/>
      <c r="WEN1" s="24"/>
      <c r="WEO1" s="24"/>
      <c r="WEP1" s="24"/>
      <c r="WEQ1" s="24"/>
      <c r="WER1" s="24"/>
      <c r="WES1" s="24"/>
      <c r="WET1" s="24"/>
      <c r="WEU1" s="24"/>
      <c r="WEV1" s="24"/>
      <c r="WEW1" s="24"/>
      <c r="WEX1" s="24"/>
      <c r="WEY1" s="24"/>
      <c r="WEZ1" s="24"/>
      <c r="WFA1" s="24"/>
      <c r="WFB1" s="24"/>
      <c r="WFC1" s="24"/>
      <c r="WFD1" s="24"/>
      <c r="WFE1" s="24"/>
      <c r="WFF1" s="24"/>
      <c r="WFG1" s="24"/>
      <c r="WFH1" s="24"/>
      <c r="WFI1" s="24"/>
      <c r="WFJ1" s="24"/>
      <c r="WFK1" s="24"/>
      <c r="WFL1" s="24"/>
      <c r="WFM1" s="24"/>
      <c r="WFN1" s="24"/>
      <c r="WFO1" s="24"/>
      <c r="WFP1" s="24"/>
      <c r="WFQ1" s="24"/>
      <c r="WFR1" s="24"/>
      <c r="WFS1" s="24"/>
      <c r="WFT1" s="24"/>
      <c r="WFU1" s="24"/>
      <c r="WFV1" s="24"/>
      <c r="WFW1" s="24"/>
      <c r="WFX1" s="24"/>
      <c r="WFY1" s="24"/>
      <c r="WFZ1" s="24"/>
      <c r="WGA1" s="24"/>
      <c r="WGB1" s="24"/>
      <c r="WGC1" s="24"/>
      <c r="WGD1" s="24"/>
      <c r="WGE1" s="24"/>
      <c r="WGF1" s="24"/>
      <c r="WGG1" s="24"/>
      <c r="WGH1" s="24"/>
      <c r="WGI1" s="24"/>
      <c r="WGJ1" s="24"/>
      <c r="WGK1" s="24"/>
      <c r="WGL1" s="24"/>
      <c r="WGM1" s="24"/>
      <c r="WGN1" s="24"/>
      <c r="WGO1" s="24"/>
      <c r="WGP1" s="24"/>
      <c r="WGQ1" s="24"/>
      <c r="WGR1" s="24"/>
      <c r="WGS1" s="24"/>
      <c r="WGT1" s="24"/>
      <c r="WGU1" s="24"/>
      <c r="WGV1" s="24"/>
      <c r="WGW1" s="24"/>
      <c r="WGX1" s="24"/>
      <c r="WGY1" s="24"/>
      <c r="WGZ1" s="24"/>
      <c r="WHA1" s="24"/>
      <c r="WHB1" s="24"/>
      <c r="WHC1" s="24"/>
      <c r="WHD1" s="24"/>
      <c r="WHE1" s="24"/>
      <c r="WHF1" s="24"/>
      <c r="WHG1" s="24"/>
      <c r="WHH1" s="24"/>
      <c r="WHI1" s="24"/>
      <c r="WHJ1" s="24"/>
      <c r="WHK1" s="24"/>
      <c r="WHL1" s="24"/>
      <c r="WHM1" s="24"/>
      <c r="WHN1" s="24"/>
      <c r="WHO1" s="24"/>
      <c r="WHP1" s="24"/>
      <c r="WHQ1" s="24"/>
      <c r="WHR1" s="24"/>
      <c r="WHS1" s="24"/>
      <c r="WHT1" s="24"/>
      <c r="WHU1" s="24"/>
      <c r="WHV1" s="24"/>
      <c r="WHW1" s="24"/>
      <c r="WHX1" s="24"/>
      <c r="WHY1" s="24"/>
      <c r="WHZ1" s="24"/>
      <c r="WIA1" s="24"/>
      <c r="WIB1" s="24"/>
      <c r="WIC1" s="24"/>
      <c r="WID1" s="24"/>
      <c r="WIE1" s="24"/>
      <c r="WIF1" s="24"/>
      <c r="WIG1" s="24"/>
      <c r="WIH1" s="24"/>
      <c r="WII1" s="24"/>
      <c r="WIJ1" s="24"/>
      <c r="WIK1" s="24"/>
      <c r="WIL1" s="24"/>
      <c r="WIM1" s="24"/>
      <c r="WIN1" s="24"/>
      <c r="WIO1" s="24"/>
      <c r="WIP1" s="24"/>
      <c r="WIQ1" s="24"/>
      <c r="WIR1" s="24"/>
      <c r="WIS1" s="24"/>
      <c r="WIT1" s="24"/>
      <c r="WIU1" s="24"/>
      <c r="WIV1" s="24"/>
      <c r="WIW1" s="24"/>
      <c r="WIX1" s="24"/>
      <c r="WIY1" s="24"/>
      <c r="WIZ1" s="24"/>
      <c r="WJA1" s="24"/>
      <c r="WJB1" s="24"/>
      <c r="WJC1" s="24"/>
      <c r="WJD1" s="24"/>
      <c r="WJE1" s="24"/>
      <c r="WJF1" s="24"/>
      <c r="WJG1" s="24"/>
      <c r="WJH1" s="24"/>
      <c r="WJI1" s="24"/>
      <c r="WJJ1" s="24"/>
      <c r="WJK1" s="24"/>
      <c r="WJL1" s="24"/>
      <c r="WJM1" s="24"/>
      <c r="WJN1" s="24"/>
      <c r="WJO1" s="24"/>
      <c r="WJP1" s="24"/>
      <c r="WJQ1" s="24"/>
      <c r="WJR1" s="24"/>
      <c r="WJS1" s="24"/>
      <c r="WJT1" s="24"/>
      <c r="WJU1" s="24"/>
      <c r="WJV1" s="24"/>
      <c r="WJW1" s="24"/>
      <c r="WJX1" s="24"/>
      <c r="WJY1" s="24"/>
      <c r="WJZ1" s="24"/>
      <c r="WKA1" s="24"/>
      <c r="WKB1" s="24"/>
      <c r="WKC1" s="24"/>
      <c r="WKD1" s="24"/>
      <c r="WKE1" s="24"/>
      <c r="WKF1" s="24"/>
      <c r="WKG1" s="24"/>
      <c r="WKH1" s="24"/>
      <c r="WKI1" s="24"/>
      <c r="WKJ1" s="24"/>
      <c r="WKK1" s="24"/>
      <c r="WKL1" s="24"/>
      <c r="WKM1" s="24"/>
      <c r="WKN1" s="24"/>
      <c r="WKO1" s="24"/>
      <c r="WKP1" s="24"/>
      <c r="WKQ1" s="24"/>
      <c r="WKR1" s="24"/>
      <c r="WKS1" s="24"/>
      <c r="WKT1" s="24"/>
      <c r="WKU1" s="24"/>
      <c r="WKV1" s="24"/>
      <c r="WKW1" s="24"/>
      <c r="WKX1" s="24"/>
      <c r="WKY1" s="24"/>
      <c r="WKZ1" s="24"/>
      <c r="WLA1" s="24"/>
      <c r="WLB1" s="24"/>
      <c r="WLC1" s="24"/>
      <c r="WLD1" s="24"/>
      <c r="WLE1" s="24"/>
      <c r="WLF1" s="24"/>
      <c r="WLG1" s="24"/>
      <c r="WLH1" s="24"/>
      <c r="WLI1" s="24"/>
      <c r="WLJ1" s="24"/>
      <c r="WLK1" s="24"/>
      <c r="WLL1" s="24"/>
      <c r="WLM1" s="24"/>
      <c r="WLN1" s="24"/>
      <c r="WLO1" s="24"/>
      <c r="WLP1" s="24"/>
      <c r="WLQ1" s="24"/>
      <c r="WLR1" s="24"/>
      <c r="WLS1" s="24"/>
      <c r="WLT1" s="24"/>
      <c r="WLU1" s="24"/>
      <c r="WLV1" s="24"/>
      <c r="WLW1" s="24"/>
      <c r="WLX1" s="24"/>
      <c r="WLY1" s="24"/>
      <c r="WLZ1" s="24"/>
      <c r="WMA1" s="24"/>
      <c r="WMB1" s="24"/>
      <c r="WMC1" s="24"/>
      <c r="WMD1" s="24"/>
      <c r="WME1" s="24"/>
      <c r="WMF1" s="24"/>
      <c r="WMG1" s="24"/>
      <c r="WMH1" s="24"/>
      <c r="WMI1" s="24"/>
      <c r="WMJ1" s="24"/>
      <c r="WMK1" s="24"/>
      <c r="WML1" s="24"/>
      <c r="WMM1" s="24"/>
      <c r="WMN1" s="24"/>
      <c r="WMO1" s="24"/>
      <c r="WMP1" s="24"/>
      <c r="WMQ1" s="24"/>
      <c r="WMR1" s="24"/>
      <c r="WMS1" s="24"/>
      <c r="WMT1" s="24"/>
      <c r="WMU1" s="24"/>
      <c r="WMV1" s="24"/>
      <c r="WMW1" s="24"/>
      <c r="WMX1" s="24"/>
      <c r="WMY1" s="24"/>
      <c r="WMZ1" s="24"/>
      <c r="WNA1" s="24"/>
      <c r="WNB1" s="24"/>
      <c r="WNC1" s="24"/>
      <c r="WND1" s="24"/>
      <c r="WNE1" s="24"/>
      <c r="WNF1" s="24"/>
      <c r="WNG1" s="24"/>
      <c r="WNH1" s="24"/>
      <c r="WNI1" s="24"/>
      <c r="WNJ1" s="24"/>
      <c r="WNK1" s="24"/>
      <c r="WNL1" s="24"/>
      <c r="WNM1" s="24"/>
      <c r="WNN1" s="24"/>
      <c r="WNO1" s="24"/>
      <c r="WNP1" s="24"/>
      <c r="WNQ1" s="24"/>
      <c r="WNR1" s="24"/>
      <c r="WNS1" s="24"/>
      <c r="WNT1" s="24"/>
      <c r="WNU1" s="24"/>
      <c r="WNV1" s="24"/>
      <c r="WNW1" s="24"/>
      <c r="WNX1" s="24"/>
      <c r="WNY1" s="24"/>
      <c r="WNZ1" s="24"/>
      <c r="WOA1" s="24"/>
      <c r="WOB1" s="24"/>
      <c r="WOC1" s="24"/>
      <c r="WOD1" s="24"/>
      <c r="WOE1" s="24"/>
      <c r="WOF1" s="24"/>
      <c r="WOG1" s="24"/>
      <c r="WOH1" s="24"/>
      <c r="WOI1" s="24"/>
      <c r="WOJ1" s="24"/>
      <c r="WOK1" s="24"/>
      <c r="WOL1" s="24"/>
      <c r="WOM1" s="24"/>
      <c r="WON1" s="24"/>
      <c r="WOO1" s="24"/>
      <c r="WOP1" s="24"/>
      <c r="WOQ1" s="24"/>
      <c r="WOR1" s="24"/>
      <c r="WOS1" s="24"/>
      <c r="WOT1" s="24"/>
      <c r="WOU1" s="24"/>
      <c r="WOV1" s="24"/>
      <c r="WOW1" s="24"/>
      <c r="WOX1" s="24"/>
      <c r="WOY1" s="24"/>
      <c r="WOZ1" s="24"/>
      <c r="WPA1" s="24"/>
      <c r="WPB1" s="24"/>
      <c r="WPC1" s="24"/>
      <c r="WPD1" s="24"/>
      <c r="WPE1" s="24"/>
      <c r="WPF1" s="24"/>
      <c r="WPG1" s="24"/>
      <c r="WPH1" s="24"/>
      <c r="WPI1" s="24"/>
      <c r="WPJ1" s="24"/>
      <c r="WPK1" s="24"/>
      <c r="WPL1" s="24"/>
      <c r="WPM1" s="24"/>
      <c r="WPN1" s="24"/>
      <c r="WPO1" s="24"/>
      <c r="WPP1" s="24"/>
      <c r="WPQ1" s="24"/>
      <c r="WPR1" s="24"/>
      <c r="WPS1" s="24"/>
      <c r="WPT1" s="24"/>
      <c r="WPU1" s="24"/>
      <c r="WPV1" s="24"/>
      <c r="WPW1" s="24"/>
      <c r="WPX1" s="24"/>
      <c r="WPY1" s="24"/>
      <c r="WPZ1" s="24"/>
      <c r="WQA1" s="24"/>
      <c r="WQB1" s="24"/>
      <c r="WQC1" s="24"/>
      <c r="WQD1" s="24"/>
      <c r="WQE1" s="24"/>
      <c r="WQF1" s="24"/>
      <c r="WQG1" s="24"/>
      <c r="WQH1" s="24"/>
      <c r="WQI1" s="24"/>
      <c r="WQJ1" s="24"/>
      <c r="WQK1" s="24"/>
      <c r="WQL1" s="24"/>
      <c r="WQM1" s="24"/>
      <c r="WQN1" s="24"/>
      <c r="WQO1" s="24"/>
      <c r="WQP1" s="24"/>
      <c r="WQQ1" s="24"/>
      <c r="WQR1" s="24"/>
      <c r="WQS1" s="24"/>
      <c r="WQT1" s="24"/>
      <c r="WQU1" s="24"/>
      <c r="WQV1" s="24"/>
      <c r="WQW1" s="24"/>
      <c r="WQX1" s="24"/>
      <c r="WQY1" s="24"/>
      <c r="WQZ1" s="24"/>
      <c r="WRA1" s="24"/>
      <c r="WRB1" s="24"/>
      <c r="WRC1" s="24"/>
      <c r="WRD1" s="24"/>
      <c r="WRE1" s="24"/>
      <c r="WRF1" s="24"/>
      <c r="WRG1" s="24"/>
      <c r="WRH1" s="24"/>
      <c r="WRI1" s="24"/>
      <c r="WRJ1" s="24"/>
      <c r="WRK1" s="24"/>
      <c r="WRL1" s="24"/>
      <c r="WRM1" s="24"/>
      <c r="WRN1" s="24"/>
      <c r="WRO1" s="24"/>
      <c r="WRP1" s="24"/>
      <c r="WRQ1" s="24"/>
      <c r="WRR1" s="24"/>
      <c r="WRS1" s="24"/>
      <c r="WRT1" s="24"/>
      <c r="WRU1" s="24"/>
      <c r="WRV1" s="24"/>
      <c r="WRW1" s="24"/>
      <c r="WRX1" s="24"/>
      <c r="WRY1" s="24"/>
      <c r="WRZ1" s="24"/>
      <c r="WSA1" s="24"/>
      <c r="WSB1" s="24"/>
      <c r="WSC1" s="24"/>
      <c r="WSD1" s="24"/>
      <c r="WSE1" s="24"/>
      <c r="WSF1" s="24"/>
      <c r="WSG1" s="24"/>
      <c r="WSH1" s="24"/>
      <c r="WSI1" s="24"/>
      <c r="WSJ1" s="24"/>
      <c r="WSK1" s="24"/>
      <c r="WSL1" s="24"/>
      <c r="WSM1" s="24"/>
      <c r="WSN1" s="24"/>
      <c r="WSO1" s="24"/>
      <c r="WSP1" s="24"/>
      <c r="WSQ1" s="24"/>
      <c r="WSR1" s="24"/>
      <c r="WSS1" s="24"/>
      <c r="WST1" s="24"/>
      <c r="WSU1" s="24"/>
      <c r="WSV1" s="24"/>
      <c r="WSW1" s="24"/>
      <c r="WSX1" s="24"/>
      <c r="WSY1" s="24"/>
      <c r="WSZ1" s="24"/>
      <c r="WTA1" s="24"/>
      <c r="WTB1" s="24"/>
      <c r="WTC1" s="24"/>
      <c r="WTD1" s="24"/>
      <c r="WTE1" s="24"/>
      <c r="WTF1" s="24"/>
      <c r="WTG1" s="24"/>
      <c r="WTH1" s="24"/>
      <c r="WTI1" s="24"/>
      <c r="WTJ1" s="24"/>
      <c r="WTK1" s="24"/>
      <c r="WTL1" s="24"/>
      <c r="WTM1" s="24"/>
      <c r="WTN1" s="24"/>
      <c r="WTO1" s="24"/>
      <c r="WTP1" s="24"/>
      <c r="WTQ1" s="24"/>
      <c r="WTR1" s="24"/>
      <c r="WTS1" s="24"/>
      <c r="WTT1" s="24"/>
      <c r="WTU1" s="24"/>
      <c r="WTV1" s="24"/>
      <c r="WTW1" s="24"/>
      <c r="WTX1" s="24"/>
      <c r="WTY1" s="24"/>
      <c r="WTZ1" s="24"/>
      <c r="WUA1" s="24"/>
      <c r="WUB1" s="24"/>
      <c r="WUC1" s="24"/>
      <c r="WUD1" s="24"/>
      <c r="WUE1" s="24"/>
      <c r="WUF1" s="24"/>
      <c r="WUG1" s="24"/>
      <c r="WUH1" s="24"/>
      <c r="WUI1" s="24"/>
      <c r="WUJ1" s="24"/>
      <c r="WUK1" s="24"/>
      <c r="WUL1" s="24"/>
      <c r="WUM1" s="24"/>
      <c r="WUN1" s="24"/>
      <c r="WUO1" s="24"/>
      <c r="WUP1" s="24"/>
      <c r="WUQ1" s="24"/>
      <c r="WUR1" s="24"/>
      <c r="WUS1" s="24"/>
      <c r="WUT1" s="24"/>
      <c r="WUU1" s="24"/>
      <c r="WUV1" s="24"/>
      <c r="WUW1" s="24"/>
      <c r="WUX1" s="24"/>
      <c r="WUY1" s="24"/>
      <c r="WUZ1" s="24"/>
      <c r="WVA1" s="24"/>
      <c r="WVB1" s="24"/>
      <c r="WVC1" s="24"/>
      <c r="WVD1" s="24"/>
      <c r="WVE1" s="24"/>
      <c r="WVF1" s="24"/>
      <c r="WVG1" s="24"/>
      <c r="WVH1" s="24"/>
      <c r="WVI1" s="24"/>
      <c r="WVJ1" s="24"/>
      <c r="WVK1" s="24"/>
      <c r="WVL1" s="24"/>
      <c r="WVM1" s="24"/>
      <c r="WVN1" s="24"/>
      <c r="WVO1" s="24"/>
      <c r="WVP1" s="24"/>
      <c r="WVQ1" s="24"/>
      <c r="WVR1" s="24"/>
      <c r="WVS1" s="24"/>
      <c r="WVT1" s="24"/>
      <c r="WVU1" s="24"/>
      <c r="WVV1" s="24"/>
      <c r="WVW1" s="24"/>
      <c r="WVX1" s="24"/>
      <c r="WVY1" s="24"/>
      <c r="WVZ1" s="24"/>
      <c r="WWA1" s="24"/>
      <c r="WWB1" s="24"/>
      <c r="WWC1" s="24"/>
      <c r="WWD1" s="24"/>
      <c r="WWE1" s="24"/>
      <c r="WWF1" s="24"/>
      <c r="WWG1" s="24"/>
      <c r="WWH1" s="24"/>
      <c r="WWI1" s="24"/>
      <c r="WWJ1" s="24"/>
      <c r="WWK1" s="24"/>
      <c r="WWL1" s="24"/>
      <c r="WWM1" s="24"/>
      <c r="WWN1" s="24"/>
      <c r="WWO1" s="24"/>
      <c r="WWP1" s="24"/>
      <c r="WWQ1" s="24"/>
      <c r="WWR1" s="24"/>
      <c r="WWS1" s="24"/>
      <c r="WWT1" s="24"/>
      <c r="WWU1" s="24"/>
      <c r="WWV1" s="24"/>
      <c r="WWW1" s="24"/>
      <c r="WWX1" s="24"/>
      <c r="WWY1" s="24"/>
      <c r="WWZ1" s="24"/>
      <c r="WXA1" s="24"/>
      <c r="WXB1" s="24"/>
      <c r="WXC1" s="24"/>
      <c r="WXD1" s="24"/>
      <c r="WXE1" s="24"/>
      <c r="WXF1" s="24"/>
      <c r="WXG1" s="24"/>
      <c r="WXH1" s="24"/>
      <c r="WXI1" s="24"/>
      <c r="WXJ1" s="24"/>
      <c r="WXK1" s="24"/>
      <c r="WXL1" s="24"/>
      <c r="WXM1" s="24"/>
      <c r="WXN1" s="24"/>
      <c r="WXO1" s="24"/>
      <c r="WXP1" s="24"/>
      <c r="WXQ1" s="24"/>
      <c r="WXR1" s="24"/>
      <c r="WXS1" s="24"/>
      <c r="WXT1" s="24"/>
      <c r="WXU1" s="24"/>
      <c r="WXV1" s="24"/>
      <c r="WXW1" s="24"/>
      <c r="WXX1" s="24"/>
      <c r="WXY1" s="24"/>
      <c r="WXZ1" s="24"/>
      <c r="WYA1" s="24"/>
      <c r="WYB1" s="24"/>
      <c r="WYC1" s="24"/>
      <c r="WYD1" s="24"/>
      <c r="WYE1" s="24"/>
      <c r="WYF1" s="24"/>
      <c r="WYG1" s="24"/>
      <c r="WYH1" s="24"/>
      <c r="WYI1" s="24"/>
      <c r="WYJ1" s="24"/>
      <c r="WYK1" s="24"/>
      <c r="WYL1" s="24"/>
      <c r="WYM1" s="24"/>
      <c r="WYN1" s="24"/>
      <c r="WYO1" s="24"/>
      <c r="WYP1" s="24"/>
      <c r="WYQ1" s="24"/>
      <c r="WYR1" s="24"/>
      <c r="WYS1" s="24"/>
      <c r="WYT1" s="24"/>
      <c r="WYU1" s="24"/>
      <c r="WYV1" s="24"/>
      <c r="WYW1" s="24"/>
      <c r="WYX1" s="24"/>
      <c r="WYY1" s="24"/>
      <c r="WYZ1" s="24"/>
      <c r="WZA1" s="24"/>
      <c r="WZB1" s="24"/>
      <c r="WZC1" s="24"/>
      <c r="WZD1" s="24"/>
      <c r="WZE1" s="24"/>
      <c r="WZF1" s="24"/>
      <c r="WZG1" s="24"/>
      <c r="WZH1" s="24"/>
      <c r="WZI1" s="24"/>
      <c r="WZJ1" s="24"/>
      <c r="WZK1" s="24"/>
      <c r="WZL1" s="24"/>
      <c r="WZM1" s="24"/>
      <c r="WZN1" s="24"/>
      <c r="WZO1" s="24"/>
      <c r="WZP1" s="24"/>
      <c r="WZQ1" s="24"/>
      <c r="WZR1" s="24"/>
      <c r="WZS1" s="24"/>
      <c r="WZT1" s="24"/>
      <c r="WZU1" s="24"/>
      <c r="WZV1" s="24"/>
      <c r="WZW1" s="24"/>
      <c r="WZX1" s="24"/>
      <c r="WZY1" s="24"/>
      <c r="WZZ1" s="24"/>
      <c r="XAA1" s="24"/>
      <c r="XAB1" s="24"/>
      <c r="XAC1" s="24"/>
      <c r="XAD1" s="24"/>
      <c r="XAE1" s="24"/>
      <c r="XAF1" s="24"/>
      <c r="XAG1" s="24"/>
      <c r="XAH1" s="24"/>
      <c r="XAI1" s="24"/>
      <c r="XAJ1" s="24"/>
      <c r="XAK1" s="24"/>
      <c r="XAL1" s="24"/>
      <c r="XAM1" s="24"/>
      <c r="XAN1" s="24"/>
      <c r="XAO1" s="24"/>
      <c r="XAP1" s="24"/>
      <c r="XAQ1" s="24"/>
      <c r="XAR1" s="24"/>
      <c r="XAS1" s="24"/>
      <c r="XAT1" s="24"/>
      <c r="XAU1" s="24"/>
      <c r="XAV1" s="24"/>
      <c r="XAW1" s="24"/>
      <c r="XAX1" s="24"/>
      <c r="XAY1" s="24"/>
      <c r="XAZ1" s="24"/>
      <c r="XBA1" s="24"/>
      <c r="XBB1" s="24"/>
      <c r="XBC1" s="24"/>
      <c r="XBD1" s="24"/>
      <c r="XBE1" s="24"/>
      <c r="XBF1" s="24"/>
      <c r="XBG1" s="24"/>
      <c r="XBH1" s="24"/>
      <c r="XBI1" s="24"/>
      <c r="XBJ1" s="24"/>
      <c r="XBK1" s="24"/>
      <c r="XBL1" s="24"/>
      <c r="XBM1" s="24"/>
      <c r="XBN1" s="24"/>
      <c r="XBO1" s="24"/>
      <c r="XBP1" s="24"/>
      <c r="XBQ1" s="24"/>
      <c r="XBR1" s="24"/>
      <c r="XBS1" s="24"/>
      <c r="XBT1" s="24"/>
      <c r="XBU1" s="24"/>
      <c r="XBV1" s="24"/>
      <c r="XBW1" s="24"/>
      <c r="XBX1" s="24"/>
      <c r="XBY1" s="24"/>
      <c r="XBZ1" s="24"/>
      <c r="XCA1" s="24"/>
      <c r="XCB1" s="24"/>
      <c r="XCC1" s="24"/>
      <c r="XCD1" s="24"/>
      <c r="XCE1" s="24"/>
      <c r="XCF1" s="24"/>
      <c r="XCG1" s="24"/>
      <c r="XCH1" s="24"/>
      <c r="XCI1" s="24"/>
      <c r="XCJ1" s="24"/>
      <c r="XCK1" s="24"/>
      <c r="XCL1" s="24"/>
      <c r="XCM1" s="24"/>
      <c r="XCN1" s="24"/>
      <c r="XCO1" s="24"/>
      <c r="XCP1" s="24"/>
      <c r="XCQ1" s="24"/>
      <c r="XCR1" s="24"/>
      <c r="XCS1" s="24"/>
      <c r="XCT1" s="24"/>
      <c r="XCU1" s="24"/>
      <c r="XCV1" s="24"/>
      <c r="XCW1" s="24"/>
      <c r="XCX1" s="24"/>
      <c r="XCY1" s="24"/>
      <c r="XCZ1" s="24"/>
      <c r="XDA1" s="24"/>
      <c r="XDB1" s="24"/>
      <c r="XDC1" s="24"/>
      <c r="XDD1" s="24"/>
      <c r="XDE1" s="24"/>
      <c r="XDF1" s="24"/>
      <c r="XDG1" s="24"/>
      <c r="XDH1" s="24"/>
      <c r="XDI1" s="24"/>
      <c r="XDJ1" s="24"/>
      <c r="XDK1" s="24"/>
      <c r="XDL1" s="24"/>
      <c r="XDM1" s="24"/>
      <c r="XDN1" s="24"/>
      <c r="XDO1" s="24"/>
      <c r="XDP1" s="24"/>
      <c r="XDQ1" s="24"/>
      <c r="XDR1" s="24"/>
      <c r="XDS1" s="24"/>
      <c r="XDT1" s="24"/>
      <c r="XDU1" s="24"/>
      <c r="XDV1" s="24"/>
      <c r="XDW1" s="24"/>
      <c r="XDX1" s="24"/>
      <c r="XDY1" s="24"/>
      <c r="XDZ1" s="24"/>
      <c r="XEA1" s="24"/>
      <c r="XEB1" s="24"/>
      <c r="XEC1" s="24"/>
      <c r="XED1" s="24"/>
      <c r="XEE1" s="24"/>
      <c r="XEF1" s="24"/>
      <c r="XEG1" s="24"/>
      <c r="XEH1" s="24"/>
      <c r="XEI1" s="24"/>
      <c r="XEJ1" s="24"/>
      <c r="XEK1" s="24"/>
      <c r="XEL1" s="24"/>
      <c r="XEM1" s="24"/>
      <c r="XEN1" s="24"/>
      <c r="XEO1" s="24"/>
      <c r="XEP1" s="24"/>
      <c r="XEQ1" s="24"/>
      <c r="XER1" s="24"/>
      <c r="XES1" s="24"/>
      <c r="XET1" s="24"/>
      <c r="XEU1" s="24"/>
      <c r="XEV1" s="24"/>
      <c r="XEW1" s="24"/>
      <c r="XEX1" s="24"/>
      <c r="XEY1" s="24"/>
      <c r="XEZ1" s="24"/>
      <c r="XFA1" s="24"/>
    </row>
    <row r="2" spans="1:16381" ht="25.5" customHeight="1" x14ac:dyDescent="0.2">
      <c r="A2" s="308" t="s">
        <v>2092</v>
      </c>
      <c r="B2" s="308"/>
      <c r="C2" s="308"/>
      <c r="D2" s="308"/>
      <c r="E2" s="308"/>
      <c r="F2" s="308"/>
      <c r="G2" s="308"/>
      <c r="H2" s="308"/>
      <c r="I2" s="308"/>
      <c r="J2" s="308"/>
      <c r="K2" s="308"/>
    </row>
    <row r="4" spans="1:16381" s="692" customFormat="1" ht="26.25" customHeight="1" x14ac:dyDescent="0.25">
      <c r="A4" s="653" t="s">
        <v>0</v>
      </c>
      <c r="B4" s="688" t="s">
        <v>2093</v>
      </c>
      <c r="C4" s="689"/>
      <c r="D4" s="689"/>
      <c r="E4" s="689"/>
      <c r="F4" s="689"/>
      <c r="G4" s="694"/>
      <c r="H4" s="298" t="s">
        <v>2094</v>
      </c>
      <c r="I4" s="298"/>
      <c r="J4" s="298"/>
      <c r="K4" s="298"/>
    </row>
    <row r="5" spans="1:16381" s="692" customFormat="1" ht="21" customHeight="1" x14ac:dyDescent="0.25">
      <c r="A5" s="654"/>
      <c r="B5" s="621">
        <v>2008</v>
      </c>
      <c r="C5" s="621">
        <v>2009</v>
      </c>
      <c r="D5" s="621">
        <v>2010</v>
      </c>
      <c r="E5" s="621">
        <v>2011</v>
      </c>
      <c r="F5" s="621">
        <v>2012</v>
      </c>
      <c r="G5" s="621">
        <v>2013</v>
      </c>
      <c r="H5" s="621">
        <v>2008</v>
      </c>
      <c r="I5" s="621">
        <v>2010</v>
      </c>
      <c r="J5" s="621">
        <v>2012</v>
      </c>
      <c r="K5" s="621" t="s">
        <v>2095</v>
      </c>
    </row>
    <row r="6" spans="1:16381" ht="10.199999999999999" x14ac:dyDescent="0.2">
      <c r="A6" s="24" t="s">
        <v>1127</v>
      </c>
      <c r="B6" s="660">
        <f t="shared" ref="B6:J6" si="0">SUM(B7:B21)</f>
        <v>20</v>
      </c>
      <c r="C6" s="660">
        <f t="shared" si="0"/>
        <v>12</v>
      </c>
      <c r="D6" s="660">
        <f t="shared" si="0"/>
        <v>10</v>
      </c>
      <c r="E6" s="660">
        <f t="shared" si="0"/>
        <v>18</v>
      </c>
      <c r="F6" s="660">
        <f t="shared" si="0"/>
        <v>9</v>
      </c>
      <c r="G6" s="660">
        <f t="shared" si="0"/>
        <v>7</v>
      </c>
      <c r="H6" s="660">
        <f t="shared" si="0"/>
        <v>8</v>
      </c>
      <c r="I6" s="660">
        <f t="shared" si="0"/>
        <v>8</v>
      </c>
      <c r="J6" s="660">
        <f t="shared" si="0"/>
        <v>6</v>
      </c>
      <c r="K6" s="660" t="s">
        <v>193</v>
      </c>
    </row>
    <row r="7" spans="1:16381" ht="10.199999999999999" x14ac:dyDescent="0.2">
      <c r="A7" s="695" t="s">
        <v>4</v>
      </c>
      <c r="B7" s="626">
        <v>0</v>
      </c>
      <c r="C7" s="626">
        <v>1</v>
      </c>
      <c r="D7" s="626">
        <v>0</v>
      </c>
      <c r="E7" s="626">
        <v>1</v>
      </c>
      <c r="F7" s="626">
        <v>0</v>
      </c>
      <c r="G7" s="626">
        <v>0</v>
      </c>
      <c r="H7" s="626">
        <v>0</v>
      </c>
      <c r="I7" s="626">
        <v>1</v>
      </c>
      <c r="J7" s="626">
        <v>0</v>
      </c>
      <c r="K7" s="626" t="s">
        <v>193</v>
      </c>
    </row>
    <row r="8" spans="1:16381" ht="10.199999999999999" x14ac:dyDescent="0.2">
      <c r="A8" s="695" t="s">
        <v>5</v>
      </c>
      <c r="B8" s="626">
        <v>0</v>
      </c>
      <c r="C8" s="626">
        <v>0</v>
      </c>
      <c r="D8" s="626">
        <v>1</v>
      </c>
      <c r="E8" s="626">
        <v>1</v>
      </c>
      <c r="F8" s="626">
        <v>1</v>
      </c>
      <c r="G8" s="626">
        <v>0</v>
      </c>
      <c r="H8" s="626">
        <v>0</v>
      </c>
      <c r="I8" s="626">
        <v>0</v>
      </c>
      <c r="J8" s="626">
        <v>0</v>
      </c>
      <c r="K8" s="626" t="s">
        <v>193</v>
      </c>
    </row>
    <row r="9" spans="1:16381" ht="10.199999999999999" x14ac:dyDescent="0.2">
      <c r="A9" s="695" t="s">
        <v>6</v>
      </c>
      <c r="B9" s="626">
        <v>0</v>
      </c>
      <c r="C9" s="626">
        <v>0</v>
      </c>
      <c r="D9" s="626">
        <v>0</v>
      </c>
      <c r="E9" s="626">
        <v>0</v>
      </c>
      <c r="F9" s="626">
        <v>0</v>
      </c>
      <c r="G9" s="626">
        <v>1</v>
      </c>
      <c r="H9" s="626">
        <v>0</v>
      </c>
      <c r="I9" s="626">
        <v>0</v>
      </c>
      <c r="J9" s="626">
        <v>0</v>
      </c>
      <c r="K9" s="626" t="s">
        <v>193</v>
      </c>
    </row>
    <row r="10" spans="1:16381" ht="10.199999999999999" x14ac:dyDescent="0.2">
      <c r="A10" s="695" t="s">
        <v>7</v>
      </c>
      <c r="B10" s="626">
        <v>0</v>
      </c>
      <c r="C10" s="626">
        <v>0</v>
      </c>
      <c r="D10" s="626">
        <v>0</v>
      </c>
      <c r="E10" s="626">
        <v>0</v>
      </c>
      <c r="F10" s="626">
        <v>0</v>
      </c>
      <c r="G10" s="626">
        <v>0</v>
      </c>
      <c r="H10" s="626">
        <v>0</v>
      </c>
      <c r="I10" s="626">
        <v>0</v>
      </c>
      <c r="J10" s="626">
        <v>0</v>
      </c>
      <c r="K10" s="626" t="s">
        <v>193</v>
      </c>
    </row>
    <row r="11" spans="1:16381" ht="10.199999999999999" x14ac:dyDescent="0.2">
      <c r="A11" s="695" t="s">
        <v>8</v>
      </c>
      <c r="B11" s="626">
        <v>0</v>
      </c>
      <c r="C11" s="626">
        <v>0</v>
      </c>
      <c r="D11" s="626">
        <v>1</v>
      </c>
      <c r="E11" s="626">
        <v>0</v>
      </c>
      <c r="F11" s="626">
        <v>0</v>
      </c>
      <c r="G11" s="626">
        <v>0</v>
      </c>
      <c r="H11" s="626">
        <v>0</v>
      </c>
      <c r="I11" s="626">
        <v>0</v>
      </c>
      <c r="J11" s="626">
        <v>0</v>
      </c>
      <c r="K11" s="626" t="s">
        <v>193</v>
      </c>
    </row>
    <row r="12" spans="1:16381" ht="10.199999999999999" x14ac:dyDescent="0.2">
      <c r="A12" s="695" t="s">
        <v>9</v>
      </c>
      <c r="B12" s="626">
        <v>4</v>
      </c>
      <c r="C12" s="626">
        <v>2</v>
      </c>
      <c r="D12" s="626">
        <v>0</v>
      </c>
      <c r="E12" s="626">
        <v>3</v>
      </c>
      <c r="F12" s="626">
        <v>2</v>
      </c>
      <c r="G12" s="626">
        <v>0</v>
      </c>
      <c r="H12" s="626">
        <v>3</v>
      </c>
      <c r="I12" s="626">
        <v>0</v>
      </c>
      <c r="J12" s="626">
        <v>2</v>
      </c>
      <c r="K12" s="626" t="s">
        <v>193</v>
      </c>
    </row>
    <row r="13" spans="1:16381" ht="10.199999999999999" x14ac:dyDescent="0.2">
      <c r="A13" s="695" t="s">
        <v>10</v>
      </c>
      <c r="B13" s="626">
        <v>4</v>
      </c>
      <c r="C13" s="626">
        <v>4</v>
      </c>
      <c r="D13" s="626">
        <v>2</v>
      </c>
      <c r="E13" s="626">
        <v>3</v>
      </c>
      <c r="F13" s="626">
        <v>1</v>
      </c>
      <c r="G13" s="626">
        <v>1</v>
      </c>
      <c r="H13" s="626">
        <v>2</v>
      </c>
      <c r="I13" s="626">
        <v>1</v>
      </c>
      <c r="J13" s="626">
        <v>2</v>
      </c>
      <c r="K13" s="626" t="s">
        <v>193</v>
      </c>
    </row>
    <row r="14" spans="1:16381" ht="10.199999999999999" x14ac:dyDescent="0.2">
      <c r="A14" s="695" t="s">
        <v>134</v>
      </c>
      <c r="B14" s="626">
        <v>1</v>
      </c>
      <c r="C14" s="626">
        <v>0</v>
      </c>
      <c r="D14" s="626">
        <v>2</v>
      </c>
      <c r="E14" s="626">
        <v>2</v>
      </c>
      <c r="F14" s="626">
        <v>1</v>
      </c>
      <c r="G14" s="626">
        <v>1</v>
      </c>
      <c r="H14" s="626">
        <v>0</v>
      </c>
      <c r="I14" s="626">
        <v>2</v>
      </c>
      <c r="J14" s="626">
        <v>1</v>
      </c>
      <c r="K14" s="626" t="s">
        <v>193</v>
      </c>
    </row>
    <row r="15" spans="1:16381" ht="10.199999999999999" x14ac:dyDescent="0.2">
      <c r="A15" s="695" t="s">
        <v>12</v>
      </c>
      <c r="B15" s="626">
        <v>0</v>
      </c>
      <c r="C15" s="626">
        <v>1</v>
      </c>
      <c r="D15" s="626">
        <v>0</v>
      </c>
      <c r="E15" s="626">
        <v>2</v>
      </c>
      <c r="F15" s="626">
        <v>2</v>
      </c>
      <c r="G15" s="626">
        <v>1</v>
      </c>
      <c r="H15" s="626">
        <v>0</v>
      </c>
      <c r="I15" s="626">
        <v>1</v>
      </c>
      <c r="J15" s="626">
        <v>1</v>
      </c>
      <c r="K15" s="626" t="s">
        <v>193</v>
      </c>
    </row>
    <row r="16" spans="1:16381" ht="10.199999999999999" x14ac:dyDescent="0.2">
      <c r="A16" s="695" t="s">
        <v>13</v>
      </c>
      <c r="B16" s="626">
        <v>0</v>
      </c>
      <c r="C16" s="626">
        <v>0</v>
      </c>
      <c r="D16" s="626">
        <v>2</v>
      </c>
      <c r="E16" s="626">
        <v>2</v>
      </c>
      <c r="F16" s="626">
        <v>0</v>
      </c>
      <c r="G16" s="626">
        <v>1</v>
      </c>
      <c r="H16" s="626">
        <v>0</v>
      </c>
      <c r="I16" s="626">
        <v>1</v>
      </c>
      <c r="J16" s="626">
        <v>0</v>
      </c>
      <c r="K16" s="626" t="s">
        <v>193</v>
      </c>
    </row>
    <row r="17" spans="1:12" ht="10.199999999999999" x14ac:dyDescent="0.2">
      <c r="A17" s="695" t="s">
        <v>47</v>
      </c>
      <c r="B17" s="626">
        <v>8</v>
      </c>
      <c r="C17" s="626">
        <v>1</v>
      </c>
      <c r="D17" s="626">
        <v>0</v>
      </c>
      <c r="E17" s="626">
        <v>1</v>
      </c>
      <c r="F17" s="626">
        <v>1</v>
      </c>
      <c r="G17" s="626">
        <v>1</v>
      </c>
      <c r="H17" s="626">
        <v>3</v>
      </c>
      <c r="I17" s="626">
        <v>1</v>
      </c>
      <c r="J17" s="626">
        <v>0</v>
      </c>
      <c r="K17" s="626" t="s">
        <v>193</v>
      </c>
    </row>
    <row r="18" spans="1:12" ht="10.199999999999999" x14ac:dyDescent="0.2">
      <c r="A18" s="695" t="s">
        <v>135</v>
      </c>
      <c r="B18" s="626">
        <v>1</v>
      </c>
      <c r="C18" s="626">
        <v>2</v>
      </c>
      <c r="D18" s="626">
        <v>0</v>
      </c>
      <c r="E18" s="626">
        <v>1</v>
      </c>
      <c r="F18" s="626">
        <v>1</v>
      </c>
      <c r="G18" s="626">
        <v>0</v>
      </c>
      <c r="H18" s="626">
        <v>0</v>
      </c>
      <c r="I18" s="626">
        <v>1</v>
      </c>
      <c r="J18" s="626">
        <v>0</v>
      </c>
      <c r="K18" s="626" t="s">
        <v>193</v>
      </c>
    </row>
    <row r="19" spans="1:12" ht="10.199999999999999" x14ac:dyDescent="0.2">
      <c r="A19" s="695" t="s">
        <v>136</v>
      </c>
      <c r="B19" s="626">
        <v>2</v>
      </c>
      <c r="C19" s="626">
        <v>1</v>
      </c>
      <c r="D19" s="626">
        <v>1</v>
      </c>
      <c r="E19" s="626">
        <v>2</v>
      </c>
      <c r="F19" s="626">
        <v>0</v>
      </c>
      <c r="G19" s="626">
        <v>1</v>
      </c>
      <c r="H19" s="626">
        <v>0</v>
      </c>
      <c r="I19" s="626">
        <v>0</v>
      </c>
      <c r="J19" s="626">
        <v>0</v>
      </c>
      <c r="K19" s="626" t="s">
        <v>193</v>
      </c>
    </row>
    <row r="20" spans="1:12" ht="10.199999999999999" x14ac:dyDescent="0.2">
      <c r="A20" s="695" t="s">
        <v>17</v>
      </c>
      <c r="B20" s="626">
        <v>0</v>
      </c>
      <c r="C20" s="626">
        <v>0</v>
      </c>
      <c r="D20" s="626">
        <v>0</v>
      </c>
      <c r="E20" s="626">
        <v>0</v>
      </c>
      <c r="F20" s="626">
        <v>0</v>
      </c>
      <c r="G20" s="626">
        <v>0</v>
      </c>
      <c r="H20" s="626">
        <v>0</v>
      </c>
      <c r="I20" s="626">
        <v>0</v>
      </c>
      <c r="J20" s="626">
        <v>0</v>
      </c>
      <c r="K20" s="626" t="s">
        <v>193</v>
      </c>
    </row>
    <row r="21" spans="1:12" ht="10.199999999999999" x14ac:dyDescent="0.2">
      <c r="A21" s="695" t="s">
        <v>18</v>
      </c>
      <c r="B21" s="626">
        <v>0</v>
      </c>
      <c r="C21" s="626">
        <v>0</v>
      </c>
      <c r="D21" s="626">
        <v>1</v>
      </c>
      <c r="E21" s="626">
        <v>0</v>
      </c>
      <c r="F21" s="626">
        <v>0</v>
      </c>
      <c r="G21" s="626">
        <v>0</v>
      </c>
      <c r="H21" s="626">
        <v>0</v>
      </c>
      <c r="I21" s="626">
        <v>0</v>
      </c>
      <c r="J21" s="626">
        <v>0</v>
      </c>
      <c r="K21" s="626" t="s">
        <v>193</v>
      </c>
    </row>
    <row r="22" spans="1:12" ht="10.199999999999999" x14ac:dyDescent="0.2">
      <c r="A22" s="288"/>
      <c r="B22" s="646"/>
      <c r="C22" s="646"/>
      <c r="D22" s="646"/>
      <c r="E22" s="646"/>
      <c r="F22" s="646"/>
      <c r="G22" s="646"/>
      <c r="H22" s="646"/>
      <c r="I22" s="646"/>
      <c r="J22" s="646"/>
      <c r="K22" s="646"/>
    </row>
    <row r="23" spans="1:12" ht="10.199999999999999" x14ac:dyDescent="0.2">
      <c r="A23" s="696" t="s">
        <v>2096</v>
      </c>
      <c r="B23" s="696"/>
      <c r="C23" s="696"/>
      <c r="D23" s="696"/>
      <c r="E23" s="696"/>
      <c r="F23" s="696"/>
      <c r="G23" s="696"/>
      <c r="H23" s="696"/>
      <c r="I23" s="696"/>
      <c r="J23" s="696"/>
      <c r="K23" s="696"/>
    </row>
    <row r="24" spans="1:12" ht="42.75" customHeight="1" x14ac:dyDescent="0.2">
      <c r="A24" s="639" t="s">
        <v>2097</v>
      </c>
      <c r="B24" s="639"/>
      <c r="C24" s="639"/>
      <c r="D24" s="639"/>
      <c r="E24" s="639"/>
      <c r="F24" s="639"/>
      <c r="G24" s="639"/>
      <c r="H24" s="639"/>
      <c r="I24" s="639"/>
      <c r="J24" s="639"/>
      <c r="K24" s="639"/>
    </row>
    <row r="25" spans="1:12" ht="45" customHeight="1" x14ac:dyDescent="0.2">
      <c r="A25" s="639" t="s">
        <v>2098</v>
      </c>
      <c r="B25" s="639"/>
      <c r="C25" s="639"/>
      <c r="D25" s="639"/>
      <c r="E25" s="639"/>
      <c r="F25" s="639"/>
      <c r="G25" s="639"/>
      <c r="H25" s="639"/>
      <c r="I25" s="639"/>
      <c r="J25" s="639"/>
      <c r="K25" s="639"/>
    </row>
    <row r="26" spans="1:12" ht="12.75" customHeight="1" x14ac:dyDescent="0.2">
      <c r="A26" s="697" t="s">
        <v>2099</v>
      </c>
      <c r="B26" s="697"/>
      <c r="C26" s="697"/>
      <c r="D26" s="697"/>
      <c r="E26" s="697"/>
      <c r="F26" s="697"/>
      <c r="G26" s="697"/>
      <c r="H26" s="697"/>
      <c r="I26" s="697"/>
      <c r="J26" s="697"/>
      <c r="K26" s="697"/>
    </row>
    <row r="27" spans="1:12" x14ac:dyDescent="0.25">
      <c r="A27" s="304" t="s">
        <v>19</v>
      </c>
      <c r="B27" s="304"/>
      <c r="C27" s="304"/>
      <c r="D27" s="304"/>
      <c r="E27" s="304"/>
      <c r="F27" s="304"/>
      <c r="G27" s="304"/>
      <c r="H27" s="304"/>
      <c r="I27" s="304"/>
      <c r="J27" s="682"/>
    </row>
    <row r="28" spans="1:12" x14ac:dyDescent="0.25">
      <c r="A28" s="296" t="s">
        <v>2100</v>
      </c>
      <c r="B28" s="296"/>
      <c r="C28" s="682"/>
      <c r="D28" s="682"/>
      <c r="E28" s="682"/>
      <c r="F28" s="682"/>
      <c r="G28" s="682"/>
      <c r="H28" s="682"/>
      <c r="I28" s="682"/>
      <c r="J28" s="682"/>
    </row>
    <row r="29" spans="1:12" ht="10.199999999999999" x14ac:dyDescent="0.2">
      <c r="A29" s="652" t="s">
        <v>2079</v>
      </c>
      <c r="B29" s="652"/>
      <c r="C29" s="652"/>
      <c r="D29" s="652"/>
      <c r="E29" s="652"/>
      <c r="F29" s="652"/>
      <c r="G29" s="652"/>
      <c r="H29" s="652"/>
      <c r="I29" s="652"/>
      <c r="J29" s="652"/>
      <c r="K29" s="652"/>
      <c r="L29" s="652"/>
    </row>
  </sheetData>
  <mergeCells count="11">
    <mergeCell ref="A24:K24"/>
    <mergeCell ref="A25:K25"/>
    <mergeCell ref="A26:K26"/>
    <mergeCell ref="A28:B28"/>
    <mergeCell ref="A29:L29"/>
    <mergeCell ref="A1:K1"/>
    <mergeCell ref="A2:K2"/>
    <mergeCell ref="A4:A5"/>
    <mergeCell ref="B4:G4"/>
    <mergeCell ref="H4:K4"/>
    <mergeCell ref="A23:K23"/>
  </mergeCells>
  <pageMargins left="0.7" right="0.7" top="0.75" bottom="0.75" header="0.3" footer="0.3"/>
  <pageSetup paperSize="14" scale="91" orientation="landscape"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B3E2A-97DA-4989-8888-58796963BE64}">
  <sheetPr codeName="Hoja131"/>
  <dimension ref="A2:L82"/>
  <sheetViews>
    <sheetView zoomScaleNormal="100" workbookViewId="0"/>
  </sheetViews>
  <sheetFormatPr baseColWidth="10" defaultColWidth="11.44140625" defaultRowHeight="10.199999999999999" x14ac:dyDescent="0.2"/>
  <cols>
    <col min="1" max="1" width="7.109375" style="2" customWidth="1"/>
    <col min="2" max="2" width="16.6640625" style="2" customWidth="1"/>
    <col min="3" max="3" width="16.33203125" style="2" customWidth="1"/>
    <col min="4" max="4" width="42.6640625" style="2" customWidth="1"/>
    <col min="5" max="5" width="17.5546875" style="2" customWidth="1"/>
    <col min="6" max="6" width="17.109375" style="2" customWidth="1"/>
    <col min="7" max="7" width="22.6640625" style="2" customWidth="1"/>
    <col min="8" max="16" width="14.6640625" style="2" customWidth="1"/>
    <col min="17" max="16384" width="11.44140625" style="2"/>
  </cols>
  <sheetData>
    <row r="2" spans="1:9" ht="24" customHeight="1" x14ac:dyDescent="0.25">
      <c r="A2" s="620" t="s">
        <v>2101</v>
      </c>
      <c r="B2" s="698"/>
      <c r="C2" s="698"/>
      <c r="D2" s="698"/>
      <c r="E2" s="698"/>
      <c r="F2" s="698"/>
      <c r="G2" s="698"/>
      <c r="I2" s="699"/>
    </row>
    <row r="3" spans="1:9" ht="15.6" x14ac:dyDescent="0.25">
      <c r="A3" s="700"/>
      <c r="B3" s="701"/>
      <c r="C3" s="701"/>
      <c r="D3" s="701"/>
      <c r="E3" s="701"/>
      <c r="F3" s="701"/>
      <c r="G3" s="701"/>
      <c r="I3" s="699"/>
    </row>
    <row r="4" spans="1:9" ht="32.4" x14ac:dyDescent="0.2">
      <c r="A4" s="621" t="s">
        <v>2102</v>
      </c>
      <c r="B4" s="644" t="s">
        <v>2103</v>
      </c>
      <c r="C4" s="644" t="s">
        <v>2104</v>
      </c>
      <c r="D4" s="644" t="s">
        <v>2105</v>
      </c>
      <c r="E4" s="644" t="s">
        <v>2080</v>
      </c>
      <c r="F4" s="644" t="s">
        <v>1413</v>
      </c>
      <c r="G4" s="644" t="s">
        <v>1424</v>
      </c>
      <c r="H4" s="699"/>
    </row>
    <row r="5" spans="1:9" x14ac:dyDescent="0.2">
      <c r="A5" s="665">
        <v>70</v>
      </c>
      <c r="B5" s="665">
        <v>2013</v>
      </c>
      <c r="C5" s="665" t="s">
        <v>193</v>
      </c>
      <c r="D5" s="651" t="s">
        <v>2106</v>
      </c>
      <c r="E5" s="2" t="s">
        <v>2107</v>
      </c>
      <c r="F5" s="2" t="s">
        <v>6</v>
      </c>
      <c r="G5" s="2" t="s">
        <v>1522</v>
      </c>
    </row>
    <row r="6" spans="1:9" x14ac:dyDescent="0.2">
      <c r="A6" s="665">
        <v>71</v>
      </c>
      <c r="B6" s="665">
        <v>2013</v>
      </c>
      <c r="C6" s="665" t="s">
        <v>193</v>
      </c>
      <c r="D6" s="651" t="s">
        <v>2108</v>
      </c>
      <c r="E6" s="2" t="s">
        <v>2109</v>
      </c>
      <c r="F6" s="651" t="s">
        <v>14</v>
      </c>
      <c r="G6" s="651" t="s">
        <v>1470</v>
      </c>
    </row>
    <row r="7" spans="1:9" x14ac:dyDescent="0.2">
      <c r="A7" s="665">
        <v>72</v>
      </c>
      <c r="B7" s="665">
        <v>2013</v>
      </c>
      <c r="C7" s="665" t="s">
        <v>193</v>
      </c>
      <c r="D7" s="651" t="s">
        <v>2110</v>
      </c>
      <c r="E7" s="2" t="s">
        <v>2111</v>
      </c>
      <c r="F7" s="651" t="s">
        <v>1456</v>
      </c>
      <c r="G7" s="651" t="s">
        <v>2112</v>
      </c>
    </row>
    <row r="8" spans="1:9" x14ac:dyDescent="0.2">
      <c r="A8" s="665">
        <v>73</v>
      </c>
      <c r="B8" s="665">
        <v>2013</v>
      </c>
      <c r="C8" s="665" t="s">
        <v>193</v>
      </c>
      <c r="D8" s="651" t="s">
        <v>2113</v>
      </c>
      <c r="E8" s="2" t="s">
        <v>2114</v>
      </c>
      <c r="F8" s="651" t="s">
        <v>16</v>
      </c>
      <c r="G8" s="651" t="s">
        <v>1631</v>
      </c>
    </row>
    <row r="9" spans="1:9" x14ac:dyDescent="0.2">
      <c r="A9" s="665">
        <v>74</v>
      </c>
      <c r="B9" s="665">
        <v>2013</v>
      </c>
      <c r="C9" s="665" t="s">
        <v>193</v>
      </c>
      <c r="D9" s="702" t="s">
        <v>2115</v>
      </c>
      <c r="E9" s="2" t="s">
        <v>2116</v>
      </c>
      <c r="F9" s="651" t="s">
        <v>12</v>
      </c>
      <c r="G9" s="651" t="s">
        <v>920</v>
      </c>
    </row>
    <row r="10" spans="1:9" x14ac:dyDescent="0.2">
      <c r="A10" s="665">
        <v>75</v>
      </c>
      <c r="B10" s="665">
        <v>2013</v>
      </c>
      <c r="C10" s="665" t="s">
        <v>193</v>
      </c>
      <c r="D10" s="651" t="s">
        <v>2117</v>
      </c>
      <c r="E10" s="2" t="s">
        <v>2116</v>
      </c>
      <c r="F10" s="651" t="s">
        <v>12</v>
      </c>
      <c r="G10" s="651" t="s">
        <v>2118</v>
      </c>
    </row>
    <row r="11" spans="1:9" x14ac:dyDescent="0.2">
      <c r="A11" s="665">
        <v>76</v>
      </c>
      <c r="B11" s="665">
        <v>2013</v>
      </c>
      <c r="C11" s="665" t="s">
        <v>193</v>
      </c>
      <c r="D11" s="651" t="s">
        <v>2119</v>
      </c>
      <c r="E11" s="2" t="s">
        <v>2116</v>
      </c>
      <c r="F11" s="651" t="s">
        <v>10</v>
      </c>
      <c r="G11" s="651" t="s">
        <v>916</v>
      </c>
    </row>
    <row r="12" spans="1:9" x14ac:dyDescent="0.2">
      <c r="A12" s="665">
        <v>77</v>
      </c>
      <c r="B12" s="665">
        <v>2013</v>
      </c>
      <c r="C12" s="665" t="s">
        <v>193</v>
      </c>
      <c r="D12" s="651" t="s">
        <v>2120</v>
      </c>
      <c r="E12" s="2" t="s">
        <v>2121</v>
      </c>
      <c r="F12" s="651" t="s">
        <v>10</v>
      </c>
      <c r="G12" s="651" t="s">
        <v>890</v>
      </c>
    </row>
    <row r="13" spans="1:9" x14ac:dyDescent="0.2">
      <c r="A13" s="665">
        <v>78</v>
      </c>
      <c r="B13" s="665">
        <v>2013</v>
      </c>
      <c r="C13" s="665" t="s">
        <v>193</v>
      </c>
      <c r="D13" s="651" t="s">
        <v>2122</v>
      </c>
      <c r="E13" s="2" t="s">
        <v>2111</v>
      </c>
      <c r="F13" s="651" t="s">
        <v>11</v>
      </c>
      <c r="G13" s="651" t="s">
        <v>2123</v>
      </c>
    </row>
    <row r="14" spans="1:9" x14ac:dyDescent="0.2">
      <c r="C14" s="646"/>
    </row>
    <row r="16" spans="1:9" ht="24" customHeight="1" x14ac:dyDescent="0.2">
      <c r="A16" s="703" t="s">
        <v>2096</v>
      </c>
      <c r="B16" s="703"/>
      <c r="C16" s="703"/>
      <c r="D16" s="703"/>
      <c r="E16" s="703"/>
      <c r="F16" s="703"/>
      <c r="G16" s="703"/>
    </row>
    <row r="17" spans="1:12" x14ac:dyDescent="0.2">
      <c r="A17" s="2" t="s">
        <v>2124</v>
      </c>
    </row>
    <row r="18" spans="1:12" ht="10.5" customHeight="1" x14ac:dyDescent="0.2">
      <c r="A18" s="704" t="s">
        <v>2125</v>
      </c>
      <c r="B18" s="704"/>
      <c r="C18" s="704"/>
      <c r="D18" s="704"/>
      <c r="E18" s="704"/>
      <c r="F18" s="704"/>
      <c r="G18" s="704"/>
      <c r="H18" s="705"/>
      <c r="I18" s="705"/>
      <c r="J18" s="705"/>
      <c r="K18" s="705"/>
      <c r="L18" s="705"/>
    </row>
    <row r="19" spans="1:12" ht="10.5" customHeight="1" x14ac:dyDescent="0.2">
      <c r="A19" s="296" t="s">
        <v>2100</v>
      </c>
      <c r="B19" s="296"/>
      <c r="C19" s="296"/>
      <c r="D19" s="682"/>
      <c r="E19" s="682"/>
      <c r="F19" s="682"/>
      <c r="G19" s="682"/>
      <c r="H19" s="705"/>
      <c r="I19" s="705"/>
      <c r="J19" s="705"/>
      <c r="K19" s="705"/>
      <c r="L19" s="705"/>
    </row>
    <row r="20" spans="1:12" ht="10.5" customHeight="1" x14ac:dyDescent="0.2">
      <c r="A20" s="652" t="s">
        <v>2079</v>
      </c>
      <c r="B20" s="652"/>
      <c r="C20" s="652"/>
      <c r="D20" s="652"/>
      <c r="E20" s="652"/>
      <c r="F20" s="652"/>
      <c r="G20" s="652"/>
      <c r="H20" s="652"/>
      <c r="I20" s="652"/>
      <c r="J20" s="652"/>
      <c r="K20" s="652"/>
      <c r="L20" s="652"/>
    </row>
    <row r="22" spans="1:12" x14ac:dyDescent="0.2">
      <c r="C22" s="646"/>
    </row>
    <row r="23" spans="1:12" x14ac:dyDescent="0.2">
      <c r="C23" s="646"/>
    </row>
    <row r="24" spans="1:12" x14ac:dyDescent="0.2">
      <c r="C24" s="646"/>
    </row>
    <row r="25" spans="1:12" x14ac:dyDescent="0.2">
      <c r="C25" s="646"/>
    </row>
    <row r="26" spans="1:12" x14ac:dyDescent="0.2">
      <c r="C26" s="646"/>
    </row>
    <row r="27" spans="1:12" x14ac:dyDescent="0.2">
      <c r="C27" s="646"/>
    </row>
    <row r="28" spans="1:12" x14ac:dyDescent="0.2">
      <c r="C28" s="646"/>
    </row>
    <row r="29" spans="1:12" x14ac:dyDescent="0.2">
      <c r="C29" s="646"/>
    </row>
    <row r="30" spans="1:12" x14ac:dyDescent="0.2">
      <c r="C30" s="646"/>
    </row>
    <row r="31" spans="1:12" x14ac:dyDescent="0.2">
      <c r="C31" s="646"/>
    </row>
    <row r="32" spans="1:12" x14ac:dyDescent="0.2">
      <c r="C32" s="646"/>
    </row>
    <row r="33" spans="3:3" x14ac:dyDescent="0.2">
      <c r="C33" s="646"/>
    </row>
    <row r="34" spans="3:3" x14ac:dyDescent="0.2">
      <c r="C34" s="646"/>
    </row>
    <row r="35" spans="3:3" x14ac:dyDescent="0.2">
      <c r="C35" s="646"/>
    </row>
    <row r="36" spans="3:3" x14ac:dyDescent="0.2">
      <c r="C36" s="646"/>
    </row>
    <row r="37" spans="3:3" x14ac:dyDescent="0.2">
      <c r="C37" s="646"/>
    </row>
    <row r="38" spans="3:3" x14ac:dyDescent="0.2">
      <c r="C38" s="646"/>
    </row>
    <row r="39" spans="3:3" x14ac:dyDescent="0.2">
      <c r="C39" s="646"/>
    </row>
    <row r="40" spans="3:3" x14ac:dyDescent="0.2">
      <c r="C40" s="646"/>
    </row>
    <row r="41" spans="3:3" x14ac:dyDescent="0.2">
      <c r="C41" s="646"/>
    </row>
    <row r="42" spans="3:3" x14ac:dyDescent="0.2">
      <c r="C42" s="646"/>
    </row>
    <row r="43" spans="3:3" x14ac:dyDescent="0.2">
      <c r="C43" s="646"/>
    </row>
    <row r="44" spans="3:3" x14ac:dyDescent="0.2">
      <c r="C44" s="646"/>
    </row>
    <row r="45" spans="3:3" x14ac:dyDescent="0.2">
      <c r="C45" s="646"/>
    </row>
    <row r="46" spans="3:3" x14ac:dyDescent="0.2">
      <c r="C46" s="646"/>
    </row>
    <row r="47" spans="3:3" x14ac:dyDescent="0.2">
      <c r="C47" s="646"/>
    </row>
    <row r="48" spans="3:3" x14ac:dyDescent="0.2">
      <c r="C48" s="646"/>
    </row>
    <row r="49" spans="3:3" x14ac:dyDescent="0.2">
      <c r="C49" s="646"/>
    </row>
    <row r="50" spans="3:3" x14ac:dyDescent="0.2">
      <c r="C50" s="646"/>
    </row>
    <row r="51" spans="3:3" x14ac:dyDescent="0.2">
      <c r="C51" s="646"/>
    </row>
    <row r="52" spans="3:3" x14ac:dyDescent="0.2">
      <c r="C52" s="646"/>
    </row>
    <row r="53" spans="3:3" x14ac:dyDescent="0.2">
      <c r="C53" s="646"/>
    </row>
    <row r="54" spans="3:3" x14ac:dyDescent="0.2">
      <c r="C54" s="646"/>
    </row>
    <row r="55" spans="3:3" x14ac:dyDescent="0.2">
      <c r="C55" s="646"/>
    </row>
    <row r="56" spans="3:3" x14ac:dyDescent="0.2">
      <c r="C56" s="646"/>
    </row>
    <row r="57" spans="3:3" x14ac:dyDescent="0.2">
      <c r="C57" s="646"/>
    </row>
    <row r="58" spans="3:3" x14ac:dyDescent="0.2">
      <c r="C58" s="646"/>
    </row>
    <row r="59" spans="3:3" x14ac:dyDescent="0.2">
      <c r="C59" s="646"/>
    </row>
    <row r="60" spans="3:3" x14ac:dyDescent="0.2">
      <c r="C60" s="646"/>
    </row>
    <row r="61" spans="3:3" x14ac:dyDescent="0.2">
      <c r="C61" s="646"/>
    </row>
    <row r="62" spans="3:3" x14ac:dyDescent="0.2">
      <c r="C62" s="646"/>
    </row>
    <row r="63" spans="3:3" x14ac:dyDescent="0.2">
      <c r="C63" s="646"/>
    </row>
    <row r="64" spans="3:3" x14ac:dyDescent="0.2">
      <c r="C64" s="646"/>
    </row>
    <row r="65" spans="3:3" x14ac:dyDescent="0.2">
      <c r="C65" s="646"/>
    </row>
    <row r="66" spans="3:3" x14ac:dyDescent="0.2">
      <c r="C66" s="646"/>
    </row>
    <row r="67" spans="3:3" x14ac:dyDescent="0.2">
      <c r="C67" s="646"/>
    </row>
    <row r="68" spans="3:3" x14ac:dyDescent="0.2">
      <c r="C68" s="646"/>
    </row>
    <row r="69" spans="3:3" x14ac:dyDescent="0.2">
      <c r="C69" s="646"/>
    </row>
    <row r="70" spans="3:3" x14ac:dyDescent="0.2">
      <c r="C70" s="646"/>
    </row>
    <row r="71" spans="3:3" x14ac:dyDescent="0.2">
      <c r="C71" s="646"/>
    </row>
    <row r="72" spans="3:3" x14ac:dyDescent="0.2">
      <c r="C72" s="646"/>
    </row>
    <row r="73" spans="3:3" x14ac:dyDescent="0.2">
      <c r="C73" s="646"/>
    </row>
    <row r="74" spans="3:3" x14ac:dyDescent="0.2">
      <c r="C74" s="646"/>
    </row>
    <row r="75" spans="3:3" x14ac:dyDescent="0.2">
      <c r="C75" s="646"/>
    </row>
    <row r="76" spans="3:3" x14ac:dyDescent="0.2">
      <c r="C76" s="646"/>
    </row>
    <row r="77" spans="3:3" x14ac:dyDescent="0.2">
      <c r="C77" s="646"/>
    </row>
    <row r="78" spans="3:3" x14ac:dyDescent="0.2">
      <c r="C78" s="646"/>
    </row>
    <row r="79" spans="3:3" x14ac:dyDescent="0.2">
      <c r="C79" s="646"/>
    </row>
    <row r="80" spans="3:3" x14ac:dyDescent="0.2">
      <c r="C80" s="646"/>
    </row>
    <row r="82" spans="1:7" x14ac:dyDescent="0.2">
      <c r="A82" s="309"/>
      <c r="B82" s="309"/>
      <c r="C82" s="309"/>
      <c r="D82" s="309"/>
      <c r="E82" s="309"/>
      <c r="F82" s="309"/>
      <c r="G82" s="309"/>
    </row>
  </sheetData>
  <mergeCells count="5">
    <mergeCell ref="A2:G2"/>
    <mergeCell ref="A16:G16"/>
    <mergeCell ref="A18:G18"/>
    <mergeCell ref="A19:C19"/>
    <mergeCell ref="A20:L20"/>
  </mergeCells>
  <pageMargins left="0.7" right="0.7" top="0.75" bottom="0.75" header="0.3" footer="0.3"/>
  <pageSetup paperSize="14" orientation="landscape"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76CE3-2EB5-414D-9459-ADE35FAFD48B}">
  <sheetPr codeName="Hoja132">
    <tabColor theme="8"/>
  </sheetPr>
  <dimension ref="A2:A9"/>
  <sheetViews>
    <sheetView zoomScaleNormal="100" workbookViewId="0">
      <selection activeCell="A9" sqref="A9"/>
    </sheetView>
  </sheetViews>
  <sheetFormatPr baseColWidth="10" defaultColWidth="11.44140625" defaultRowHeight="10.199999999999999" x14ac:dyDescent="0.2"/>
  <cols>
    <col min="1" max="16384" width="11.44140625" style="2"/>
  </cols>
  <sheetData>
    <row r="2" spans="1:1" ht="15" customHeight="1" x14ac:dyDescent="0.2">
      <c r="A2" s="24" t="s">
        <v>2126</v>
      </c>
    </row>
    <row r="4" spans="1:1" x14ac:dyDescent="0.2">
      <c r="A4" s="182" t="s">
        <v>2127</v>
      </c>
    </row>
    <row r="5" spans="1:1" x14ac:dyDescent="0.2">
      <c r="A5" s="182" t="s">
        <v>2128</v>
      </c>
    </row>
    <row r="6" spans="1:1" x14ac:dyDescent="0.2">
      <c r="A6" s="182" t="s">
        <v>2129</v>
      </c>
    </row>
    <row r="7" spans="1:1" x14ac:dyDescent="0.2">
      <c r="A7" s="182" t="s">
        <v>2130</v>
      </c>
    </row>
    <row r="8" spans="1:1" x14ac:dyDescent="0.2">
      <c r="A8" s="182" t="s">
        <v>2131</v>
      </c>
    </row>
    <row r="9" spans="1:1" x14ac:dyDescent="0.2">
      <c r="A9" s="182" t="s">
        <v>2132</v>
      </c>
    </row>
  </sheetData>
  <hyperlinks>
    <hyperlink ref="A4" location="'3.3-01'!A1" display="CUADRO 3.3-01: NÚMERO DE AUTORES ASOCIADOS A LA SOCIEDAD DE CREADORES DE IMAGEN FIJA (CREAIMAGEN) POR SEXO, SEGÚN REGIÓN. 2013" xr:uid="{447A14F6-E575-4A60-8822-A27A70034BD3}"/>
    <hyperlink ref="A5" location="'3.3-02'!A1" display="CUADRO 3.3-02: NÚMERO DE SOCIOS INCORPORADOS A LA SOCIEDAD DE CREADORES DE IMAGEN FIJA (CREAIMAGEN) POR SEXO, SEGÚN REGIÓN. 2013" xr:uid="{B15BB208-6263-4A95-905D-F7E331698B56}"/>
    <hyperlink ref="A6" location="'3.3-03'!A1" display="CUADRO 3.3-03: NÚMERO DE AUTORES AFILIADOS A LA SOCIEDAD DE CREADORES DE IMAGEN FIJA (CREAIMAGEN) QUE GENERARON DERECHOS EN CHILE Y EN EL EXTRANJERO. 2009-2013" xr:uid="{2A7F9D16-724C-404B-BD06-365451FB842B}"/>
    <hyperlink ref="A7" location="'3.3-04'!A1" display="CUADRO 3.3-04: NÚMERO DE AUTORIZACIONES REGISTRADAS POR LA SOCIEDAD DE CREADORES DE IMAGEN FIJA (CREAIMAGEN) SOBRE USO DE IMAGEN FIJA, CONCEDIDAS EN CHILE Y EN EL EXTRANJERO. 2009 - 2013" xr:uid="{13898799-3A3A-4311-AD93-F1DC8E6C1B83}"/>
    <hyperlink ref="A8" location="'3.3-05'!A1" display="CUADRO 3.3-05: RECAUDACIÓN DE DERECHOS DE AUTOR POR LA SOCIEDAD DE CREADORES DE IMAGEN FIJA (CREAIMAGEN), SEGÚN ORIGEN DE LA OBRA Y DE LA RECAUDACIÓN (NACIONAL Y EXTRANJERA). 2009-2013" xr:uid="{01C2A9EC-4F61-4F20-AD0B-E520B4CB173A}"/>
    <hyperlink ref="A9" location="'3.3-06'!A1" display="CUADRO 3.3-06: DISTRIBUCIÓN DE DERECHOS DE AUTOR POR LA SOCIEDAD DE CREADORES DE IMAGEN FIJA (CREAIMAGEN), SEGÚN ORIGEN DE LA OBRA Y DE LA RECAUDACIÓN (NACIONAL Y EXTRANJERA). 2009-2013" xr:uid="{D6DC643A-7DE3-4B96-96DF-B1667B2950E8}"/>
  </hyperlinks>
  <pageMargins left="0.7" right="0.7" top="0.75" bottom="0.75" header="0.3" footer="0.3"/>
  <pageSetup paperSize="14" orientation="portrait"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731DB-5469-4898-98F3-327576648D9E}">
  <sheetPr codeName="Hoja133"/>
  <dimension ref="A1:S26"/>
  <sheetViews>
    <sheetView zoomScaleNormal="100" workbookViewId="0">
      <selection activeCell="C21" sqref="C21"/>
    </sheetView>
  </sheetViews>
  <sheetFormatPr baseColWidth="10" defaultRowHeight="13.2" x14ac:dyDescent="0.25"/>
  <cols>
    <col min="1" max="1" width="18.6640625" customWidth="1"/>
  </cols>
  <sheetData>
    <row r="1" spans="1:19" s="2" customFormat="1" ht="10.199999999999999" x14ac:dyDescent="0.2">
      <c r="A1" s="691"/>
    </row>
    <row r="2" spans="1:19" s="2" customFormat="1" ht="32.25" customHeight="1" x14ac:dyDescent="0.2">
      <c r="A2" s="463" t="s">
        <v>2127</v>
      </c>
      <c r="B2" s="463"/>
      <c r="C2" s="463"/>
      <c r="D2" s="463"/>
      <c r="I2" s="706"/>
    </row>
    <row r="3" spans="1:19" s="2" customFormat="1" ht="10.199999999999999" x14ac:dyDescent="0.2">
      <c r="A3" s="706"/>
      <c r="B3" s="706"/>
      <c r="I3" s="706"/>
    </row>
    <row r="4" spans="1:19" s="2" customFormat="1" ht="14.25" customHeight="1" x14ac:dyDescent="0.2">
      <c r="A4" s="114" t="s">
        <v>0</v>
      </c>
      <c r="B4" s="707" t="s">
        <v>42</v>
      </c>
      <c r="C4" s="685" t="s">
        <v>2133</v>
      </c>
      <c r="D4" s="685"/>
      <c r="I4" s="706"/>
      <c r="J4" s="24"/>
      <c r="K4" s="24"/>
    </row>
    <row r="5" spans="1:19" s="2" customFormat="1" ht="14.25" customHeight="1" x14ac:dyDescent="0.2">
      <c r="A5" s="708"/>
      <c r="B5" s="709"/>
      <c r="C5" s="688" t="s">
        <v>2065</v>
      </c>
      <c r="D5" s="694"/>
      <c r="I5" s="706"/>
      <c r="J5" s="24"/>
      <c r="K5" s="24"/>
    </row>
    <row r="6" spans="1:19" s="324" customFormat="1" ht="14.25" customHeight="1" x14ac:dyDescent="0.25">
      <c r="A6" s="115"/>
      <c r="B6" s="710"/>
      <c r="C6" s="453" t="s">
        <v>122</v>
      </c>
      <c r="D6" s="453" t="s">
        <v>123</v>
      </c>
      <c r="E6" s="692"/>
      <c r="F6" s="692"/>
      <c r="G6" s="692"/>
      <c r="I6" s="711"/>
      <c r="J6" s="711"/>
      <c r="K6" s="711"/>
      <c r="L6" s="692"/>
      <c r="M6" s="692"/>
      <c r="N6" s="692"/>
      <c r="O6" s="692"/>
      <c r="P6" s="692"/>
      <c r="Q6" s="692"/>
      <c r="R6" s="692"/>
      <c r="S6" s="692"/>
    </row>
    <row r="7" spans="1:19" s="2" customFormat="1" ht="10.199999999999999" x14ac:dyDescent="0.2">
      <c r="A7" s="712" t="s">
        <v>3</v>
      </c>
      <c r="B7" s="713">
        <f t="shared" ref="B7:B22" si="0">SUM(C7:D7)</f>
        <v>347</v>
      </c>
      <c r="C7" s="660">
        <f>SUM(C8:C22)</f>
        <v>237</v>
      </c>
      <c r="D7" s="660">
        <f>SUM(D8:D22)</f>
        <v>110</v>
      </c>
      <c r="E7" s="24"/>
      <c r="F7" s="24"/>
      <c r="G7" s="24"/>
      <c r="I7" s="712"/>
      <c r="J7" s="24"/>
      <c r="K7" s="24"/>
      <c r="L7" s="24"/>
      <c r="M7" s="24"/>
      <c r="N7" s="24"/>
    </row>
    <row r="8" spans="1:19" s="2" customFormat="1" ht="10.199999999999999" x14ac:dyDescent="0.2">
      <c r="A8" s="505" t="s">
        <v>4</v>
      </c>
      <c r="B8" s="713">
        <f t="shared" si="0"/>
        <v>0</v>
      </c>
      <c r="C8" s="626">
        <v>0</v>
      </c>
      <c r="D8" s="626">
        <v>0</v>
      </c>
      <c r="E8" s="24"/>
      <c r="F8" s="24"/>
      <c r="G8" s="24"/>
      <c r="I8" s="288"/>
      <c r="J8" s="24"/>
      <c r="K8" s="24"/>
      <c r="L8" s="24"/>
      <c r="M8" s="24"/>
      <c r="N8" s="24"/>
    </row>
    <row r="9" spans="1:19" s="2" customFormat="1" ht="10.199999999999999" x14ac:dyDescent="0.2">
      <c r="A9" s="505" t="s">
        <v>5</v>
      </c>
      <c r="B9" s="713">
        <f t="shared" si="0"/>
        <v>1</v>
      </c>
      <c r="C9" s="626">
        <v>1</v>
      </c>
      <c r="D9" s="626">
        <v>0</v>
      </c>
      <c r="E9" s="24"/>
      <c r="F9" s="24"/>
      <c r="G9" s="24"/>
      <c r="I9" s="288"/>
      <c r="J9" s="24"/>
      <c r="K9" s="24"/>
      <c r="L9" s="24"/>
      <c r="M9" s="24"/>
      <c r="N9" s="24"/>
    </row>
    <row r="10" spans="1:19" s="2" customFormat="1" ht="10.199999999999999" x14ac:dyDescent="0.2">
      <c r="A10" s="505" t="s">
        <v>6</v>
      </c>
      <c r="B10" s="713">
        <f t="shared" si="0"/>
        <v>0</v>
      </c>
      <c r="C10" s="626">
        <v>0</v>
      </c>
      <c r="D10" s="626">
        <v>0</v>
      </c>
      <c r="E10" s="24"/>
      <c r="F10" s="24"/>
      <c r="G10" s="24"/>
      <c r="I10" s="288"/>
      <c r="J10" s="24"/>
      <c r="K10" s="24"/>
      <c r="L10" s="24"/>
      <c r="M10" s="24"/>
      <c r="N10" s="24"/>
      <c r="O10" s="24"/>
      <c r="P10" s="24"/>
      <c r="Q10" s="24"/>
      <c r="R10" s="24"/>
      <c r="S10" s="24"/>
    </row>
    <row r="11" spans="1:19" s="2" customFormat="1" ht="10.199999999999999" x14ac:dyDescent="0.2">
      <c r="A11" s="505" t="s">
        <v>7</v>
      </c>
      <c r="B11" s="713">
        <f t="shared" si="0"/>
        <v>0</v>
      </c>
      <c r="C11" s="626">
        <v>0</v>
      </c>
      <c r="D11" s="626">
        <v>0</v>
      </c>
      <c r="E11" s="24"/>
      <c r="F11" s="24"/>
      <c r="G11" s="24"/>
      <c r="I11" s="288"/>
      <c r="J11" s="24"/>
      <c r="K11" s="24"/>
      <c r="L11" s="24"/>
      <c r="M11" s="24"/>
      <c r="N11" s="24"/>
      <c r="O11" s="24"/>
      <c r="P11" s="24"/>
      <c r="Q11" s="24"/>
      <c r="R11" s="24"/>
      <c r="S11" s="24"/>
    </row>
    <row r="12" spans="1:19" s="2" customFormat="1" ht="10.199999999999999" x14ac:dyDescent="0.2">
      <c r="A12" s="505" t="s">
        <v>8</v>
      </c>
      <c r="B12" s="713">
        <f t="shared" si="0"/>
        <v>2</v>
      </c>
      <c r="C12" s="626">
        <v>0</v>
      </c>
      <c r="D12" s="626">
        <v>2</v>
      </c>
      <c r="E12" s="24"/>
      <c r="F12" s="24"/>
      <c r="G12" s="24"/>
      <c r="I12" s="288"/>
      <c r="J12" s="24"/>
      <c r="K12" s="24"/>
      <c r="L12" s="24"/>
      <c r="M12" s="24"/>
      <c r="N12" s="24"/>
      <c r="O12" s="24"/>
      <c r="P12" s="24"/>
      <c r="Q12" s="24"/>
      <c r="R12" s="24"/>
      <c r="S12" s="24"/>
    </row>
    <row r="13" spans="1:19" s="2" customFormat="1" ht="10.199999999999999" x14ac:dyDescent="0.2">
      <c r="A13" s="505" t="s">
        <v>9</v>
      </c>
      <c r="B13" s="713">
        <f t="shared" si="0"/>
        <v>9</v>
      </c>
      <c r="C13" s="626">
        <v>4</v>
      </c>
      <c r="D13" s="626">
        <v>5</v>
      </c>
      <c r="E13" s="24"/>
      <c r="F13" s="24"/>
      <c r="G13" s="24"/>
      <c r="I13" s="288"/>
      <c r="J13" s="24"/>
      <c r="K13" s="24"/>
      <c r="L13" s="24"/>
      <c r="M13" s="24"/>
      <c r="N13" s="24"/>
      <c r="O13" s="24"/>
      <c r="P13" s="24"/>
      <c r="Q13" s="24"/>
      <c r="R13" s="24"/>
      <c r="S13" s="24"/>
    </row>
    <row r="14" spans="1:19" s="2" customFormat="1" ht="10.199999999999999" x14ac:dyDescent="0.2">
      <c r="A14" s="505" t="s">
        <v>10</v>
      </c>
      <c r="B14" s="713">
        <f t="shared" si="0"/>
        <v>331</v>
      </c>
      <c r="C14" s="626">
        <v>228</v>
      </c>
      <c r="D14" s="626">
        <v>103</v>
      </c>
      <c r="E14" s="24"/>
      <c r="F14" s="24"/>
      <c r="G14" s="24"/>
      <c r="I14" s="288"/>
      <c r="J14" s="24"/>
      <c r="K14" s="24"/>
      <c r="L14" s="24"/>
      <c r="M14" s="24"/>
      <c r="N14" s="24"/>
      <c r="O14" s="24"/>
      <c r="P14" s="24"/>
      <c r="Q14" s="24"/>
      <c r="R14" s="24"/>
      <c r="S14" s="24"/>
    </row>
    <row r="15" spans="1:19" s="2" customFormat="1" ht="10.199999999999999" x14ac:dyDescent="0.2">
      <c r="A15" s="505" t="s">
        <v>134</v>
      </c>
      <c r="B15" s="713">
        <f t="shared" si="0"/>
        <v>0</v>
      </c>
      <c r="C15" s="626">
        <v>0</v>
      </c>
      <c r="D15" s="626">
        <v>0</v>
      </c>
      <c r="E15" s="24"/>
      <c r="F15" s="24"/>
      <c r="G15" s="24"/>
      <c r="I15" s="288"/>
      <c r="J15" s="24"/>
      <c r="K15" s="24"/>
      <c r="L15" s="24"/>
      <c r="M15" s="24"/>
      <c r="N15" s="24"/>
      <c r="O15" s="24"/>
      <c r="P15" s="24"/>
      <c r="Q15" s="24"/>
      <c r="R15" s="24"/>
      <c r="S15" s="24"/>
    </row>
    <row r="16" spans="1:19" s="2" customFormat="1" ht="10.199999999999999" x14ac:dyDescent="0.2">
      <c r="A16" s="505" t="s">
        <v>12</v>
      </c>
      <c r="B16" s="713">
        <f t="shared" si="0"/>
        <v>0</v>
      </c>
      <c r="C16" s="626">
        <v>0</v>
      </c>
      <c r="D16" s="626">
        <v>0</v>
      </c>
      <c r="E16" s="24"/>
      <c r="F16" s="24"/>
      <c r="G16" s="24"/>
      <c r="I16" s="288"/>
      <c r="J16" s="24"/>
      <c r="K16" s="24"/>
      <c r="L16" s="24"/>
      <c r="M16" s="24"/>
      <c r="N16" s="24"/>
      <c r="O16" s="24"/>
      <c r="P16" s="24"/>
      <c r="Q16" s="24"/>
      <c r="R16" s="24"/>
      <c r="S16" s="24"/>
    </row>
    <row r="17" spans="1:19" s="2" customFormat="1" ht="10.199999999999999" x14ac:dyDescent="0.2">
      <c r="A17" s="505" t="s">
        <v>13</v>
      </c>
      <c r="B17" s="713">
        <f t="shared" si="0"/>
        <v>0</v>
      </c>
      <c r="C17" s="626">
        <v>0</v>
      </c>
      <c r="D17" s="626">
        <v>0</v>
      </c>
      <c r="E17" s="24"/>
      <c r="F17" s="24"/>
      <c r="G17" s="24"/>
      <c r="I17" s="288"/>
      <c r="J17" s="24"/>
      <c r="K17" s="24"/>
      <c r="L17" s="24"/>
      <c r="M17" s="24"/>
      <c r="N17" s="24"/>
      <c r="O17" s="24"/>
      <c r="P17" s="24"/>
      <c r="Q17" s="24"/>
      <c r="R17" s="24"/>
      <c r="S17" s="24"/>
    </row>
    <row r="18" spans="1:19" s="2" customFormat="1" ht="10.199999999999999" x14ac:dyDescent="0.2">
      <c r="A18" s="505" t="s">
        <v>47</v>
      </c>
      <c r="B18" s="713">
        <f t="shared" si="0"/>
        <v>1</v>
      </c>
      <c r="C18" s="626">
        <v>1</v>
      </c>
      <c r="D18" s="626">
        <v>0</v>
      </c>
      <c r="E18" s="24"/>
      <c r="F18" s="24"/>
      <c r="G18" s="24"/>
      <c r="I18" s="288"/>
      <c r="J18" s="24"/>
      <c r="K18" s="24"/>
      <c r="L18" s="24"/>
      <c r="M18" s="24"/>
      <c r="N18" s="24"/>
      <c r="O18" s="24"/>
      <c r="P18" s="24"/>
      <c r="Q18" s="24"/>
      <c r="R18" s="24"/>
      <c r="S18" s="24"/>
    </row>
    <row r="19" spans="1:19" s="2" customFormat="1" ht="10.199999999999999" x14ac:dyDescent="0.2">
      <c r="A19" s="505" t="s">
        <v>135</v>
      </c>
      <c r="B19" s="713">
        <f t="shared" si="0"/>
        <v>0</v>
      </c>
      <c r="C19" s="626">
        <v>0</v>
      </c>
      <c r="D19" s="626">
        <v>0</v>
      </c>
      <c r="E19" s="24"/>
      <c r="F19" s="24"/>
      <c r="G19" s="24"/>
      <c r="I19" s="288"/>
      <c r="J19" s="24"/>
      <c r="K19" s="24"/>
      <c r="L19" s="24"/>
      <c r="M19" s="24"/>
      <c r="N19" s="24"/>
      <c r="O19" s="24"/>
      <c r="P19" s="24"/>
      <c r="Q19" s="24"/>
      <c r="R19" s="24"/>
      <c r="S19" s="24"/>
    </row>
    <row r="20" spans="1:19" s="2" customFormat="1" ht="10.199999999999999" x14ac:dyDescent="0.2">
      <c r="A20" s="505" t="s">
        <v>136</v>
      </c>
      <c r="B20" s="713">
        <f t="shared" si="0"/>
        <v>2</v>
      </c>
      <c r="C20" s="626">
        <v>2</v>
      </c>
      <c r="D20" s="626">
        <v>0</v>
      </c>
      <c r="E20" s="24"/>
      <c r="F20" s="24"/>
      <c r="G20" s="24"/>
      <c r="I20" s="288"/>
      <c r="J20" s="24"/>
      <c r="K20" s="24"/>
      <c r="L20" s="24"/>
      <c r="M20" s="24"/>
      <c r="N20" s="24"/>
      <c r="O20" s="24"/>
      <c r="P20" s="24"/>
      <c r="Q20" s="24"/>
      <c r="R20" s="24"/>
      <c r="S20" s="24"/>
    </row>
    <row r="21" spans="1:19" s="2" customFormat="1" ht="10.199999999999999" x14ac:dyDescent="0.2">
      <c r="A21" s="505" t="s">
        <v>17</v>
      </c>
      <c r="B21" s="713">
        <f t="shared" si="0"/>
        <v>0</v>
      </c>
      <c r="C21" s="626">
        <v>0</v>
      </c>
      <c r="D21" s="626">
        <v>0</v>
      </c>
      <c r="E21" s="24"/>
      <c r="F21" s="24"/>
      <c r="G21" s="24"/>
      <c r="I21" s="288"/>
      <c r="J21" s="24"/>
      <c r="K21" s="24"/>
      <c r="L21" s="24"/>
      <c r="M21" s="24"/>
      <c r="N21" s="24"/>
      <c r="O21" s="24"/>
      <c r="P21" s="24"/>
      <c r="Q21" s="24"/>
      <c r="R21" s="24"/>
      <c r="S21" s="24"/>
    </row>
    <row r="22" spans="1:19" s="2" customFormat="1" ht="10.199999999999999" x14ac:dyDescent="0.2">
      <c r="A22" s="505" t="s">
        <v>18</v>
      </c>
      <c r="B22" s="713">
        <f t="shared" si="0"/>
        <v>1</v>
      </c>
      <c r="C22" s="626">
        <v>1</v>
      </c>
      <c r="D22" s="626">
        <v>0</v>
      </c>
      <c r="E22" s="24"/>
      <c r="F22" s="24"/>
      <c r="G22" s="24"/>
      <c r="I22" s="288"/>
      <c r="J22" s="24"/>
      <c r="K22" s="24"/>
      <c r="L22" s="24"/>
      <c r="M22" s="24"/>
      <c r="N22" s="24"/>
      <c r="O22" s="24"/>
      <c r="P22" s="24"/>
      <c r="Q22" s="24"/>
      <c r="R22" s="24"/>
      <c r="S22" s="24"/>
    </row>
    <row r="23" spans="1:19" s="2" customFormat="1" ht="6" customHeight="1" x14ac:dyDescent="0.2">
      <c r="A23" s="288"/>
      <c r="B23" s="288"/>
      <c r="E23" s="24"/>
      <c r="F23" s="24"/>
      <c r="G23" s="24"/>
      <c r="I23" s="288"/>
      <c r="J23" s="24"/>
      <c r="K23" s="24"/>
      <c r="L23" s="24"/>
      <c r="M23" s="24"/>
      <c r="N23" s="24"/>
      <c r="O23" s="24"/>
      <c r="P23" s="24"/>
      <c r="Q23" s="24"/>
      <c r="R23" s="24"/>
      <c r="S23" s="24"/>
    </row>
    <row r="24" spans="1:19" s="714" customFormat="1" ht="11.25" customHeight="1" x14ac:dyDescent="0.2">
      <c r="A24" s="296" t="s">
        <v>19</v>
      </c>
      <c r="B24" s="296"/>
      <c r="C24" s="296"/>
      <c r="D24" s="296"/>
      <c r="E24" s="304"/>
      <c r="F24" s="304"/>
      <c r="G24" s="304"/>
      <c r="H24" s="304"/>
      <c r="I24" s="304"/>
      <c r="J24" s="304"/>
      <c r="K24" s="304"/>
      <c r="L24" s="304"/>
      <c r="M24" s="304"/>
      <c r="N24" s="304"/>
    </row>
    <row r="25" spans="1:19" s="2" customFormat="1" ht="10.199999999999999" x14ac:dyDescent="0.2">
      <c r="A25" s="715" t="s">
        <v>2134</v>
      </c>
      <c r="B25" s="715"/>
      <c r="C25" s="715"/>
      <c r="D25" s="715"/>
      <c r="I25" s="141"/>
    </row>
    <row r="26" spans="1:19" s="2" customFormat="1" ht="10.199999999999999" x14ac:dyDescent="0.2">
      <c r="A26" s="141"/>
      <c r="B26" s="141"/>
    </row>
  </sheetData>
  <mergeCells count="7">
    <mergeCell ref="A25:D25"/>
    <mergeCell ref="A2:D2"/>
    <mergeCell ref="A4:A6"/>
    <mergeCell ref="B4:B6"/>
    <mergeCell ref="C4:D4"/>
    <mergeCell ref="C5:D5"/>
    <mergeCell ref="A24:D24"/>
  </mergeCells>
  <pageMargins left="0.7" right="0.7" top="0.75" bottom="0.75" header="0.3" footer="0.3"/>
  <pageSetup paperSize="14" orientation="portrait" verticalDpi="300"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E6BA2-C0C8-47C6-BF4E-66ABBB1189EC}">
  <sheetPr codeName="Hoja134"/>
  <dimension ref="A1:S30"/>
  <sheetViews>
    <sheetView zoomScaleNormal="100" workbookViewId="0">
      <selection activeCell="C21" sqref="C21"/>
    </sheetView>
  </sheetViews>
  <sheetFormatPr baseColWidth="10" defaultRowHeight="13.2" x14ac:dyDescent="0.25"/>
  <cols>
    <col min="1" max="1" width="18.5546875" customWidth="1"/>
  </cols>
  <sheetData>
    <row r="1" spans="1:19" ht="15.6" x14ac:dyDescent="0.25">
      <c r="A1" s="687"/>
    </row>
    <row r="2" spans="1:19" s="2" customFormat="1" ht="33.75" customHeight="1" x14ac:dyDescent="0.2">
      <c r="A2" s="463" t="s">
        <v>2128</v>
      </c>
      <c r="B2" s="463"/>
      <c r="C2" s="463"/>
      <c r="D2" s="463"/>
      <c r="J2" s="141"/>
      <c r="P2" s="309"/>
      <c r="Q2" s="309"/>
      <c r="R2" s="309"/>
      <c r="S2" s="309"/>
    </row>
    <row r="3" spans="1:19" s="2" customFormat="1" ht="10.199999999999999" x14ac:dyDescent="0.2">
      <c r="A3" s="706"/>
      <c r="B3" s="706"/>
      <c r="J3" s="141"/>
    </row>
    <row r="4" spans="1:19" s="324" customFormat="1" ht="14.25" customHeight="1" x14ac:dyDescent="0.25">
      <c r="A4" s="716" t="s">
        <v>0</v>
      </c>
      <c r="B4" s="114" t="s">
        <v>42</v>
      </c>
      <c r="C4" s="323" t="s">
        <v>2135</v>
      </c>
      <c r="D4" s="323"/>
      <c r="J4" s="717"/>
    </row>
    <row r="5" spans="1:19" s="324" customFormat="1" ht="14.25" customHeight="1" x14ac:dyDescent="0.25">
      <c r="A5" s="716"/>
      <c r="B5" s="708"/>
      <c r="C5" s="688" t="s">
        <v>2065</v>
      </c>
      <c r="D5" s="694"/>
      <c r="J5" s="717"/>
    </row>
    <row r="6" spans="1:19" s="324" customFormat="1" ht="14.25" customHeight="1" x14ac:dyDescent="0.25">
      <c r="A6" s="716"/>
      <c r="B6" s="115"/>
      <c r="C6" s="453" t="s">
        <v>122</v>
      </c>
      <c r="D6" s="453" t="s">
        <v>123</v>
      </c>
      <c r="J6" s="717"/>
      <c r="K6" s="717"/>
      <c r="L6" s="717"/>
    </row>
    <row r="7" spans="1:19" s="2" customFormat="1" ht="10.199999999999999" x14ac:dyDescent="0.2">
      <c r="A7" s="712" t="s">
        <v>3</v>
      </c>
      <c r="B7" s="713">
        <f t="shared" ref="B7:B22" si="0">SUM(C7:D7)</f>
        <v>6</v>
      </c>
      <c r="C7" s="622">
        <v>3</v>
      </c>
      <c r="D7" s="622">
        <v>3</v>
      </c>
      <c r="J7" s="714"/>
    </row>
    <row r="8" spans="1:19" s="2" customFormat="1" ht="12.75" customHeight="1" x14ac:dyDescent="0.2">
      <c r="A8" s="301" t="s">
        <v>4</v>
      </c>
      <c r="B8" s="713">
        <f t="shared" si="0"/>
        <v>0</v>
      </c>
      <c r="C8" s="315">
        <v>0</v>
      </c>
      <c r="D8" s="315">
        <v>0</v>
      </c>
      <c r="J8" s="288"/>
    </row>
    <row r="9" spans="1:19" s="2" customFormat="1" ht="12.75" customHeight="1" x14ac:dyDescent="0.2">
      <c r="A9" s="301" t="s">
        <v>5</v>
      </c>
      <c r="B9" s="713">
        <f t="shared" si="0"/>
        <v>0</v>
      </c>
      <c r="C9" s="315">
        <v>0</v>
      </c>
      <c r="D9" s="315">
        <v>0</v>
      </c>
      <c r="J9" s="288"/>
    </row>
    <row r="10" spans="1:19" s="2" customFormat="1" ht="12.75" customHeight="1" x14ac:dyDescent="0.2">
      <c r="A10" s="301" t="s">
        <v>6</v>
      </c>
      <c r="B10" s="713">
        <f t="shared" si="0"/>
        <v>0</v>
      </c>
      <c r="C10" s="315">
        <v>0</v>
      </c>
      <c r="D10" s="315">
        <v>0</v>
      </c>
      <c r="J10" s="288"/>
    </row>
    <row r="11" spans="1:19" s="2" customFormat="1" ht="12.75" customHeight="1" x14ac:dyDescent="0.2">
      <c r="A11" s="301" t="s">
        <v>7</v>
      </c>
      <c r="B11" s="713">
        <f t="shared" si="0"/>
        <v>0</v>
      </c>
      <c r="C11" s="315">
        <v>0</v>
      </c>
      <c r="D11" s="315">
        <v>0</v>
      </c>
      <c r="J11" s="288"/>
    </row>
    <row r="12" spans="1:19" s="2" customFormat="1" ht="12.75" customHeight="1" x14ac:dyDescent="0.2">
      <c r="A12" s="301" t="s">
        <v>8</v>
      </c>
      <c r="B12" s="713">
        <f t="shared" si="0"/>
        <v>0</v>
      </c>
      <c r="C12" s="315">
        <v>0</v>
      </c>
      <c r="D12" s="315">
        <v>0</v>
      </c>
      <c r="J12" s="288"/>
    </row>
    <row r="13" spans="1:19" s="2" customFormat="1" ht="12.75" customHeight="1" x14ac:dyDescent="0.2">
      <c r="A13" s="301" t="s">
        <v>9</v>
      </c>
      <c r="B13" s="713">
        <f t="shared" si="0"/>
        <v>0</v>
      </c>
      <c r="C13" s="315">
        <v>0</v>
      </c>
      <c r="D13" s="315">
        <v>0</v>
      </c>
      <c r="J13" s="288"/>
    </row>
    <row r="14" spans="1:19" s="2" customFormat="1" ht="12.75" customHeight="1" x14ac:dyDescent="0.2">
      <c r="A14" s="301" t="s">
        <v>10</v>
      </c>
      <c r="B14" s="713">
        <f t="shared" si="0"/>
        <v>6</v>
      </c>
      <c r="C14" s="315">
        <v>3</v>
      </c>
      <c r="D14" s="315">
        <v>3</v>
      </c>
      <c r="J14" s="288"/>
    </row>
    <row r="15" spans="1:19" s="2" customFormat="1" ht="12.75" customHeight="1" x14ac:dyDescent="0.2">
      <c r="A15" s="301" t="s">
        <v>134</v>
      </c>
      <c r="B15" s="713">
        <f t="shared" si="0"/>
        <v>0</v>
      </c>
      <c r="C15" s="315">
        <v>0</v>
      </c>
      <c r="D15" s="315">
        <v>0</v>
      </c>
      <c r="J15" s="288"/>
    </row>
    <row r="16" spans="1:19" s="2" customFormat="1" ht="12.75" customHeight="1" x14ac:dyDescent="0.2">
      <c r="A16" s="301" t="s">
        <v>12</v>
      </c>
      <c r="B16" s="713">
        <f t="shared" si="0"/>
        <v>0</v>
      </c>
      <c r="C16" s="315">
        <v>0</v>
      </c>
      <c r="D16" s="315">
        <v>0</v>
      </c>
      <c r="J16" s="288"/>
    </row>
    <row r="17" spans="1:14" s="2" customFormat="1" ht="12.75" customHeight="1" x14ac:dyDescent="0.2">
      <c r="A17" s="301" t="s">
        <v>13</v>
      </c>
      <c r="B17" s="713">
        <f t="shared" si="0"/>
        <v>0</v>
      </c>
      <c r="C17" s="315">
        <v>0</v>
      </c>
      <c r="D17" s="315">
        <v>0</v>
      </c>
      <c r="J17" s="288"/>
    </row>
    <row r="18" spans="1:14" s="2" customFormat="1" ht="12.75" customHeight="1" x14ac:dyDescent="0.2">
      <c r="A18" s="301" t="s">
        <v>47</v>
      </c>
      <c r="B18" s="713">
        <f t="shared" si="0"/>
        <v>0</v>
      </c>
      <c r="C18" s="315">
        <v>0</v>
      </c>
      <c r="D18" s="315">
        <v>0</v>
      </c>
      <c r="J18" s="288"/>
    </row>
    <row r="19" spans="1:14" s="2" customFormat="1" ht="12.75" customHeight="1" x14ac:dyDescent="0.2">
      <c r="A19" s="301" t="s">
        <v>135</v>
      </c>
      <c r="B19" s="713">
        <f t="shared" si="0"/>
        <v>0</v>
      </c>
      <c r="C19" s="315">
        <v>0</v>
      </c>
      <c r="D19" s="315">
        <v>0</v>
      </c>
      <c r="J19" s="288"/>
    </row>
    <row r="20" spans="1:14" s="2" customFormat="1" ht="12.75" customHeight="1" x14ac:dyDescent="0.2">
      <c r="A20" s="301" t="s">
        <v>136</v>
      </c>
      <c r="B20" s="713">
        <f t="shared" si="0"/>
        <v>0</v>
      </c>
      <c r="C20" s="315">
        <v>0</v>
      </c>
      <c r="D20" s="315">
        <v>0</v>
      </c>
      <c r="J20" s="288"/>
    </row>
    <row r="21" spans="1:14" s="2" customFormat="1" ht="12.75" customHeight="1" x14ac:dyDescent="0.2">
      <c r="A21" s="301" t="s">
        <v>17</v>
      </c>
      <c r="B21" s="713">
        <f t="shared" si="0"/>
        <v>0</v>
      </c>
      <c r="C21" s="315">
        <v>0</v>
      </c>
      <c r="D21" s="315">
        <v>0</v>
      </c>
      <c r="J21" s="288"/>
    </row>
    <row r="22" spans="1:14" s="2" customFormat="1" ht="12.75" customHeight="1" x14ac:dyDescent="0.2">
      <c r="A22" s="301" t="s">
        <v>18</v>
      </c>
      <c r="B22" s="713">
        <f t="shared" si="0"/>
        <v>0</v>
      </c>
      <c r="C22" s="315">
        <v>0</v>
      </c>
      <c r="D22" s="315">
        <v>0</v>
      </c>
      <c r="J22" s="288"/>
    </row>
    <row r="23" spans="1:14" s="2" customFormat="1" ht="7.5" customHeight="1" x14ac:dyDescent="0.2">
      <c r="A23" s="288"/>
      <c r="B23" s="288"/>
      <c r="C23" s="24"/>
      <c r="D23" s="24"/>
      <c r="J23" s="288"/>
    </row>
    <row r="24" spans="1:14" s="714" customFormat="1" ht="11.25" customHeight="1" x14ac:dyDescent="0.2">
      <c r="A24" s="296" t="s">
        <v>19</v>
      </c>
      <c r="B24" s="296"/>
      <c r="C24" s="296"/>
      <c r="D24" s="296"/>
      <c r="E24" s="296"/>
      <c r="F24" s="296"/>
      <c r="G24" s="296"/>
      <c r="H24" s="296"/>
      <c r="I24" s="296"/>
      <c r="J24" s="296"/>
      <c r="K24" s="296"/>
      <c r="L24" s="296"/>
      <c r="M24" s="296"/>
      <c r="N24" s="296"/>
    </row>
    <row r="25" spans="1:14" s="2" customFormat="1" ht="10.199999999999999" x14ac:dyDescent="0.2">
      <c r="A25" s="715" t="s">
        <v>2134</v>
      </c>
      <c r="B25" s="715"/>
      <c r="C25" s="715"/>
      <c r="D25" s="715"/>
      <c r="J25" s="141"/>
    </row>
    <row r="26" spans="1:14" s="2" customFormat="1" ht="10.199999999999999" x14ac:dyDescent="0.2">
      <c r="A26" s="718"/>
      <c r="B26" s="718"/>
      <c r="C26" s="718"/>
      <c r="D26" s="718"/>
      <c r="J26" s="141"/>
    </row>
    <row r="30" spans="1:14" x14ac:dyDescent="0.25">
      <c r="A30" s="338"/>
    </row>
  </sheetData>
  <mergeCells count="7">
    <mergeCell ref="A25:D25"/>
    <mergeCell ref="A2:D2"/>
    <mergeCell ref="A4:A6"/>
    <mergeCell ref="B4:B6"/>
    <mergeCell ref="C4:D4"/>
    <mergeCell ref="C5:D5"/>
    <mergeCell ref="A24:N24"/>
  </mergeCells>
  <pageMargins left="0.7" right="0.7" top="0.75" bottom="0.75" header="0.3" footer="0.3"/>
  <pageSetup paperSize="14" orientation="portrait"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4D57A-E943-4F05-B202-FA5123E34684}">
  <sheetPr codeName="Hoja135"/>
  <dimension ref="A1:N11"/>
  <sheetViews>
    <sheetView zoomScaleNormal="100" workbookViewId="0">
      <selection activeCell="C21" sqref="C21"/>
    </sheetView>
  </sheetViews>
  <sheetFormatPr baseColWidth="10" defaultRowHeight="13.2" x14ac:dyDescent="0.25"/>
  <cols>
    <col min="1" max="1" width="25.109375" customWidth="1"/>
  </cols>
  <sheetData>
    <row r="1" spans="1:14" s="2" customFormat="1" ht="10.199999999999999" x14ac:dyDescent="0.2">
      <c r="A1" s="691"/>
      <c r="B1" s="718"/>
      <c r="C1" s="718"/>
      <c r="D1" s="718"/>
      <c r="J1" s="141"/>
    </row>
    <row r="2" spans="1:14" s="2" customFormat="1" ht="31.5" customHeight="1" x14ac:dyDescent="0.2">
      <c r="A2" s="236" t="s">
        <v>2129</v>
      </c>
      <c r="B2" s="236"/>
      <c r="C2" s="236"/>
      <c r="D2" s="236"/>
      <c r="E2" s="236"/>
      <c r="F2" s="236"/>
    </row>
    <row r="3" spans="1:14" s="2" customFormat="1" ht="10.199999999999999" x14ac:dyDescent="0.2">
      <c r="A3" s="24"/>
      <c r="B3" s="24"/>
    </row>
    <row r="4" spans="1:14" s="2" customFormat="1" ht="15.75" customHeight="1" x14ac:dyDescent="0.2">
      <c r="A4" s="275" t="s">
        <v>2136</v>
      </c>
      <c r="B4" s="323" t="s">
        <v>98</v>
      </c>
      <c r="C4" s="323"/>
      <c r="D4" s="323"/>
      <c r="E4" s="323"/>
      <c r="F4" s="323"/>
      <c r="I4" s="665"/>
    </row>
    <row r="5" spans="1:14" s="2" customFormat="1" ht="15.75" customHeight="1" x14ac:dyDescent="0.2">
      <c r="A5" s="277"/>
      <c r="B5" s="719">
        <v>2009</v>
      </c>
      <c r="C5" s="719">
        <v>2010</v>
      </c>
      <c r="D5" s="719">
        <v>2011</v>
      </c>
      <c r="E5" s="719">
        <v>2012</v>
      </c>
      <c r="F5" s="719">
        <v>2013</v>
      </c>
      <c r="I5" s="665"/>
    </row>
    <row r="6" spans="1:14" s="2" customFormat="1" ht="10.199999999999999" x14ac:dyDescent="0.2">
      <c r="A6" s="712" t="s">
        <v>3</v>
      </c>
      <c r="B6" s="24">
        <f>SUM(B7:B8)</f>
        <v>47</v>
      </c>
      <c r="C6" s="24">
        <f>SUM(C7:C8)</f>
        <v>81</v>
      </c>
      <c r="D6" s="24">
        <f>SUM(D7:D8)</f>
        <v>26</v>
      </c>
      <c r="E6" s="24">
        <f>SUM(E7:E8)</f>
        <v>16</v>
      </c>
      <c r="F6" s="24">
        <f>SUM(F7:F8)</f>
        <v>33</v>
      </c>
      <c r="H6" s="714"/>
    </row>
    <row r="7" spans="1:14" s="2" customFormat="1" ht="10.199999999999999" x14ac:dyDescent="0.2">
      <c r="A7" s="141" t="s">
        <v>1227</v>
      </c>
      <c r="B7" s="2">
        <v>45</v>
      </c>
      <c r="C7" s="2">
        <v>46</v>
      </c>
      <c r="D7" s="2">
        <v>18</v>
      </c>
      <c r="E7" s="2">
        <v>10</v>
      </c>
      <c r="F7" s="2">
        <v>12</v>
      </c>
      <c r="H7" s="141"/>
    </row>
    <row r="8" spans="1:14" s="2" customFormat="1" ht="10.199999999999999" x14ac:dyDescent="0.2">
      <c r="A8" s="141" t="s">
        <v>976</v>
      </c>
      <c r="B8" s="2">
        <v>2</v>
      </c>
      <c r="C8" s="2">
        <v>35</v>
      </c>
      <c r="D8" s="2">
        <v>8</v>
      </c>
      <c r="E8" s="2">
        <v>6</v>
      </c>
      <c r="F8" s="2">
        <v>21</v>
      </c>
      <c r="H8" s="141"/>
    </row>
    <row r="9" spans="1:14" s="2" customFormat="1" ht="6" customHeight="1" x14ac:dyDescent="0.2">
      <c r="A9" s="141"/>
      <c r="H9" s="141"/>
    </row>
    <row r="10" spans="1:14" s="2" customFormat="1" ht="10.199999999999999" x14ac:dyDescent="0.2">
      <c r="A10" s="715" t="s">
        <v>2134</v>
      </c>
      <c r="B10" s="715"/>
      <c r="C10" s="715"/>
      <c r="D10" s="715"/>
      <c r="E10" s="715"/>
      <c r="F10" s="715"/>
      <c r="H10" s="141"/>
    </row>
    <row r="11" spans="1:14" s="2" customFormat="1" ht="10.199999999999999" x14ac:dyDescent="0.2">
      <c r="A11" s="141"/>
      <c r="B11" s="141"/>
      <c r="M11" s="336"/>
      <c r="N11" s="141"/>
    </row>
  </sheetData>
  <mergeCells count="4">
    <mergeCell ref="A2:F2"/>
    <mergeCell ref="A4:A5"/>
    <mergeCell ref="B4:F4"/>
    <mergeCell ref="A10:F10"/>
  </mergeCells>
  <pageMargins left="0.7" right="0.7" top="0.75" bottom="0.75" header="0.3" footer="0.3"/>
  <pageSetup paperSize="14" orientation="portrait"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218B7-C32C-4603-9F6E-91690C8E7899}">
  <sheetPr codeName="Hoja136"/>
  <dimension ref="A1:M14"/>
  <sheetViews>
    <sheetView zoomScaleNormal="100" workbookViewId="0">
      <selection activeCell="C21" sqref="C21"/>
    </sheetView>
  </sheetViews>
  <sheetFormatPr baseColWidth="10" defaultRowHeight="13.2" x14ac:dyDescent="0.25"/>
  <cols>
    <col min="1" max="1" width="32.44140625" customWidth="1"/>
  </cols>
  <sheetData>
    <row r="1" spans="1:13" s="2" customFormat="1" ht="10.199999999999999" x14ac:dyDescent="0.2">
      <c r="A1" s="691"/>
    </row>
    <row r="2" spans="1:13" s="2" customFormat="1" ht="35.25" customHeight="1" x14ac:dyDescent="0.2">
      <c r="A2" s="45" t="s">
        <v>2130</v>
      </c>
      <c r="B2" s="45"/>
      <c r="C2" s="45"/>
      <c r="D2" s="45"/>
      <c r="E2" s="45"/>
      <c r="F2" s="45"/>
      <c r="G2" s="624"/>
    </row>
    <row r="3" spans="1:13" s="2" customFormat="1" ht="12" customHeight="1" x14ac:dyDescent="0.2">
      <c r="A3" s="720"/>
      <c r="B3" s="720"/>
      <c r="C3" s="720"/>
      <c r="D3" s="720"/>
      <c r="E3" s="720"/>
      <c r="F3" s="720"/>
      <c r="G3" s="624"/>
    </row>
    <row r="4" spans="1:13" s="2" customFormat="1" ht="12.75" customHeight="1" x14ac:dyDescent="0.2">
      <c r="A4" s="114" t="s">
        <v>2137</v>
      </c>
      <c r="B4" s="685" t="s">
        <v>98</v>
      </c>
      <c r="C4" s="685"/>
      <c r="D4" s="685"/>
      <c r="E4" s="685"/>
      <c r="F4" s="685"/>
    </row>
    <row r="5" spans="1:13" s="2" customFormat="1" ht="21.75" customHeight="1" x14ac:dyDescent="0.2">
      <c r="A5" s="115"/>
      <c r="B5" s="621">
        <v>2009</v>
      </c>
      <c r="C5" s="621">
        <v>2010</v>
      </c>
      <c r="D5" s="621">
        <v>2011</v>
      </c>
      <c r="E5" s="621">
        <v>2012</v>
      </c>
      <c r="F5" s="621">
        <v>2013</v>
      </c>
      <c r="J5" s="665"/>
      <c r="K5" s="665"/>
      <c r="L5" s="665"/>
      <c r="M5" s="665"/>
    </row>
    <row r="6" spans="1:13" s="2" customFormat="1" ht="15.75" customHeight="1" x14ac:dyDescent="0.2">
      <c r="A6" s="721" t="s">
        <v>3</v>
      </c>
      <c r="B6" s="24">
        <f>SUM(B7:B8)</f>
        <v>10</v>
      </c>
      <c r="C6" s="24">
        <f>SUM(C7:C8)</f>
        <v>14</v>
      </c>
      <c r="D6" s="24">
        <f>SUM(D7:D8)</f>
        <v>26</v>
      </c>
      <c r="E6" s="24">
        <f>SUM(E7:E8)</f>
        <v>16</v>
      </c>
      <c r="F6" s="24">
        <f>SUM(F7:F8)</f>
        <v>17</v>
      </c>
      <c r="H6" s="141"/>
    </row>
    <row r="7" spans="1:13" s="2" customFormat="1" ht="15.75" customHeight="1" x14ac:dyDescent="0.2">
      <c r="A7" s="722" t="s">
        <v>2138</v>
      </c>
      <c r="B7" s="2">
        <v>10</v>
      </c>
      <c r="C7" s="2">
        <v>14</v>
      </c>
      <c r="D7" s="2">
        <v>26</v>
      </c>
      <c r="E7" s="2">
        <v>16</v>
      </c>
      <c r="F7" s="2">
        <v>15</v>
      </c>
      <c r="H7" s="141"/>
      <c r="I7" s="141"/>
    </row>
    <row r="8" spans="1:13" s="2" customFormat="1" ht="15.75" customHeight="1" x14ac:dyDescent="0.2">
      <c r="A8" s="722" t="s">
        <v>2139</v>
      </c>
      <c r="B8" s="315">
        <v>0</v>
      </c>
      <c r="C8" s="315">
        <v>0</v>
      </c>
      <c r="D8" s="315">
        <v>0</v>
      </c>
      <c r="E8" s="315">
        <v>0</v>
      </c>
      <c r="F8" s="2">
        <v>2</v>
      </c>
      <c r="H8" s="141"/>
      <c r="I8" s="141"/>
    </row>
    <row r="9" spans="1:13" s="2" customFormat="1" ht="10.199999999999999" x14ac:dyDescent="0.2">
      <c r="A9" s="141"/>
      <c r="B9" s="24"/>
      <c r="H9" s="141"/>
    </row>
    <row r="10" spans="1:13" s="324" customFormat="1" ht="15" customHeight="1" x14ac:dyDescent="0.25">
      <c r="A10" s="723" t="s">
        <v>2140</v>
      </c>
      <c r="B10" s="723"/>
      <c r="C10" s="723"/>
      <c r="D10" s="723"/>
      <c r="E10" s="723"/>
      <c r="F10" s="723"/>
      <c r="I10" s="717"/>
    </row>
    <row r="11" spans="1:13" s="324" customFormat="1" ht="42" customHeight="1" x14ac:dyDescent="0.25">
      <c r="A11" s="704" t="s">
        <v>2141</v>
      </c>
      <c r="B11" s="704"/>
      <c r="C11" s="704"/>
      <c r="D11" s="704"/>
      <c r="E11" s="704"/>
      <c r="F11" s="704"/>
      <c r="G11" s="705"/>
      <c r="J11" s="705"/>
    </row>
    <row r="12" spans="1:13" s="724" customFormat="1" ht="11.25" customHeight="1" x14ac:dyDescent="0.25">
      <c r="A12" s="296" t="s">
        <v>19</v>
      </c>
      <c r="B12" s="296"/>
      <c r="C12" s="296"/>
      <c r="D12" s="296"/>
      <c r="E12" s="296"/>
      <c r="F12" s="296"/>
      <c r="G12" s="304"/>
      <c r="H12" s="304"/>
      <c r="I12" s="304"/>
      <c r="J12" s="304"/>
      <c r="K12" s="304"/>
      <c r="L12" s="304"/>
      <c r="M12" s="304"/>
    </row>
    <row r="13" spans="1:13" s="324" customFormat="1" ht="10.65" customHeight="1" x14ac:dyDescent="0.25">
      <c r="A13" s="723" t="s">
        <v>2134</v>
      </c>
      <c r="B13" s="723"/>
      <c r="C13" s="723"/>
      <c r="D13" s="723"/>
      <c r="E13" s="723"/>
      <c r="F13" s="723"/>
      <c r="G13" s="717"/>
      <c r="I13" s="717"/>
    </row>
    <row r="14" spans="1:13" s="2" customFormat="1" ht="10.199999999999999" x14ac:dyDescent="0.2"/>
  </sheetData>
  <mergeCells count="7">
    <mergeCell ref="A13:F13"/>
    <mergeCell ref="A2:F2"/>
    <mergeCell ref="A4:A5"/>
    <mergeCell ref="B4:F4"/>
    <mergeCell ref="A10:F10"/>
    <mergeCell ref="A11:F11"/>
    <mergeCell ref="A12:F12"/>
  </mergeCells>
  <pageMargins left="0.7" right="0.7" top="0.75" bottom="0.75" header="0.3" footer="0.3"/>
  <pageSetup paperSize="14" orientation="portrait"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E2D3C-47E4-484B-9A7E-0F47173EA442}">
  <sheetPr codeName="Hoja137"/>
  <dimension ref="A1:S13"/>
  <sheetViews>
    <sheetView zoomScaleNormal="100" workbookViewId="0">
      <selection activeCell="C21" sqref="C21"/>
    </sheetView>
  </sheetViews>
  <sheetFormatPr baseColWidth="10" defaultRowHeight="13.2" x14ac:dyDescent="0.25"/>
  <cols>
    <col min="1" max="1" width="18.44140625" customWidth="1"/>
    <col min="2" max="2" width="14.33203125" bestFit="1" customWidth="1"/>
    <col min="3" max="3" width="13.33203125" bestFit="1" customWidth="1"/>
    <col min="4" max="5" width="14.33203125" bestFit="1" customWidth="1"/>
    <col min="6" max="6" width="13.33203125" bestFit="1" customWidth="1"/>
  </cols>
  <sheetData>
    <row r="1" spans="1:19" ht="15.6" x14ac:dyDescent="0.25">
      <c r="A1" s="687"/>
    </row>
    <row r="2" spans="1:19" s="324" customFormat="1" ht="35.25" customHeight="1" x14ac:dyDescent="0.25">
      <c r="A2" s="725" t="s">
        <v>2131</v>
      </c>
      <c r="B2" s="725"/>
      <c r="C2" s="725"/>
      <c r="D2" s="725"/>
      <c r="E2" s="725"/>
      <c r="F2" s="725"/>
      <c r="G2" s="726"/>
      <c r="J2" s="717"/>
      <c r="P2" s="705"/>
      <c r="Q2" s="705"/>
      <c r="R2" s="705"/>
      <c r="S2" s="705"/>
    </row>
    <row r="3" spans="1:19" s="2" customFormat="1" ht="10.199999999999999" x14ac:dyDescent="0.2">
      <c r="A3" s="141"/>
      <c r="B3" s="141"/>
      <c r="J3" s="141"/>
    </row>
    <row r="4" spans="1:19" s="2" customFormat="1" ht="16.5" customHeight="1" x14ac:dyDescent="0.2">
      <c r="A4" s="114" t="s">
        <v>2142</v>
      </c>
      <c r="B4" s="688" t="s">
        <v>98</v>
      </c>
      <c r="C4" s="689"/>
      <c r="D4" s="689"/>
      <c r="E4" s="689"/>
      <c r="F4" s="694"/>
      <c r="I4" s="141"/>
    </row>
    <row r="5" spans="1:19" s="2" customFormat="1" ht="16.5" customHeight="1" x14ac:dyDescent="0.2">
      <c r="A5" s="115"/>
      <c r="B5" s="621" t="s">
        <v>2143</v>
      </c>
      <c r="C5" s="621">
        <v>2010</v>
      </c>
      <c r="D5" s="621">
        <v>2011</v>
      </c>
      <c r="E5" s="621">
        <v>2012</v>
      </c>
      <c r="F5" s="621">
        <v>2013</v>
      </c>
      <c r="I5" s="141"/>
    </row>
    <row r="6" spans="1:19" s="2" customFormat="1" ht="12" x14ac:dyDescent="0.2">
      <c r="A6" s="722" t="s">
        <v>2144</v>
      </c>
      <c r="B6" s="727">
        <v>11681179</v>
      </c>
      <c r="C6" s="728">
        <v>6395220</v>
      </c>
      <c r="D6" s="728">
        <v>14511852</v>
      </c>
      <c r="E6" s="728">
        <v>15076109</v>
      </c>
      <c r="F6" s="729">
        <v>5907195</v>
      </c>
      <c r="I6" s="141"/>
      <c r="J6" s="730"/>
      <c r="K6" s="643"/>
      <c r="L6" s="643"/>
      <c r="M6" s="643"/>
      <c r="O6" s="643"/>
      <c r="P6" s="643"/>
      <c r="Q6" s="643"/>
    </row>
    <row r="7" spans="1:19" s="2" customFormat="1" ht="23.4" x14ac:dyDescent="0.3">
      <c r="A7" s="722" t="s">
        <v>2145</v>
      </c>
      <c r="B7" s="731">
        <v>45</v>
      </c>
      <c r="C7" s="727">
        <v>5940138</v>
      </c>
      <c r="D7" s="727">
        <v>1561336</v>
      </c>
      <c r="E7" s="727">
        <v>1917304</v>
      </c>
      <c r="F7" s="729">
        <v>632322</v>
      </c>
      <c r="I7" s="141"/>
      <c r="J7" s="732"/>
      <c r="K7" s="650"/>
      <c r="L7" s="650"/>
      <c r="M7" s="650"/>
      <c r="O7" s="650"/>
      <c r="P7" s="650"/>
      <c r="Q7" s="650"/>
    </row>
    <row r="8" spans="1:19" s="2" customFormat="1" ht="7.5" customHeight="1" x14ac:dyDescent="0.2">
      <c r="A8" s="722"/>
      <c r="B8" s="722"/>
      <c r="C8" s="646"/>
      <c r="D8" s="650"/>
      <c r="E8" s="650"/>
      <c r="F8" s="650"/>
      <c r="G8" s="387"/>
      <c r="J8" s="141"/>
      <c r="K8" s="730"/>
      <c r="L8" s="650"/>
      <c r="M8" s="650"/>
      <c r="N8" s="650"/>
      <c r="P8" s="650"/>
      <c r="Q8" s="650"/>
      <c r="R8" s="650"/>
    </row>
    <row r="9" spans="1:19" s="2" customFormat="1" ht="24" customHeight="1" x14ac:dyDescent="0.2">
      <c r="A9" s="639" t="s">
        <v>2146</v>
      </c>
      <c r="B9" s="639"/>
      <c r="C9" s="639"/>
      <c r="D9" s="639"/>
      <c r="E9" s="639"/>
      <c r="F9" s="639"/>
      <c r="G9" s="309"/>
      <c r="J9" s="459"/>
      <c r="K9" s="733"/>
      <c r="L9" s="650"/>
      <c r="M9" s="650"/>
      <c r="N9" s="650"/>
      <c r="P9" s="309"/>
      <c r="Q9" s="309"/>
      <c r="R9" s="309"/>
      <c r="S9" s="309"/>
    </row>
    <row r="10" spans="1:19" s="2" customFormat="1" ht="22.5" customHeight="1" x14ac:dyDescent="0.2">
      <c r="A10" s="639" t="s">
        <v>2147</v>
      </c>
      <c r="B10" s="639"/>
      <c r="C10" s="639"/>
      <c r="D10" s="639"/>
      <c r="E10" s="639"/>
      <c r="F10" s="639"/>
      <c r="G10" s="309"/>
      <c r="J10" s="459"/>
      <c r="K10" s="733"/>
      <c r="L10" s="650"/>
      <c r="M10" s="650"/>
      <c r="N10" s="650"/>
      <c r="P10" s="309"/>
      <c r="Q10" s="309"/>
      <c r="R10" s="309"/>
      <c r="S10" s="309"/>
    </row>
    <row r="11" spans="1:19" s="2" customFormat="1" ht="33" customHeight="1" x14ac:dyDescent="0.2">
      <c r="A11" s="652" t="s">
        <v>2148</v>
      </c>
      <c r="B11" s="652"/>
      <c r="C11" s="652"/>
      <c r="D11" s="652"/>
      <c r="E11" s="652"/>
      <c r="F11" s="652"/>
      <c r="G11" s="309"/>
      <c r="J11" s="459"/>
      <c r="K11" s="733"/>
      <c r="L11" s="650"/>
      <c r="M11" s="650"/>
      <c r="N11" s="650"/>
      <c r="P11" s="309"/>
      <c r="Q11" s="309"/>
      <c r="R11" s="309"/>
      <c r="S11" s="309"/>
    </row>
    <row r="12" spans="1:19" s="2" customFormat="1" ht="19.5" customHeight="1" x14ac:dyDescent="0.2">
      <c r="A12" s="639" t="s">
        <v>2149</v>
      </c>
      <c r="B12" s="639"/>
      <c r="C12" s="639"/>
      <c r="D12" s="639"/>
      <c r="E12" s="639"/>
      <c r="F12" s="639"/>
      <c r="G12" s="309"/>
      <c r="J12" s="459"/>
      <c r="K12" s="733"/>
      <c r="L12" s="650"/>
      <c r="M12" s="650"/>
      <c r="N12" s="650"/>
      <c r="P12" s="309"/>
      <c r="Q12" s="309"/>
      <c r="R12" s="309"/>
      <c r="S12" s="309"/>
    </row>
    <row r="13" spans="1:19" s="2" customFormat="1" ht="14.25" customHeight="1" x14ac:dyDescent="0.2">
      <c r="A13" s="734" t="s">
        <v>2134</v>
      </c>
      <c r="B13" s="734"/>
      <c r="C13" s="734"/>
      <c r="D13" s="734"/>
      <c r="E13" s="734"/>
      <c r="F13" s="734"/>
      <c r="G13" s="141"/>
      <c r="P13" s="309"/>
      <c r="Q13" s="309"/>
      <c r="R13" s="309"/>
      <c r="S13" s="309"/>
    </row>
  </sheetData>
  <mergeCells count="8">
    <mergeCell ref="A12:F12"/>
    <mergeCell ref="A13:F13"/>
    <mergeCell ref="A2:F2"/>
    <mergeCell ref="A4:A5"/>
    <mergeCell ref="B4:F4"/>
    <mergeCell ref="A9:F9"/>
    <mergeCell ref="A10:F10"/>
    <mergeCell ref="A11:F11"/>
  </mergeCells>
  <pageMargins left="0.7" right="0.7" top="0.75" bottom="0.75" header="0.3" footer="0.3"/>
  <pageSetup paperSize="14" orientation="portrait"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F8EC6-F1F8-4374-BFFE-972EAD4CB7C1}">
  <sheetPr codeName="Hoja138"/>
  <dimension ref="A1:Q13"/>
  <sheetViews>
    <sheetView zoomScaleNormal="100" workbookViewId="0"/>
  </sheetViews>
  <sheetFormatPr baseColWidth="10" defaultColWidth="11.44140625" defaultRowHeight="10.199999999999999" x14ac:dyDescent="0.2"/>
  <cols>
    <col min="1" max="1" width="26.88671875" style="2" customWidth="1"/>
    <col min="2" max="2" width="15.6640625" style="2" bestFit="1" customWidth="1"/>
    <col min="3" max="3" width="14.88671875" style="2" bestFit="1" customWidth="1"/>
    <col min="4" max="5" width="14.6640625" style="2" bestFit="1" customWidth="1"/>
    <col min="6" max="6" width="14.88671875" style="2" bestFit="1" customWidth="1"/>
    <col min="7" max="7" width="14.6640625" style="2" bestFit="1" customWidth="1"/>
    <col min="8" max="10" width="11.44140625" style="2"/>
    <col min="11" max="11" width="34" style="2" customWidth="1"/>
    <col min="12" max="16384" width="11.44140625" style="2"/>
  </cols>
  <sheetData>
    <row r="1" spans="1:17" ht="15.6" x14ac:dyDescent="0.2">
      <c r="A1" s="687"/>
      <c r="B1" s="309"/>
      <c r="C1" s="309"/>
      <c r="D1" s="309"/>
      <c r="E1" s="309"/>
      <c r="F1" s="309"/>
      <c r="G1" s="309"/>
      <c r="J1" s="141"/>
    </row>
    <row r="2" spans="1:17" s="324" customFormat="1" ht="30" customHeight="1" x14ac:dyDescent="0.25">
      <c r="A2" s="735" t="s">
        <v>2132</v>
      </c>
      <c r="B2" s="735"/>
      <c r="C2" s="735"/>
      <c r="D2" s="735"/>
      <c r="E2" s="735"/>
      <c r="F2" s="735"/>
      <c r="G2" s="736"/>
      <c r="I2" s="711"/>
      <c r="J2" s="711"/>
      <c r="K2" s="711"/>
      <c r="L2" s="711"/>
      <c r="M2" s="711"/>
      <c r="N2" s="711"/>
      <c r="O2" s="724"/>
      <c r="P2" s="724"/>
      <c r="Q2" s="724"/>
    </row>
    <row r="3" spans="1:17" x14ac:dyDescent="0.2">
      <c r="A3" s="141"/>
      <c r="B3" s="141"/>
      <c r="I3" s="141"/>
    </row>
    <row r="4" spans="1:17" ht="18.75" customHeight="1" x14ac:dyDescent="0.2">
      <c r="A4" s="114" t="s">
        <v>2150</v>
      </c>
      <c r="B4" s="323" t="s">
        <v>98</v>
      </c>
      <c r="C4" s="323"/>
      <c r="D4" s="323"/>
      <c r="E4" s="323"/>
      <c r="F4" s="323"/>
      <c r="H4" s="141"/>
      <c r="I4" s="309"/>
      <c r="J4" s="309"/>
      <c r="K4" s="309"/>
      <c r="L4" s="309"/>
      <c r="M4" s="309"/>
    </row>
    <row r="5" spans="1:17" ht="17.25" customHeight="1" x14ac:dyDescent="0.2">
      <c r="A5" s="115"/>
      <c r="B5" s="621" t="s">
        <v>2143</v>
      </c>
      <c r="C5" s="621">
        <v>2010</v>
      </c>
      <c r="D5" s="621">
        <v>2011</v>
      </c>
      <c r="E5" s="621">
        <v>2012</v>
      </c>
      <c r="F5" s="621" t="s">
        <v>2151</v>
      </c>
      <c r="H5" s="141"/>
      <c r="I5" s="665"/>
    </row>
    <row r="6" spans="1:17" x14ac:dyDescent="0.2">
      <c r="A6" s="722" t="s">
        <v>181</v>
      </c>
      <c r="B6" s="737">
        <v>11681179</v>
      </c>
      <c r="C6" s="737">
        <v>6395220</v>
      </c>
      <c r="D6" s="737">
        <v>14511852</v>
      </c>
      <c r="E6" s="737">
        <v>15076109</v>
      </c>
      <c r="F6" s="738">
        <v>5907195</v>
      </c>
      <c r="H6" s="722"/>
      <c r="I6" s="739"/>
      <c r="J6" s="643"/>
      <c r="K6" s="643"/>
      <c r="L6" s="643"/>
    </row>
    <row r="7" spans="1:17" x14ac:dyDescent="0.2">
      <c r="A7" s="722" t="s">
        <v>182</v>
      </c>
      <c r="B7" s="315">
        <v>0</v>
      </c>
      <c r="C7" s="737">
        <v>5940138</v>
      </c>
      <c r="D7" s="740">
        <v>1561336</v>
      </c>
      <c r="E7" s="740">
        <v>1917304</v>
      </c>
      <c r="F7" s="738">
        <v>632322</v>
      </c>
      <c r="H7" s="722"/>
      <c r="I7" s="739"/>
      <c r="J7" s="643"/>
      <c r="K7" s="650"/>
      <c r="L7" s="650"/>
    </row>
    <row r="8" spans="1:17" ht="9" customHeight="1" x14ac:dyDescent="0.2">
      <c r="A8" s="722"/>
      <c r="C8" s="643"/>
      <c r="D8" s="650"/>
      <c r="E8" s="650"/>
      <c r="F8" s="741"/>
      <c r="H8" s="722"/>
      <c r="I8" s="739"/>
      <c r="J8" s="643"/>
      <c r="K8" s="650"/>
      <c r="L8" s="650"/>
    </row>
    <row r="9" spans="1:17" ht="70.5" customHeight="1" x14ac:dyDescent="0.2">
      <c r="A9" s="697" t="s">
        <v>2152</v>
      </c>
      <c r="B9" s="697"/>
      <c r="C9" s="697"/>
      <c r="D9" s="697"/>
      <c r="E9" s="697"/>
      <c r="F9" s="697"/>
      <c r="H9" s="742"/>
      <c r="J9" s="643"/>
      <c r="K9" s="650"/>
      <c r="L9" s="650"/>
    </row>
    <row r="10" spans="1:17" ht="27" customHeight="1" x14ac:dyDescent="0.2">
      <c r="A10" s="697" t="s">
        <v>2153</v>
      </c>
      <c r="B10" s="697"/>
      <c r="C10" s="697"/>
      <c r="D10" s="697"/>
      <c r="E10" s="697"/>
      <c r="F10" s="697"/>
      <c r="H10" s="722"/>
      <c r="I10" s="739"/>
      <c r="J10" s="643"/>
      <c r="K10" s="650"/>
      <c r="L10" s="650"/>
    </row>
    <row r="11" spans="1:17" x14ac:dyDescent="0.2">
      <c r="A11" s="743" t="s">
        <v>19</v>
      </c>
      <c r="B11" s="744"/>
      <c r="C11" s="744"/>
      <c r="D11" s="744"/>
      <c r="E11" s="744"/>
      <c r="F11" s="744"/>
      <c r="H11" s="722"/>
      <c r="I11" s="739"/>
      <c r="J11" s="643"/>
      <c r="K11" s="650"/>
      <c r="L11" s="650"/>
    </row>
    <row r="12" spans="1:17" x14ac:dyDescent="0.2">
      <c r="A12" s="745" t="s">
        <v>2134</v>
      </c>
      <c r="B12" s="745"/>
      <c r="C12" s="745"/>
      <c r="D12" s="745"/>
      <c r="E12" s="745"/>
      <c r="F12" s="745"/>
      <c r="I12" s="141"/>
    </row>
    <row r="13" spans="1:17" x14ac:dyDescent="0.2">
      <c r="J13" s="309"/>
      <c r="K13" s="746"/>
    </row>
  </sheetData>
  <mergeCells count="6">
    <mergeCell ref="A2:F2"/>
    <mergeCell ref="A4:A5"/>
    <mergeCell ref="B4:F4"/>
    <mergeCell ref="A9:F9"/>
    <mergeCell ref="A10:F10"/>
    <mergeCell ref="A12:F12"/>
  </mergeCells>
  <pageMargins left="0.7" right="0.7" top="0.75" bottom="0.75" header="0.3" footer="0.3"/>
  <pageSetup paperSize="14" scale="89" orientation="portrait"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B7ADA-F75C-41D9-B611-8C8DB7E88EC1}">
  <sheetPr codeName="Hoja139">
    <tabColor theme="8"/>
  </sheetPr>
  <dimension ref="A2:A22"/>
  <sheetViews>
    <sheetView zoomScaleNormal="100" workbookViewId="0">
      <selection activeCell="A22" sqref="A22"/>
    </sheetView>
  </sheetViews>
  <sheetFormatPr baseColWidth="10" defaultColWidth="11.44140625" defaultRowHeight="10.199999999999999" x14ac:dyDescent="0.2"/>
  <cols>
    <col min="1" max="16384" width="11.44140625" style="2"/>
  </cols>
  <sheetData>
    <row r="2" spans="1:1" x14ac:dyDescent="0.2">
      <c r="A2" s="342" t="s">
        <v>2154</v>
      </c>
    </row>
    <row r="4" spans="1:1" x14ac:dyDescent="0.2">
      <c r="A4" s="182" t="s">
        <v>2155</v>
      </c>
    </row>
    <row r="5" spans="1:1" x14ac:dyDescent="0.2">
      <c r="A5" s="182" t="s">
        <v>2156</v>
      </c>
    </row>
    <row r="6" spans="1:1" x14ac:dyDescent="0.2">
      <c r="A6" s="182" t="s">
        <v>2157</v>
      </c>
    </row>
    <row r="7" spans="1:1" x14ac:dyDescent="0.2">
      <c r="A7" s="182" t="s">
        <v>2158</v>
      </c>
    </row>
    <row r="8" spans="1:1" x14ac:dyDescent="0.2">
      <c r="A8" s="182" t="s">
        <v>2159</v>
      </c>
    </row>
    <row r="9" spans="1:1" x14ac:dyDescent="0.2">
      <c r="A9" s="182" t="s">
        <v>2160</v>
      </c>
    </row>
    <row r="10" spans="1:1" x14ac:dyDescent="0.2">
      <c r="A10" s="182" t="s">
        <v>2161</v>
      </c>
    </row>
    <row r="11" spans="1:1" x14ac:dyDescent="0.2">
      <c r="A11" s="182" t="s">
        <v>2162</v>
      </c>
    </row>
    <row r="12" spans="1:1" x14ac:dyDescent="0.2">
      <c r="A12" s="182" t="s">
        <v>2163</v>
      </c>
    </row>
    <row r="13" spans="1:1" x14ac:dyDescent="0.2">
      <c r="A13" s="182" t="s">
        <v>2164</v>
      </c>
    </row>
    <row r="14" spans="1:1" x14ac:dyDescent="0.2">
      <c r="A14" s="182" t="s">
        <v>2165</v>
      </c>
    </row>
    <row r="15" spans="1:1" x14ac:dyDescent="0.2">
      <c r="A15" s="182" t="s">
        <v>2166</v>
      </c>
    </row>
    <row r="16" spans="1:1" x14ac:dyDescent="0.2">
      <c r="A16" s="182" t="s">
        <v>2167</v>
      </c>
    </row>
    <row r="17" spans="1:1" x14ac:dyDescent="0.2">
      <c r="A17" s="182" t="s">
        <v>2168</v>
      </c>
    </row>
    <row r="18" spans="1:1" x14ac:dyDescent="0.2">
      <c r="A18" s="182" t="s">
        <v>2169</v>
      </c>
    </row>
    <row r="19" spans="1:1" x14ac:dyDescent="0.2">
      <c r="A19" s="182" t="s">
        <v>2170</v>
      </c>
    </row>
    <row r="20" spans="1:1" x14ac:dyDescent="0.2">
      <c r="A20" s="182" t="s">
        <v>2171</v>
      </c>
    </row>
    <row r="21" spans="1:1" x14ac:dyDescent="0.2">
      <c r="A21" s="182" t="s">
        <v>2172</v>
      </c>
    </row>
    <row r="22" spans="1:1" x14ac:dyDescent="0.2">
      <c r="A22" s="182" t="s">
        <v>2173</v>
      </c>
    </row>
  </sheetData>
  <hyperlinks>
    <hyperlink ref="A4" location="'3.4-01'!A1" display="CUADRO 3.4-01: NÚMERO DE ACTORES ASOCIADOS A LA CORPORACIÓN DE ACTORES DE CHILE (CHILEACTORES) AL 31 DE DICIEMBRE DE CADA AÑO. 2009-2013" xr:uid="{23623369-A1DA-404D-B66C-D27DC30C7EEA}"/>
    <hyperlink ref="A5" location="'3.4-02'!A1" display="CUADRO 3.4-02: NÚMERO DE SOCIOS DE LA ASOCIACIÓN DE AUTORES NACIONALES DE TEATRO, CINE Y AUDIOVISUALES (ATN), POR SEXO. 2009-2013" xr:uid="{6362E4A4-617F-47BF-ADA9-E52D46375855}"/>
    <hyperlink ref="A6" location="'3.4-03'!A1" display="CUADRO 3.4-03: NÚMERO DE AUTORES QUE GENERARON DERECHOS DE AUTOR POR LA SOCIEDAD DE AUTORES NACIONALES DE TEATRO, CINE Y AUDIOVISUALES (ATN), SEGÚN NACIONALIDAD DEL AUTOR. 2009-2013" xr:uid="{DD9A4788-2B24-4EFD-B278-7D8FA3730618}"/>
    <hyperlink ref="A7" location="'3.4-04'!A1" display="CUADRO 3.4-04: NÚMERO DE ASOCIADOS AL SINDICATO DE ACTORES DE CHILE (SIDARTE) POR SEXO, SEGÚN REGIÓN. 2011-2013" xr:uid="{9C0EB77E-9EE1-46EA-B029-C88D19BEB960}"/>
    <hyperlink ref="A8" location="'3.4-05'!A1" display="CUADRO 3.4-05: NÚMERO DE ASOCIADOS  AL SINDICATO DE ACTORES DE CHILE (SIDARTE) EGRESADOS DE LAS CARRERAS DE TEATRO POR SEXO, SEGÚN REGIÓN. 2012-2013" xr:uid="{650E3BD6-540B-48C0-B8B8-47C115559457}"/>
    <hyperlink ref="A9" location="'3.4-06'!A1" display="CUADRO 3.4-06: NÚMERO DE ASOCIADOS  AL SINDICATO DE ACTORES DE CHILE (SIDARTE) TITULADOS DE LAS CARRERAS DE TEATRO POR SEXO, SEGÚN REGIÓN. 2012-2013" xr:uid="{71D082EC-5BAF-4C6E-A30C-9BB3D24B6C60}"/>
    <hyperlink ref="A10" location="'3.4-07'!A1" display="CUADRO 3.4-07: NÚMERO DE ASOCIADOS  AL SINDICATO DE ACTORES DE CHILE (SIDARTE) ADSCRITOS A INSTITUCIONES DE SALUD PREVISIONAL (ISAPRES) POR SEXO, SEGÚN REGIÓN. 2012-2013" xr:uid="{ECDF4BE3-8B3B-457A-826B-F1682F6C8950}"/>
    <hyperlink ref="A11" location="'3.4-08'!A1" display="CUADRO 3.4-08: NÚMERO DE ASOCIADOS  AL SINDICATO DE ACTORES DE CHILE (SIDARTE) ADSCRITOS A LAS ADMINISTRADORAS DE FONDOS DE PENSIONES (AFP) POR SEXO, SEGÚN REGIÓN. 2012-2013" xr:uid="{B855EC1E-C1A4-4E97-A228-23DF272B7DFF}"/>
    <hyperlink ref="A12" location="'3.4-09'!A1" display="CUADRO 3.4-09: NÚMERO DE ASOCIADOS AL SINDICATO DE ACTORES DE CHILE (SIDARTE) ADSCRITOS A ISAPRES Y AFP POR SEXO, SEGÚN REGIÓN. 2012-2013" xr:uid="{C3F8BD33-9574-4BF8-A3FA-59E3E6480468}"/>
    <hyperlink ref="A13" location="'3.4-10'!A1" display="CUADRO 3.4-10: NÚMERO DE AUTORIZACIONES CONCEDIDAS EN CHILE Y EN EL EXTRANJERO POR LA SOCIEDAD DE AUTORES NACIONALES DE TEATRO, CINE Y AUDIOVISUALES (ATN), SEGÚN TIPO DE OBRA. 2009-2013" xr:uid="{ED0F4B98-F44D-4ED5-AE66-1B0F288C8E79}"/>
    <hyperlink ref="A14" location="'3.4-11'!A1" display="CUADRO 3.4-11: MONTO DE DERECHOS RECAUDADOS POR LA SOCIEDAD DE AUTORES NACIONALES DE TEATRO, CINE Y AUDIOVISUALES (ATN), SEGÚN ORIGEN DE LAS OBRA. 2009-2013" xr:uid="{1AEB21ED-9D57-4660-B03B-81D4DD7B1E65}"/>
    <hyperlink ref="A15" location="'3.4-12'!A1" display="CUADRO 3.4-12: MONTO DE DERECHOS DISTRIBUIDOS POR LA SOCIEDAD DE AUTORES NACIONALES DE TEATRO, CINE Y AUDIOVISUALES (ATN), SEGÚN NACIONALIDAD DEL AUTOR. 2009-2013" xr:uid="{9BFF6D8A-E7EB-4F69-B17B-060220482A0F}"/>
    <hyperlink ref="A16" location="'3.4-13'!A1" display="CUADRO 3.4-13: NÚMERO DE FUNCIONES DE ESPECTÁCULOS DE ARTES ESCÉNICAS POR TIPO DE ESPECTÁCULO, SEGÚN REGIÓN. 2013" xr:uid="{92F377BA-A882-4A06-9F0E-84C78A7E0ABF}"/>
    <hyperlink ref="A17" location="'3.4-14'!A1" display="CUADRO 3.4-14: NÚMERO DE FUNCIONES DE ESPECTÁCULOS DE ARTES ESCÉNICAS POR TIPO DE ESPECTÁCULO. 2009-2013" xr:uid="{68059F6C-10EC-4F11-8B32-B187485E8CC9}"/>
    <hyperlink ref="A18" location="'3.4-15'!A1" display="CUADRO 3.4-15: NÚMERO DE ASISTENTES A ESPECTÁCULOS DE ARTES ESCÉNICAS, PAGANDO ENTRADA POR TIPO DE ESPECTÁCULO, SEGÚN REGIÓN. 2013" xr:uid="{D2350D69-F4F4-4929-A4A1-F405B9A66764}"/>
    <hyperlink ref="A19" location="'3.4-16'!A1" display="CUADRO 3.4-16: NÚMERO DE ASISTENTES A ESPECTÁCULOS DE ARTES ESCÉNICAS, PAGANDO ENTRADA, POR TIPO DE ESPECTÁCULO. 2009-2013" xr:uid="{F2BAF7D8-4C05-4DCB-9EC9-353774FB8431}"/>
    <hyperlink ref="A20" location="'3.4-17'!A1" display="CUADRO 3.4-17: NÚMERO DE ASISTENTES A ESPECTÁCULOS DE ARTES ESCÉNICAS CON ENTRADA GRATUITA, POR TIPO DE ESPECTÁCULO, SEGÚN REGIÓN. 2013" xr:uid="{041004CD-3279-4948-B7FE-695C51784450}"/>
    <hyperlink ref="A21" location="'3.4-18'!A1" display="CUADRO 3.4-18: NÚMERO DE ASISTENTES A ESPECTÁCULOS DE ARTES ESCÉNICAS CON ENTRADA GRATUITA, POR TIPO DE ESPECTÁCULO. 2009-2013" xr:uid="{94DEF17D-B68C-4ABD-A0E1-0D7B4ED7E387}"/>
    <hyperlink ref="A22" location="'3.4-19'!A1" display="CUADRO 3.4-19: NÚMERO DE ASISTENTES A ESPECTÁCULOS DE ARTES ESCÉNICAS CON ENTRADA GRATUITA Y PAGADA POR MES, SEGÚN REGIÓN. 2013" xr:uid="{97F33B4B-5096-4881-B884-82CB48A521B6}"/>
  </hyperlinks>
  <pageMargins left="0.7" right="0.7" top="0.75" bottom="0.75" header="0.3" footer="0.3"/>
  <pageSetup paperSize="14"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2E9D2-070F-491C-B8D9-97028A78ABE9}">
  <sheetPr codeName="Hoja14"/>
  <dimension ref="A2:E58"/>
  <sheetViews>
    <sheetView workbookViewId="0"/>
  </sheetViews>
  <sheetFormatPr baseColWidth="10" defaultColWidth="11.44140625" defaultRowHeight="10.199999999999999" x14ac:dyDescent="0.2"/>
  <cols>
    <col min="1" max="1" width="37.109375" style="62" customWidth="1"/>
    <col min="2" max="2" width="11.44140625" style="62"/>
    <col min="3" max="3" width="16.5546875" style="62" customWidth="1"/>
    <col min="4" max="4" width="14" style="62" customWidth="1"/>
    <col min="5" max="5" width="17.5546875" style="62" customWidth="1"/>
    <col min="6" max="16384" width="11.44140625" style="62"/>
  </cols>
  <sheetData>
    <row r="2" spans="1:5" ht="26.25" customHeight="1" x14ac:dyDescent="0.2">
      <c r="A2" s="157" t="s">
        <v>200</v>
      </c>
      <c r="B2" s="157"/>
      <c r="C2" s="157"/>
      <c r="D2" s="157"/>
      <c r="E2" s="157"/>
    </row>
    <row r="3" spans="1:5" ht="13.5" customHeight="1" x14ac:dyDescent="0.2">
      <c r="A3" s="63"/>
      <c r="B3" s="158"/>
      <c r="C3" s="158"/>
      <c r="D3" s="158"/>
    </row>
    <row r="4" spans="1:5" ht="44.25" customHeight="1" x14ac:dyDescent="0.2">
      <c r="A4" s="159" t="s">
        <v>203</v>
      </c>
      <c r="B4" s="160" t="s">
        <v>204</v>
      </c>
      <c r="C4" s="160" t="s">
        <v>205</v>
      </c>
      <c r="D4" s="160" t="s">
        <v>206</v>
      </c>
      <c r="E4" s="160" t="s">
        <v>207</v>
      </c>
    </row>
    <row r="5" spans="1:5" s="63" customFormat="1" ht="12" x14ac:dyDescent="0.2">
      <c r="A5" s="161" t="s">
        <v>208</v>
      </c>
      <c r="B5" s="162">
        <v>475750.16666666698</v>
      </c>
      <c r="C5" s="163">
        <f>B5/B$5</f>
        <v>1</v>
      </c>
      <c r="D5" s="162">
        <v>5537678</v>
      </c>
      <c r="E5" s="163">
        <f>D5/D$5</f>
        <v>1</v>
      </c>
    </row>
    <row r="6" spans="1:5" ht="12" x14ac:dyDescent="0.2">
      <c r="A6" s="161" t="s">
        <v>209</v>
      </c>
      <c r="B6" s="162">
        <f>SUM(B7:B15)</f>
        <v>13723</v>
      </c>
      <c r="C6" s="161">
        <f>B6/B$5</f>
        <v>2.8844971502900139E-2</v>
      </c>
      <c r="D6" s="162">
        <f>SUM(D7:D15)</f>
        <v>115771.75</v>
      </c>
      <c r="E6" s="161">
        <f>D6/D$5</f>
        <v>2.0906190284086579E-2</v>
      </c>
    </row>
    <row r="7" spans="1:5" ht="12" x14ac:dyDescent="0.2">
      <c r="A7" s="164" t="s">
        <v>210</v>
      </c>
      <c r="B7" s="165">
        <v>101</v>
      </c>
      <c r="C7" s="164">
        <f t="shared" ref="C7:C15" si="0">B7/B$5</f>
        <v>2.1229629977358551E-4</v>
      </c>
      <c r="D7" s="165">
        <v>1424.3333333333337</v>
      </c>
      <c r="E7" s="164">
        <f t="shared" ref="E7:E15" si="1">D7/D$5</f>
        <v>2.5720768403892996E-4</v>
      </c>
    </row>
    <row r="8" spans="1:5" ht="12" x14ac:dyDescent="0.2">
      <c r="A8" s="164" t="s">
        <v>211</v>
      </c>
      <c r="B8" s="165">
        <v>956</v>
      </c>
      <c r="C8" s="164">
        <f t="shared" si="0"/>
        <v>2.0094580453816607E-3</v>
      </c>
      <c r="D8" s="165">
        <v>1330.749999999995</v>
      </c>
      <c r="E8" s="164">
        <f t="shared" si="1"/>
        <v>2.4030830250512851E-4</v>
      </c>
    </row>
    <row r="9" spans="1:5" ht="12" x14ac:dyDescent="0.2">
      <c r="A9" s="164" t="s">
        <v>212</v>
      </c>
      <c r="B9" s="165">
        <v>680</v>
      </c>
      <c r="C9" s="164">
        <f t="shared" si="0"/>
        <v>1.4293216222380015E-3</v>
      </c>
      <c r="D9" s="165">
        <v>4577</v>
      </c>
      <c r="E9" s="164">
        <f>D9/D$5</f>
        <v>8.2651970735748807E-4</v>
      </c>
    </row>
    <row r="10" spans="1:5" ht="12" x14ac:dyDescent="0.2">
      <c r="A10" s="164" t="s">
        <v>213</v>
      </c>
      <c r="B10" s="165">
        <v>188</v>
      </c>
      <c r="C10" s="164">
        <f t="shared" si="0"/>
        <v>3.9516538967756512E-4</v>
      </c>
      <c r="D10" s="165">
        <v>2330.4999999999991</v>
      </c>
      <c r="E10" s="164">
        <f t="shared" si="1"/>
        <v>4.2084425999489299E-4</v>
      </c>
    </row>
    <row r="11" spans="1:5" ht="12" x14ac:dyDescent="0.2">
      <c r="A11" s="164" t="s">
        <v>214</v>
      </c>
      <c r="B11" s="165">
        <v>727</v>
      </c>
      <c r="C11" s="164">
        <f t="shared" si="0"/>
        <v>1.5281129696573927E-3</v>
      </c>
      <c r="D11" s="165">
        <v>3414.2500000000009</v>
      </c>
      <c r="E11" s="164">
        <f>D11/D$5</f>
        <v>6.1654903011695535E-4</v>
      </c>
    </row>
    <row r="12" spans="1:5" ht="12" x14ac:dyDescent="0.2">
      <c r="A12" s="164" t="s">
        <v>215</v>
      </c>
      <c r="B12" s="165">
        <v>1998</v>
      </c>
      <c r="C12" s="164">
        <f t="shared" si="0"/>
        <v>4.1996832371051862E-3</v>
      </c>
      <c r="D12" s="165">
        <v>19541.083333333332</v>
      </c>
      <c r="E12" s="164">
        <f t="shared" si="1"/>
        <v>3.528750377564989E-3</v>
      </c>
    </row>
    <row r="13" spans="1:5" ht="12" x14ac:dyDescent="0.2">
      <c r="A13" s="164" t="s">
        <v>216</v>
      </c>
      <c r="B13" s="165">
        <v>1181</v>
      </c>
      <c r="C13" s="164">
        <f t="shared" si="0"/>
        <v>2.4823953468574704E-3</v>
      </c>
      <c r="D13" s="165">
        <v>16150.416666666672</v>
      </c>
      <c r="E13" s="164">
        <f t="shared" si="1"/>
        <v>2.9164600517882534E-3</v>
      </c>
    </row>
    <row r="14" spans="1:5" ht="12" x14ac:dyDescent="0.2">
      <c r="A14" s="164" t="s">
        <v>217</v>
      </c>
      <c r="B14" s="165">
        <v>4631</v>
      </c>
      <c r="C14" s="164">
        <f t="shared" si="0"/>
        <v>9.7341006361532124E-3</v>
      </c>
      <c r="D14" s="165">
        <v>49130.916666666657</v>
      </c>
      <c r="E14" s="164">
        <f t="shared" si="1"/>
        <v>8.8721151115443431E-3</v>
      </c>
    </row>
    <row r="15" spans="1:5" ht="12" x14ac:dyDescent="0.2">
      <c r="A15" s="164" t="s">
        <v>218</v>
      </c>
      <c r="B15" s="165">
        <v>3261</v>
      </c>
      <c r="C15" s="164">
        <f t="shared" si="0"/>
        <v>6.854437956056063E-3</v>
      </c>
      <c r="D15" s="165">
        <v>17872.500000000015</v>
      </c>
      <c r="E15" s="164">
        <f t="shared" si="1"/>
        <v>3.2274357591755994E-3</v>
      </c>
    </row>
    <row r="17" spans="1:5" ht="34.5" customHeight="1" x14ac:dyDescent="0.2">
      <c r="A17" s="166" t="s">
        <v>219</v>
      </c>
      <c r="B17" s="166"/>
      <c r="C17" s="166"/>
      <c r="D17" s="166"/>
      <c r="E17" s="167"/>
    </row>
    <row r="18" spans="1:5" ht="51" customHeight="1" x14ac:dyDescent="0.2">
      <c r="A18" s="168" t="s">
        <v>220</v>
      </c>
      <c r="B18" s="167"/>
      <c r="C18" s="167"/>
      <c r="D18" s="167"/>
      <c r="E18" s="167"/>
    </row>
    <row r="19" spans="1:5" ht="21" customHeight="1" x14ac:dyDescent="0.2">
      <c r="A19" s="168" t="s">
        <v>221</v>
      </c>
      <c r="B19" s="167"/>
      <c r="C19" s="167"/>
      <c r="D19" s="167"/>
      <c r="E19" s="167"/>
    </row>
    <row r="20" spans="1:5" ht="15" customHeight="1" x14ac:dyDescent="0.2">
      <c r="A20" s="168" t="s">
        <v>222</v>
      </c>
      <c r="B20" s="167"/>
      <c r="C20" s="167"/>
      <c r="D20" s="167"/>
      <c r="E20" s="167"/>
    </row>
    <row r="21" spans="1:5" ht="44.25" customHeight="1" x14ac:dyDescent="0.2">
      <c r="A21" s="168" t="s">
        <v>223</v>
      </c>
      <c r="B21" s="167"/>
      <c r="C21" s="167"/>
      <c r="D21" s="167"/>
      <c r="E21" s="167"/>
    </row>
    <row r="22" spans="1:5" ht="27" customHeight="1" x14ac:dyDescent="0.2">
      <c r="A22" s="168" t="s">
        <v>224</v>
      </c>
      <c r="B22" s="167"/>
      <c r="C22" s="167"/>
      <c r="D22" s="167"/>
      <c r="E22" s="167"/>
    </row>
    <row r="23" spans="1:5" ht="61.5" customHeight="1" x14ac:dyDescent="0.2">
      <c r="A23" s="168" t="s">
        <v>225</v>
      </c>
      <c r="B23" s="167"/>
      <c r="C23" s="167"/>
      <c r="D23" s="167"/>
      <c r="E23" s="167"/>
    </row>
    <row r="24" spans="1:5" ht="39" customHeight="1" x14ac:dyDescent="0.2">
      <c r="A24" s="168" t="s">
        <v>226</v>
      </c>
      <c r="B24" s="167"/>
      <c r="C24" s="167"/>
      <c r="D24" s="167"/>
      <c r="E24" s="167"/>
    </row>
    <row r="25" spans="1:5" ht="67.5" customHeight="1" x14ac:dyDescent="0.2">
      <c r="A25" s="168" t="s">
        <v>227</v>
      </c>
      <c r="B25" s="167"/>
      <c r="C25" s="167"/>
      <c r="D25" s="167"/>
      <c r="E25" s="167"/>
    </row>
    <row r="26" spans="1:5" ht="30" customHeight="1" x14ac:dyDescent="0.2">
      <c r="A26" s="168" t="s">
        <v>228</v>
      </c>
      <c r="B26" s="167"/>
      <c r="C26" s="167"/>
      <c r="D26" s="167"/>
      <c r="E26" s="167"/>
    </row>
    <row r="27" spans="1:5" ht="45" customHeight="1" x14ac:dyDescent="0.2">
      <c r="A27" s="168" t="s">
        <v>229</v>
      </c>
      <c r="B27" s="167"/>
      <c r="C27" s="167"/>
      <c r="D27" s="167"/>
      <c r="E27" s="167"/>
    </row>
    <row r="28" spans="1:5" ht="45" customHeight="1" x14ac:dyDescent="0.2">
      <c r="A28" s="166" t="s">
        <v>230</v>
      </c>
      <c r="B28" s="166"/>
      <c r="C28" s="166"/>
      <c r="D28" s="166"/>
      <c r="E28" s="167"/>
    </row>
    <row r="43" spans="1:1" x14ac:dyDescent="0.2">
      <c r="A43" s="78"/>
    </row>
    <row r="44" spans="1:1" x14ac:dyDescent="0.2">
      <c r="A44" s="78"/>
    </row>
    <row r="45" spans="1:1" x14ac:dyDescent="0.2">
      <c r="A45" s="78"/>
    </row>
    <row r="46" spans="1:1" x14ac:dyDescent="0.2">
      <c r="A46" s="78"/>
    </row>
    <row r="47" spans="1:1" x14ac:dyDescent="0.2">
      <c r="A47" s="78"/>
    </row>
    <row r="48" spans="1:1" x14ac:dyDescent="0.2">
      <c r="A48" s="78"/>
    </row>
    <row r="49" spans="1:1" x14ac:dyDescent="0.2">
      <c r="A49" s="78"/>
    </row>
    <row r="50" spans="1:1" x14ac:dyDescent="0.2">
      <c r="A50" s="78"/>
    </row>
    <row r="52" spans="1:1" x14ac:dyDescent="0.2">
      <c r="A52" s="78"/>
    </row>
    <row r="53" spans="1:1" x14ac:dyDescent="0.2">
      <c r="A53" s="78"/>
    </row>
    <row r="54" spans="1:1" x14ac:dyDescent="0.2">
      <c r="A54" s="78"/>
    </row>
    <row r="55" spans="1:1" x14ac:dyDescent="0.2">
      <c r="A55" s="78"/>
    </row>
    <row r="56" spans="1:1" x14ac:dyDescent="0.2">
      <c r="A56" s="78"/>
    </row>
    <row r="57" spans="1:1" x14ac:dyDescent="0.2">
      <c r="A57" s="78"/>
    </row>
    <row r="58" spans="1:1" x14ac:dyDescent="0.2">
      <c r="A58" s="78"/>
    </row>
  </sheetData>
  <mergeCells count="13">
    <mergeCell ref="A28:E28"/>
    <mergeCell ref="A22:E22"/>
    <mergeCell ref="A23:E23"/>
    <mergeCell ref="A24:E24"/>
    <mergeCell ref="A25:E25"/>
    <mergeCell ref="A26:E26"/>
    <mergeCell ref="A27:E27"/>
    <mergeCell ref="A2:E2"/>
    <mergeCell ref="A17:E17"/>
    <mergeCell ref="A18:E18"/>
    <mergeCell ref="A19:E19"/>
    <mergeCell ref="A20:E20"/>
    <mergeCell ref="A21:E21"/>
  </mergeCells>
  <pageMargins left="0.70866141732283472" right="0.70866141732283472" top="0.74803149606299213" bottom="0.74803149606299213" header="0.31496062992125984" footer="0.31496062992125984"/>
  <pageSetup paperSize="14" scale="85" orientation="portrait" verticalDpi="599"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1B137-C08C-4FBC-870C-DD62A85A73B4}">
  <sheetPr codeName="Hoja140"/>
  <dimension ref="A1:D22"/>
  <sheetViews>
    <sheetView zoomScaleNormal="100" workbookViewId="0">
      <selection activeCell="D40" sqref="D40"/>
    </sheetView>
  </sheetViews>
  <sheetFormatPr baseColWidth="10" defaultRowHeight="13.2" x14ac:dyDescent="0.25"/>
  <cols>
    <col min="4" max="4" width="16.109375" customWidth="1"/>
  </cols>
  <sheetData>
    <row r="1" spans="1:4" s="2" customFormat="1" ht="10.199999999999999" x14ac:dyDescent="0.2"/>
    <row r="2" spans="1:4" ht="47.25" customHeight="1" x14ac:dyDescent="0.25">
      <c r="A2" s="747" t="s">
        <v>2155</v>
      </c>
      <c r="B2" s="747"/>
      <c r="C2" s="747"/>
      <c r="D2" s="747"/>
    </row>
    <row r="3" spans="1:4" x14ac:dyDescent="0.25">
      <c r="A3" s="706"/>
      <c r="B3" s="141"/>
      <c r="C3" s="141"/>
      <c r="D3" s="141"/>
    </row>
    <row r="4" spans="1:4" x14ac:dyDescent="0.25">
      <c r="A4" s="716" t="s">
        <v>825</v>
      </c>
      <c r="B4" s="748" t="s">
        <v>42</v>
      </c>
      <c r="C4" s="749" t="s">
        <v>2065</v>
      </c>
      <c r="D4" s="749"/>
    </row>
    <row r="5" spans="1:4" x14ac:dyDescent="0.25">
      <c r="A5" s="716"/>
      <c r="B5" s="748"/>
      <c r="C5" s="441" t="s">
        <v>122</v>
      </c>
      <c r="D5" s="441" t="s">
        <v>123</v>
      </c>
    </row>
    <row r="6" spans="1:4" x14ac:dyDescent="0.25">
      <c r="A6" s="750">
        <v>2009</v>
      </c>
      <c r="B6" s="751">
        <f>SUM(C6:D6)</f>
        <v>1113</v>
      </c>
      <c r="C6" s="750">
        <v>566</v>
      </c>
      <c r="D6" s="750">
        <v>547</v>
      </c>
    </row>
    <row r="7" spans="1:4" x14ac:dyDescent="0.25">
      <c r="A7" s="750">
        <v>2010</v>
      </c>
      <c r="B7" s="751">
        <f>SUM(C7:D7)</f>
        <v>1152</v>
      </c>
      <c r="C7" s="752">
        <v>593</v>
      </c>
      <c r="D7" s="750">
        <v>559</v>
      </c>
    </row>
    <row r="8" spans="1:4" x14ac:dyDescent="0.25">
      <c r="A8" s="750">
        <v>2011</v>
      </c>
      <c r="B8" s="751">
        <f>SUM(C8:D8)</f>
        <v>1313</v>
      </c>
      <c r="C8" s="752">
        <v>613</v>
      </c>
      <c r="D8" s="750">
        <v>700</v>
      </c>
    </row>
    <row r="9" spans="1:4" x14ac:dyDescent="0.25">
      <c r="A9" s="750">
        <v>2012</v>
      </c>
      <c r="B9" s="751">
        <f>SUM(C9:D9)</f>
        <v>1379</v>
      </c>
      <c r="C9" s="752">
        <v>648</v>
      </c>
      <c r="D9" s="752">
        <v>731</v>
      </c>
    </row>
    <row r="10" spans="1:4" x14ac:dyDescent="0.25">
      <c r="A10" s="750">
        <v>2013</v>
      </c>
      <c r="B10" s="751">
        <f>SUM(C10:D10)</f>
        <v>1463</v>
      </c>
      <c r="C10" s="752">
        <v>692</v>
      </c>
      <c r="D10" s="752">
        <v>771</v>
      </c>
    </row>
    <row r="11" spans="1:4" x14ac:dyDescent="0.25">
      <c r="A11" s="706"/>
      <c r="B11" s="753"/>
      <c r="C11" s="141"/>
      <c r="D11" s="141"/>
    </row>
    <row r="12" spans="1:4" x14ac:dyDescent="0.25">
      <c r="A12" s="715" t="s">
        <v>2174</v>
      </c>
      <c r="B12" s="715"/>
      <c r="C12" s="715"/>
      <c r="D12" s="715"/>
    </row>
    <row r="13" spans="1:4" x14ac:dyDescent="0.25">
      <c r="A13" s="715" t="s">
        <v>2175</v>
      </c>
      <c r="B13" s="715"/>
      <c r="C13" s="715"/>
      <c r="D13" s="715"/>
    </row>
    <row r="14" spans="1:4" s="717" customFormat="1" ht="10.199999999999999" x14ac:dyDescent="0.25">
      <c r="A14" s="711"/>
    </row>
    <row r="15" spans="1:4" x14ac:dyDescent="0.25">
      <c r="A15" s="754" t="s">
        <v>2176</v>
      </c>
    </row>
    <row r="16" spans="1:4" x14ac:dyDescent="0.25">
      <c r="A16" s="716" t="s">
        <v>825</v>
      </c>
      <c r="B16" s="748" t="s">
        <v>42</v>
      </c>
    </row>
    <row r="17" spans="1:2" x14ac:dyDescent="0.25">
      <c r="A17" s="716"/>
      <c r="B17" s="748"/>
    </row>
    <row r="18" spans="1:2" x14ac:dyDescent="0.25">
      <c r="A18" s="755">
        <v>2009</v>
      </c>
      <c r="B18" s="756">
        <v>1113</v>
      </c>
    </row>
    <row r="19" spans="1:2" x14ac:dyDescent="0.25">
      <c r="A19" s="755">
        <v>2010</v>
      </c>
      <c r="B19" s="756">
        <v>1152</v>
      </c>
    </row>
    <row r="20" spans="1:2" x14ac:dyDescent="0.25">
      <c r="A20" s="755">
        <v>2011</v>
      </c>
      <c r="B20" s="756">
        <v>1313</v>
      </c>
    </row>
    <row r="21" spans="1:2" x14ac:dyDescent="0.25">
      <c r="A21" s="755">
        <v>2012</v>
      </c>
      <c r="B21" s="756">
        <v>1379</v>
      </c>
    </row>
    <row r="22" spans="1:2" x14ac:dyDescent="0.25">
      <c r="A22" s="755">
        <v>2013</v>
      </c>
      <c r="B22" s="756">
        <v>1463</v>
      </c>
    </row>
  </sheetData>
  <mergeCells count="8">
    <mergeCell ref="A16:A17"/>
    <mergeCell ref="B16:B17"/>
    <mergeCell ref="A2:D2"/>
    <mergeCell ref="A4:A5"/>
    <mergeCell ref="B4:B5"/>
    <mergeCell ref="C4:D4"/>
    <mergeCell ref="A12:D12"/>
    <mergeCell ref="A13:D13"/>
  </mergeCells>
  <pageMargins left="0.7" right="0.7" top="0.75" bottom="0.75" header="0.3" footer="0.3"/>
  <pageSetup paperSize="14" orientation="portrait"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6204D0-7DD0-4D2A-AF32-2E163A53223E}">
  <sheetPr codeName="Hoja141"/>
  <dimension ref="A2:K14"/>
  <sheetViews>
    <sheetView zoomScaleNormal="100" workbookViewId="0">
      <selection activeCell="D40" sqref="D40"/>
    </sheetView>
  </sheetViews>
  <sheetFormatPr baseColWidth="10" defaultRowHeight="13.2" x14ac:dyDescent="0.25"/>
  <cols>
    <col min="1" max="1" width="17.44140625" customWidth="1"/>
  </cols>
  <sheetData>
    <row r="2" spans="1:11" s="758" customFormat="1" ht="44.25" customHeight="1" x14ac:dyDescent="0.2">
      <c r="A2" s="757" t="s">
        <v>2156</v>
      </c>
      <c r="B2" s="757"/>
      <c r="C2" s="757"/>
      <c r="D2" s="757"/>
      <c r="H2" s="759"/>
      <c r="I2" s="759"/>
      <c r="J2" s="759"/>
      <c r="K2" s="759"/>
    </row>
    <row r="3" spans="1:11" s="717" customFormat="1" ht="10.199999999999999" x14ac:dyDescent="0.2">
      <c r="A3" s="711"/>
      <c r="B3" s="760"/>
      <c r="C3" s="761"/>
      <c r="D3" s="762"/>
      <c r="H3" s="651"/>
      <c r="I3" s="2"/>
      <c r="J3" s="2"/>
      <c r="K3" s="2"/>
    </row>
    <row r="4" spans="1:11" s="717" customFormat="1" ht="12.75" customHeight="1" x14ac:dyDescent="0.2">
      <c r="A4" s="763" t="s">
        <v>825</v>
      </c>
      <c r="B4" s="764" t="s">
        <v>2177</v>
      </c>
      <c r="C4" s="765"/>
      <c r="D4" s="766"/>
      <c r="H4" s="651"/>
      <c r="I4" s="2"/>
      <c r="J4" s="2"/>
      <c r="K4" s="2"/>
    </row>
    <row r="5" spans="1:11" s="717" customFormat="1" ht="12.75" customHeight="1" x14ac:dyDescent="0.2">
      <c r="A5" s="767"/>
      <c r="B5" s="763" t="s">
        <v>42</v>
      </c>
      <c r="C5" s="768" t="s">
        <v>2065</v>
      </c>
      <c r="D5" s="769"/>
      <c r="F5" s="770"/>
      <c r="G5" s="770"/>
      <c r="H5" s="771"/>
      <c r="I5" s="771"/>
      <c r="J5" s="2"/>
      <c r="K5" s="2"/>
    </row>
    <row r="6" spans="1:11" s="717" customFormat="1" ht="11.25" customHeight="1" x14ac:dyDescent="0.25">
      <c r="A6" s="772"/>
      <c r="B6" s="772"/>
      <c r="C6" s="773" t="s">
        <v>122</v>
      </c>
      <c r="D6" s="773" t="s">
        <v>123</v>
      </c>
      <c r="F6" s="770"/>
      <c r="G6" s="770"/>
      <c r="H6" s="774"/>
      <c r="I6" s="774"/>
      <c r="J6" s="775"/>
      <c r="K6" s="775"/>
    </row>
    <row r="7" spans="1:11" s="717" customFormat="1" ht="11.25" customHeight="1" x14ac:dyDescent="0.25">
      <c r="A7" s="457">
        <v>2009</v>
      </c>
      <c r="B7" s="776">
        <f>SUM(C7:D7)</f>
        <v>525</v>
      </c>
      <c r="C7" s="777">
        <v>365</v>
      </c>
      <c r="D7" s="777">
        <v>160</v>
      </c>
      <c r="F7" s="778"/>
      <c r="G7" s="779"/>
      <c r="H7" s="779"/>
      <c r="I7" s="779"/>
      <c r="J7" s="780"/>
      <c r="K7" s="780"/>
    </row>
    <row r="8" spans="1:11" s="717" customFormat="1" ht="11.25" customHeight="1" x14ac:dyDescent="0.25">
      <c r="A8" s="457">
        <v>2010</v>
      </c>
      <c r="B8" s="776">
        <f>SUM(C8:D8)</f>
        <v>574</v>
      </c>
      <c r="C8" s="457">
        <v>398</v>
      </c>
      <c r="D8" s="457">
        <v>176</v>
      </c>
      <c r="F8" s="457"/>
      <c r="G8" s="781"/>
      <c r="H8" s="782"/>
      <c r="I8" s="782"/>
      <c r="J8" s="780"/>
      <c r="K8" s="780"/>
    </row>
    <row r="9" spans="1:11" s="717" customFormat="1" ht="11.25" customHeight="1" x14ac:dyDescent="0.25">
      <c r="A9" s="457">
        <v>2011</v>
      </c>
      <c r="B9" s="776">
        <f>SUM(C9:D9)</f>
        <v>605</v>
      </c>
      <c r="C9" s="457">
        <v>416</v>
      </c>
      <c r="D9" s="457">
        <v>189</v>
      </c>
      <c r="F9" s="457"/>
      <c r="G9" s="781"/>
      <c r="H9" s="783"/>
      <c r="I9" s="783"/>
      <c r="J9" s="780"/>
      <c r="K9" s="780"/>
    </row>
    <row r="10" spans="1:11" s="717" customFormat="1" ht="11.25" customHeight="1" x14ac:dyDescent="0.25">
      <c r="A10" s="457">
        <v>2012</v>
      </c>
      <c r="B10" s="776">
        <f>SUM(C10:D10)</f>
        <v>656</v>
      </c>
      <c r="C10" s="784">
        <v>446</v>
      </c>
      <c r="D10" s="784">
        <v>210</v>
      </c>
      <c r="F10" s="457"/>
      <c r="G10" s="781"/>
      <c r="H10" s="783"/>
      <c r="I10" s="783"/>
      <c r="J10" s="780"/>
      <c r="K10" s="780"/>
    </row>
    <row r="11" spans="1:11" s="717" customFormat="1" ht="11.25" customHeight="1" x14ac:dyDescent="0.2">
      <c r="A11" s="457">
        <v>2013</v>
      </c>
      <c r="B11" s="776">
        <f>SUM(C11:D11)</f>
        <v>713</v>
      </c>
      <c r="C11" s="785">
        <v>486</v>
      </c>
      <c r="D11" s="785">
        <v>227</v>
      </c>
      <c r="F11" s="457"/>
      <c r="G11" s="781"/>
      <c r="H11" s="786"/>
      <c r="I11" s="786"/>
      <c r="J11" s="651"/>
      <c r="K11" s="651"/>
    </row>
    <row r="12" spans="1:11" s="717" customFormat="1" ht="11.25" customHeight="1" x14ac:dyDescent="0.2">
      <c r="B12" s="787"/>
      <c r="C12" s="788"/>
      <c r="D12" s="788"/>
      <c r="F12" s="457"/>
      <c r="G12" s="781"/>
      <c r="H12" s="789"/>
      <c r="I12" s="789"/>
      <c r="J12" s="651"/>
      <c r="K12" s="651"/>
    </row>
    <row r="13" spans="1:11" s="717" customFormat="1" ht="24" customHeight="1" x14ac:dyDescent="0.25">
      <c r="A13" s="466" t="s">
        <v>2178</v>
      </c>
      <c r="B13" s="466"/>
      <c r="C13" s="466"/>
      <c r="D13" s="466"/>
      <c r="H13" s="790"/>
      <c r="I13" s="791"/>
      <c r="J13" s="791"/>
      <c r="K13" s="791"/>
    </row>
    <row r="14" spans="1:11" s="717" customFormat="1" ht="11.25" customHeight="1" x14ac:dyDescent="0.25">
      <c r="A14" s="455"/>
      <c r="B14" s="455"/>
      <c r="C14" s="455"/>
      <c r="D14" s="455"/>
      <c r="H14" s="790"/>
      <c r="I14" s="791"/>
      <c r="J14" s="791"/>
      <c r="K14" s="791"/>
    </row>
  </sheetData>
  <mergeCells count="6">
    <mergeCell ref="A2:D2"/>
    <mergeCell ref="A4:A6"/>
    <mergeCell ref="B4:D4"/>
    <mergeCell ref="B5:B6"/>
    <mergeCell ref="C5:D5"/>
    <mergeCell ref="A13:D13"/>
  </mergeCells>
  <pageMargins left="0.7" right="0.7" top="0.75" bottom="0.75" header="0.3" footer="0.3"/>
  <pageSetup paperSize="14" orientation="portrait"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EED657-6B66-4234-8510-FD15269173B8}">
  <sheetPr codeName="Hoja142"/>
  <dimension ref="A1:K11"/>
  <sheetViews>
    <sheetView zoomScaleNormal="100" workbookViewId="0">
      <selection activeCell="D40" sqref="D40"/>
    </sheetView>
  </sheetViews>
  <sheetFormatPr baseColWidth="10" defaultRowHeight="13.2" x14ac:dyDescent="0.25"/>
  <cols>
    <col min="1" max="1" width="25.88671875" customWidth="1"/>
  </cols>
  <sheetData>
    <row r="1" spans="1:11" s="2" customFormat="1" ht="10.199999999999999" x14ac:dyDescent="0.2"/>
    <row r="2" spans="1:11" s="758" customFormat="1" ht="35.25" customHeight="1" x14ac:dyDescent="0.2">
      <c r="A2" s="792" t="s">
        <v>2157</v>
      </c>
      <c r="B2" s="792"/>
      <c r="C2" s="792"/>
      <c r="D2" s="792"/>
      <c r="E2" s="792"/>
      <c r="F2" s="792"/>
      <c r="H2" s="759"/>
      <c r="I2" s="759"/>
      <c r="J2" s="759"/>
      <c r="K2" s="759"/>
    </row>
    <row r="3" spans="1:11" s="717" customFormat="1" ht="10.199999999999999" x14ac:dyDescent="0.2">
      <c r="A3" s="711"/>
      <c r="H3" s="651"/>
      <c r="I3" s="651"/>
      <c r="J3" s="651"/>
      <c r="K3" s="651"/>
    </row>
    <row r="4" spans="1:11" s="717" customFormat="1" ht="18" customHeight="1" x14ac:dyDescent="0.25">
      <c r="A4" s="707" t="s">
        <v>2179</v>
      </c>
      <c r="B4" s="793" t="s">
        <v>98</v>
      </c>
      <c r="C4" s="793"/>
      <c r="D4" s="793"/>
      <c r="E4" s="793"/>
      <c r="F4" s="793"/>
      <c r="H4" s="794"/>
      <c r="I4" s="794"/>
      <c r="J4" s="794"/>
      <c r="K4" s="794"/>
    </row>
    <row r="5" spans="1:11" s="717" customFormat="1" ht="18" customHeight="1" x14ac:dyDescent="0.25">
      <c r="A5" s="710"/>
      <c r="B5" s="453">
        <v>2009</v>
      </c>
      <c r="C5" s="453">
        <v>2010</v>
      </c>
      <c r="D5" s="453">
        <v>2011</v>
      </c>
      <c r="E5" s="453">
        <v>2012</v>
      </c>
      <c r="F5" s="453">
        <v>2013</v>
      </c>
      <c r="H5" s="795"/>
      <c r="I5" s="796"/>
      <c r="J5" s="796"/>
      <c r="K5" s="796"/>
    </row>
    <row r="6" spans="1:11" s="711" customFormat="1" ht="10.199999999999999" x14ac:dyDescent="0.25">
      <c r="A6" s="711" t="s">
        <v>3</v>
      </c>
      <c r="B6" s="711">
        <f>SUM(B7:B8)</f>
        <v>178</v>
      </c>
      <c r="C6" s="711">
        <f>SUM(C7:C8)</f>
        <v>174</v>
      </c>
      <c r="D6" s="711">
        <f>SUM(D7:D8)</f>
        <v>207</v>
      </c>
      <c r="E6" s="711">
        <f>SUM(E7:E8)</f>
        <v>252</v>
      </c>
      <c r="F6" s="711">
        <f>SUM(F7:F8)</f>
        <v>276</v>
      </c>
      <c r="H6" s="797"/>
      <c r="I6" s="795"/>
      <c r="J6" s="795"/>
      <c r="K6" s="795"/>
    </row>
    <row r="7" spans="1:11" s="717" customFormat="1" ht="10.199999999999999" x14ac:dyDescent="0.2">
      <c r="A7" s="717" t="s">
        <v>183</v>
      </c>
      <c r="B7" s="717">
        <v>88</v>
      </c>
      <c r="C7" s="717">
        <v>114</v>
      </c>
      <c r="D7" s="717">
        <v>122</v>
      </c>
      <c r="E7" s="798">
        <v>160</v>
      </c>
      <c r="F7" s="799">
        <v>154</v>
      </c>
      <c r="H7" s="797"/>
      <c r="I7" s="795"/>
      <c r="J7" s="795"/>
      <c r="K7" s="795"/>
    </row>
    <row r="8" spans="1:11" s="717" customFormat="1" ht="10.199999999999999" x14ac:dyDescent="0.2">
      <c r="A8" s="717" t="s">
        <v>184</v>
      </c>
      <c r="B8" s="717">
        <v>90</v>
      </c>
      <c r="C8" s="717">
        <v>60</v>
      </c>
      <c r="D8" s="717">
        <v>85</v>
      </c>
      <c r="E8" s="798">
        <v>92</v>
      </c>
      <c r="F8" s="799">
        <v>122</v>
      </c>
      <c r="H8" s="651"/>
      <c r="I8" s="785"/>
      <c r="J8" s="785"/>
      <c r="K8" s="785"/>
    </row>
    <row r="9" spans="1:11" s="717" customFormat="1" ht="6" customHeight="1" x14ac:dyDescent="0.2">
      <c r="E9" s="798"/>
      <c r="F9" s="799"/>
      <c r="H9" s="651"/>
      <c r="I9" s="785"/>
      <c r="J9" s="785"/>
      <c r="K9" s="785"/>
    </row>
    <row r="10" spans="1:11" s="717" customFormat="1" ht="10.199999999999999" x14ac:dyDescent="0.25">
      <c r="A10" s="723" t="s">
        <v>2178</v>
      </c>
      <c r="B10" s="723"/>
      <c r="C10" s="723"/>
      <c r="D10" s="723"/>
      <c r="E10" s="723"/>
      <c r="F10" s="723"/>
    </row>
    <row r="11" spans="1:11" s="717" customFormat="1" ht="10.199999999999999" x14ac:dyDescent="0.25">
      <c r="B11" s="711"/>
      <c r="C11" s="711"/>
      <c r="D11" s="711"/>
      <c r="E11" s="711"/>
    </row>
  </sheetData>
  <mergeCells count="4">
    <mergeCell ref="A2:F2"/>
    <mergeCell ref="A4:A5"/>
    <mergeCell ref="B4:F4"/>
    <mergeCell ref="A10:F10"/>
  </mergeCells>
  <pageMargins left="0.7" right="0.7" top="0.75" bottom="0.75" header="0.3" footer="0.3"/>
  <pageSetup paperSize="14" orientation="portrait"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107B3-0B33-49F6-8B66-4D413EAF5DB7}">
  <sheetPr codeName="Hoja143"/>
  <dimension ref="A1:P28"/>
  <sheetViews>
    <sheetView zoomScaleNormal="100" workbookViewId="0">
      <selection activeCell="D40" sqref="D40"/>
    </sheetView>
  </sheetViews>
  <sheetFormatPr baseColWidth="10" defaultRowHeight="13.2" x14ac:dyDescent="0.25"/>
  <cols>
    <col min="1" max="1" width="26.6640625" customWidth="1"/>
  </cols>
  <sheetData>
    <row r="1" spans="1:16" ht="15.6" x14ac:dyDescent="0.25">
      <c r="A1" s="687"/>
    </row>
    <row r="2" spans="1:16" s="141" customFormat="1" ht="10.199999999999999" x14ac:dyDescent="0.2">
      <c r="A2" s="706" t="s">
        <v>2158</v>
      </c>
      <c r="B2" s="800"/>
      <c r="C2" s="801"/>
      <c r="D2" s="801"/>
    </row>
    <row r="3" spans="1:16" s="141" customFormat="1" ht="10.199999999999999" x14ac:dyDescent="0.2">
      <c r="A3" s="802"/>
      <c r="B3" s="800"/>
      <c r="C3" s="801"/>
      <c r="D3" s="801"/>
    </row>
    <row r="4" spans="1:16" s="141" customFormat="1" ht="16.5" customHeight="1" x14ac:dyDescent="0.2">
      <c r="A4" s="763" t="s">
        <v>0</v>
      </c>
      <c r="B4" s="803" t="s">
        <v>2180</v>
      </c>
      <c r="C4" s="804"/>
      <c r="D4" s="805"/>
      <c r="E4" s="806">
        <v>2012</v>
      </c>
      <c r="F4" s="806"/>
      <c r="G4" s="806"/>
      <c r="H4" s="806">
        <v>2013</v>
      </c>
      <c r="I4" s="806"/>
      <c r="J4" s="806"/>
      <c r="K4" s="807"/>
      <c r="L4" s="807"/>
      <c r="M4" s="807"/>
      <c r="N4" s="807"/>
      <c r="O4" s="807"/>
      <c r="P4" s="807"/>
    </row>
    <row r="5" spans="1:16" s="141" customFormat="1" ht="10.199999999999999" x14ac:dyDescent="0.2">
      <c r="A5" s="772"/>
      <c r="B5" s="808" t="s">
        <v>42</v>
      </c>
      <c r="C5" s="808" t="s">
        <v>122</v>
      </c>
      <c r="D5" s="808" t="s">
        <v>123</v>
      </c>
      <c r="E5" s="808" t="s">
        <v>42</v>
      </c>
      <c r="F5" s="808" t="s">
        <v>122</v>
      </c>
      <c r="G5" s="808" t="s">
        <v>123</v>
      </c>
      <c r="H5" s="808" t="s">
        <v>42</v>
      </c>
      <c r="I5" s="808" t="s">
        <v>122</v>
      </c>
      <c r="J5" s="808" t="s">
        <v>123</v>
      </c>
      <c r="K5" s="809"/>
      <c r="L5" s="809"/>
      <c r="M5" s="809"/>
      <c r="N5" s="809"/>
      <c r="O5" s="809"/>
      <c r="P5" s="809"/>
    </row>
    <row r="6" spans="1:16" s="141" customFormat="1" ht="10.199999999999999" x14ac:dyDescent="0.2">
      <c r="A6" s="810" t="s">
        <v>3</v>
      </c>
      <c r="B6" s="800">
        <f>SUM(C6:D6)</f>
        <v>1668</v>
      </c>
      <c r="C6" s="800">
        <v>1041</v>
      </c>
      <c r="D6" s="800">
        <v>627</v>
      </c>
      <c r="E6" s="811">
        <f>SUM(E7:E22)</f>
        <v>1560</v>
      </c>
      <c r="F6" s="811">
        <f t="shared" ref="F6:G6" si="0">SUM(F7:F22)</f>
        <v>761</v>
      </c>
      <c r="G6" s="811">
        <f t="shared" si="0"/>
        <v>799</v>
      </c>
      <c r="H6" s="811">
        <f>SUM(H7:H22)</f>
        <v>1651</v>
      </c>
      <c r="I6" s="811">
        <f>SUM(I7:I22)</f>
        <v>810</v>
      </c>
      <c r="J6" s="811">
        <f>SUM(J7:J22)</f>
        <v>841</v>
      </c>
      <c r="K6" s="811"/>
      <c r="L6" s="811"/>
      <c r="M6" s="811"/>
      <c r="N6" s="811"/>
      <c r="O6" s="811"/>
      <c r="P6" s="811"/>
    </row>
    <row r="7" spans="1:16" s="141" customFormat="1" ht="10.199999999999999" x14ac:dyDescent="0.2">
      <c r="A7" s="812" t="s">
        <v>4</v>
      </c>
      <c r="B7" s="459" t="s">
        <v>193</v>
      </c>
      <c r="C7" s="459" t="s">
        <v>193</v>
      </c>
      <c r="D7" s="459" t="s">
        <v>193</v>
      </c>
      <c r="E7" s="660">
        <f>SUM(F7:G7)</f>
        <v>0</v>
      </c>
      <c r="F7" s="626">
        <v>0</v>
      </c>
      <c r="G7" s="626">
        <v>0</v>
      </c>
      <c r="H7" s="811">
        <f>SUM(I7:J7)</f>
        <v>0</v>
      </c>
      <c r="I7" s="131">
        <v>0</v>
      </c>
      <c r="J7" s="131">
        <v>0</v>
      </c>
      <c r="K7" s="626"/>
      <c r="L7" s="626"/>
      <c r="M7" s="626"/>
      <c r="N7" s="811"/>
      <c r="O7" s="131"/>
      <c r="P7" s="131"/>
    </row>
    <row r="8" spans="1:16" s="141" customFormat="1" ht="10.199999999999999" x14ac:dyDescent="0.2">
      <c r="A8" s="812" t="s">
        <v>5</v>
      </c>
      <c r="B8" s="459" t="s">
        <v>193</v>
      </c>
      <c r="C8" s="459" t="s">
        <v>193</v>
      </c>
      <c r="D8" s="459" t="s">
        <v>193</v>
      </c>
      <c r="E8" s="660">
        <f t="shared" ref="E8:E22" si="1">SUM(F8:G8)</f>
        <v>0</v>
      </c>
      <c r="F8" s="626">
        <v>0</v>
      </c>
      <c r="G8" s="626">
        <v>0</v>
      </c>
      <c r="H8" s="811">
        <f t="shared" ref="H8:H22" si="2">SUM(I8:J8)</f>
        <v>0</v>
      </c>
      <c r="I8" s="131">
        <v>0</v>
      </c>
      <c r="J8" s="131">
        <v>0</v>
      </c>
      <c r="K8" s="626"/>
      <c r="L8" s="626"/>
      <c r="M8" s="626"/>
      <c r="N8" s="811"/>
      <c r="O8" s="131"/>
      <c r="P8" s="131"/>
    </row>
    <row r="9" spans="1:16" s="141" customFormat="1" ht="10.199999999999999" x14ac:dyDescent="0.2">
      <c r="A9" s="812" t="s">
        <v>6</v>
      </c>
      <c r="B9" s="459" t="s">
        <v>193</v>
      </c>
      <c r="C9" s="459" t="s">
        <v>193</v>
      </c>
      <c r="D9" s="459" t="s">
        <v>193</v>
      </c>
      <c r="E9" s="660">
        <f t="shared" si="1"/>
        <v>0</v>
      </c>
      <c r="F9" s="626">
        <v>0</v>
      </c>
      <c r="G9" s="626">
        <v>0</v>
      </c>
      <c r="H9" s="811">
        <f t="shared" si="2"/>
        <v>0</v>
      </c>
      <c r="I9" s="131">
        <v>0</v>
      </c>
      <c r="J9" s="131">
        <v>0</v>
      </c>
      <c r="K9" s="626"/>
      <c r="L9" s="626"/>
      <c r="M9" s="626"/>
      <c r="N9" s="811"/>
      <c r="O9" s="131"/>
      <c r="P9" s="131"/>
    </row>
    <row r="10" spans="1:16" s="141" customFormat="1" ht="10.199999999999999" x14ac:dyDescent="0.2">
      <c r="A10" s="812" t="s">
        <v>7</v>
      </c>
      <c r="B10" s="459" t="s">
        <v>193</v>
      </c>
      <c r="C10" s="459" t="s">
        <v>193</v>
      </c>
      <c r="D10" s="459" t="s">
        <v>193</v>
      </c>
      <c r="E10" s="660">
        <f t="shared" si="1"/>
        <v>1</v>
      </c>
      <c r="F10" s="626">
        <v>1</v>
      </c>
      <c r="G10" s="626">
        <v>0</v>
      </c>
      <c r="H10" s="811">
        <f t="shared" si="2"/>
        <v>0</v>
      </c>
      <c r="I10" s="131">
        <v>0</v>
      </c>
      <c r="J10" s="131">
        <v>0</v>
      </c>
      <c r="K10" s="813"/>
      <c r="L10" s="626"/>
      <c r="M10" s="626"/>
      <c r="N10" s="811"/>
      <c r="O10" s="131"/>
      <c r="P10" s="131"/>
    </row>
    <row r="11" spans="1:16" s="141" customFormat="1" ht="10.199999999999999" x14ac:dyDescent="0.2">
      <c r="A11" s="812" t="s">
        <v>8</v>
      </c>
      <c r="B11" s="459" t="s">
        <v>193</v>
      </c>
      <c r="C11" s="459" t="s">
        <v>193</v>
      </c>
      <c r="D11" s="459" t="s">
        <v>193</v>
      </c>
      <c r="E11" s="660">
        <f t="shared" si="1"/>
        <v>0</v>
      </c>
      <c r="F11" s="626">
        <v>0</v>
      </c>
      <c r="G11" s="626">
        <v>0</v>
      </c>
      <c r="H11" s="811">
        <f t="shared" si="2"/>
        <v>0</v>
      </c>
      <c r="I11" s="131">
        <v>0</v>
      </c>
      <c r="J11" s="131">
        <v>0</v>
      </c>
      <c r="K11" s="626"/>
      <c r="L11" s="626"/>
      <c r="M11" s="626"/>
      <c r="N11" s="811"/>
      <c r="O11" s="131"/>
      <c r="P11" s="131"/>
    </row>
    <row r="12" spans="1:16" s="141" customFormat="1" ht="10.199999999999999" x14ac:dyDescent="0.2">
      <c r="A12" s="812" t="s">
        <v>9</v>
      </c>
      <c r="B12" s="459" t="s">
        <v>193</v>
      </c>
      <c r="C12" s="459" t="s">
        <v>193</v>
      </c>
      <c r="D12" s="459" t="s">
        <v>193</v>
      </c>
      <c r="E12" s="660">
        <f t="shared" si="1"/>
        <v>18</v>
      </c>
      <c r="F12" s="626">
        <v>13</v>
      </c>
      <c r="G12" s="626">
        <v>5</v>
      </c>
      <c r="H12" s="811">
        <f t="shared" si="2"/>
        <v>20</v>
      </c>
      <c r="I12" s="131">
        <v>14</v>
      </c>
      <c r="J12" s="131">
        <v>6</v>
      </c>
      <c r="K12" s="813"/>
      <c r="L12" s="626"/>
      <c r="M12" s="626"/>
      <c r="N12" s="811"/>
      <c r="O12" s="131"/>
      <c r="P12" s="131"/>
    </row>
    <row r="13" spans="1:16" s="141" customFormat="1" ht="10.199999999999999" x14ac:dyDescent="0.2">
      <c r="A13" s="812" t="s">
        <v>10</v>
      </c>
      <c r="B13" s="459" t="s">
        <v>193</v>
      </c>
      <c r="C13" s="459" t="s">
        <v>193</v>
      </c>
      <c r="D13" s="459" t="s">
        <v>193</v>
      </c>
      <c r="E13" s="660">
        <f t="shared" si="1"/>
        <v>1081</v>
      </c>
      <c r="F13" s="626">
        <v>513</v>
      </c>
      <c r="G13" s="626">
        <v>568</v>
      </c>
      <c r="H13" s="811">
        <f t="shared" si="2"/>
        <v>1129</v>
      </c>
      <c r="I13" s="131">
        <v>547</v>
      </c>
      <c r="J13" s="131">
        <v>582</v>
      </c>
      <c r="K13" s="813"/>
      <c r="L13" s="626"/>
      <c r="M13" s="626"/>
      <c r="N13" s="811"/>
      <c r="O13" s="131"/>
      <c r="P13" s="131"/>
    </row>
    <row r="14" spans="1:16" s="141" customFormat="1" ht="10.199999999999999" x14ac:dyDescent="0.2">
      <c r="A14" s="812" t="s">
        <v>134</v>
      </c>
      <c r="B14" s="459" t="s">
        <v>193</v>
      </c>
      <c r="C14" s="459" t="s">
        <v>193</v>
      </c>
      <c r="D14" s="459" t="s">
        <v>193</v>
      </c>
      <c r="E14" s="660">
        <f t="shared" si="1"/>
        <v>9</v>
      </c>
      <c r="F14" s="626">
        <v>5</v>
      </c>
      <c r="G14" s="626">
        <v>4</v>
      </c>
      <c r="H14" s="811">
        <f t="shared" si="2"/>
        <v>9</v>
      </c>
      <c r="I14" s="131">
        <v>5</v>
      </c>
      <c r="J14" s="131">
        <v>4</v>
      </c>
      <c r="K14" s="813"/>
      <c r="L14" s="626"/>
      <c r="M14" s="626"/>
      <c r="N14" s="811"/>
      <c r="O14" s="131"/>
      <c r="P14" s="131"/>
    </row>
    <row r="15" spans="1:16" s="141" customFormat="1" ht="10.199999999999999" x14ac:dyDescent="0.2">
      <c r="A15" s="812" t="s">
        <v>12</v>
      </c>
      <c r="B15" s="459" t="s">
        <v>193</v>
      </c>
      <c r="C15" s="459" t="s">
        <v>193</v>
      </c>
      <c r="D15" s="459" t="s">
        <v>193</v>
      </c>
      <c r="E15" s="660">
        <f t="shared" si="1"/>
        <v>10</v>
      </c>
      <c r="F15" s="626">
        <v>4</v>
      </c>
      <c r="G15" s="626">
        <v>6</v>
      </c>
      <c r="H15" s="811">
        <f>SUM(I15:J15)</f>
        <v>10</v>
      </c>
      <c r="I15" s="131">
        <v>4</v>
      </c>
      <c r="J15" s="131">
        <v>6</v>
      </c>
      <c r="K15" s="813"/>
      <c r="L15" s="626"/>
      <c r="M15" s="626"/>
      <c r="N15" s="811"/>
      <c r="O15" s="131"/>
      <c r="P15" s="131"/>
    </row>
    <row r="16" spans="1:16" s="141" customFormat="1" ht="10.199999999999999" x14ac:dyDescent="0.2">
      <c r="A16" s="812" t="s">
        <v>13</v>
      </c>
      <c r="B16" s="459" t="s">
        <v>193</v>
      </c>
      <c r="C16" s="459" t="s">
        <v>193</v>
      </c>
      <c r="D16" s="459" t="s">
        <v>193</v>
      </c>
      <c r="E16" s="660">
        <f t="shared" si="1"/>
        <v>0</v>
      </c>
      <c r="F16" s="626">
        <v>0</v>
      </c>
      <c r="G16" s="626">
        <v>0</v>
      </c>
      <c r="H16" s="811">
        <f t="shared" si="2"/>
        <v>0</v>
      </c>
      <c r="I16" s="131">
        <v>0</v>
      </c>
      <c r="J16" s="131">
        <v>0</v>
      </c>
      <c r="K16" s="626"/>
      <c r="L16" s="626"/>
      <c r="M16" s="626"/>
      <c r="N16" s="811"/>
      <c r="O16" s="131"/>
      <c r="P16" s="131"/>
    </row>
    <row r="17" spans="1:16" s="141" customFormat="1" ht="10.199999999999999" x14ac:dyDescent="0.2">
      <c r="A17" s="812" t="s">
        <v>47</v>
      </c>
      <c r="B17" s="459" t="s">
        <v>193</v>
      </c>
      <c r="C17" s="459" t="s">
        <v>193</v>
      </c>
      <c r="D17" s="459" t="s">
        <v>193</v>
      </c>
      <c r="E17" s="660">
        <f t="shared" si="1"/>
        <v>0</v>
      </c>
      <c r="F17" s="626">
        <v>0</v>
      </c>
      <c r="G17" s="626">
        <v>0</v>
      </c>
      <c r="H17" s="811">
        <f t="shared" si="2"/>
        <v>0</v>
      </c>
      <c r="I17" s="131">
        <v>0</v>
      </c>
      <c r="J17" s="131">
        <v>0</v>
      </c>
      <c r="K17" s="626"/>
      <c r="L17" s="626"/>
      <c r="M17" s="626"/>
      <c r="N17" s="811"/>
      <c r="O17" s="131"/>
      <c r="P17" s="131"/>
    </row>
    <row r="18" spans="1:16" s="141" customFormat="1" ht="10.199999999999999" x14ac:dyDescent="0.2">
      <c r="A18" s="812" t="s">
        <v>135</v>
      </c>
      <c r="B18" s="459" t="s">
        <v>193</v>
      </c>
      <c r="C18" s="459" t="s">
        <v>193</v>
      </c>
      <c r="D18" s="459" t="s">
        <v>193</v>
      </c>
      <c r="E18" s="660">
        <f t="shared" si="1"/>
        <v>0</v>
      </c>
      <c r="F18" s="626">
        <v>0</v>
      </c>
      <c r="G18" s="626">
        <v>0</v>
      </c>
      <c r="H18" s="811">
        <f t="shared" si="2"/>
        <v>0</v>
      </c>
      <c r="I18" s="131">
        <v>0</v>
      </c>
      <c r="J18" s="131">
        <v>0</v>
      </c>
      <c r="K18" s="626"/>
      <c r="L18" s="626"/>
      <c r="M18" s="626"/>
      <c r="N18" s="811"/>
      <c r="O18" s="131"/>
      <c r="P18" s="131"/>
    </row>
    <row r="19" spans="1:16" s="141" customFormat="1" ht="10.199999999999999" x14ac:dyDescent="0.2">
      <c r="A19" s="812" t="s">
        <v>136</v>
      </c>
      <c r="B19" s="459" t="s">
        <v>193</v>
      </c>
      <c r="C19" s="459" t="s">
        <v>193</v>
      </c>
      <c r="D19" s="459" t="s">
        <v>193</v>
      </c>
      <c r="E19" s="660">
        <f t="shared" si="1"/>
        <v>1</v>
      </c>
      <c r="F19" s="626">
        <v>0</v>
      </c>
      <c r="G19" s="626">
        <v>1</v>
      </c>
      <c r="H19" s="811">
        <f t="shared" si="2"/>
        <v>1</v>
      </c>
      <c r="I19" s="131">
        <v>0</v>
      </c>
      <c r="J19" s="131">
        <v>1</v>
      </c>
      <c r="K19" s="813"/>
      <c r="L19" s="626"/>
      <c r="M19" s="626"/>
      <c r="N19" s="811"/>
      <c r="O19" s="131"/>
      <c r="P19" s="131"/>
    </row>
    <row r="20" spans="1:16" s="141" customFormat="1" ht="10.199999999999999" x14ac:dyDescent="0.2">
      <c r="A20" s="812" t="s">
        <v>17</v>
      </c>
      <c r="B20" s="459" t="s">
        <v>193</v>
      </c>
      <c r="C20" s="459" t="s">
        <v>193</v>
      </c>
      <c r="D20" s="459" t="s">
        <v>193</v>
      </c>
      <c r="E20" s="660">
        <f t="shared" si="1"/>
        <v>0</v>
      </c>
      <c r="F20" s="626">
        <v>0</v>
      </c>
      <c r="G20" s="626">
        <v>0</v>
      </c>
      <c r="H20" s="811">
        <f t="shared" si="2"/>
        <v>0</v>
      </c>
      <c r="I20" s="131">
        <v>0</v>
      </c>
      <c r="J20" s="131">
        <v>0</v>
      </c>
      <c r="K20" s="626"/>
      <c r="L20" s="626"/>
      <c r="M20" s="626"/>
      <c r="N20" s="811"/>
      <c r="O20" s="131"/>
      <c r="P20" s="131"/>
    </row>
    <row r="21" spans="1:16" s="141" customFormat="1" ht="10.199999999999999" x14ac:dyDescent="0.2">
      <c r="A21" s="812" t="s">
        <v>18</v>
      </c>
      <c r="B21" s="459" t="s">
        <v>193</v>
      </c>
      <c r="C21" s="459" t="s">
        <v>193</v>
      </c>
      <c r="D21" s="459" t="s">
        <v>193</v>
      </c>
      <c r="E21" s="660">
        <f t="shared" si="1"/>
        <v>0</v>
      </c>
      <c r="F21" s="626">
        <v>0</v>
      </c>
      <c r="G21" s="626">
        <v>0</v>
      </c>
      <c r="H21" s="811">
        <f t="shared" si="2"/>
        <v>0</v>
      </c>
      <c r="I21" s="131">
        <v>0</v>
      </c>
      <c r="J21" s="131">
        <v>0</v>
      </c>
      <c r="K21" s="626"/>
      <c r="L21" s="626"/>
      <c r="M21" s="626"/>
      <c r="N21" s="811"/>
      <c r="O21" s="131"/>
      <c r="P21" s="131"/>
    </row>
    <row r="22" spans="1:16" s="141" customFormat="1" ht="10.199999999999999" x14ac:dyDescent="0.2">
      <c r="A22" s="141" t="s">
        <v>2181</v>
      </c>
      <c r="B22" s="459" t="s">
        <v>193</v>
      </c>
      <c r="C22" s="459" t="s">
        <v>193</v>
      </c>
      <c r="D22" s="459" t="s">
        <v>193</v>
      </c>
      <c r="E22" s="660">
        <f t="shared" si="1"/>
        <v>440</v>
      </c>
      <c r="F22" s="626">
        <v>225</v>
      </c>
      <c r="G22" s="626">
        <v>215</v>
      </c>
      <c r="H22" s="811">
        <f t="shared" si="2"/>
        <v>482</v>
      </c>
      <c r="I22" s="131">
        <v>240</v>
      </c>
      <c r="J22" s="131">
        <v>242</v>
      </c>
      <c r="K22" s="813"/>
      <c r="L22" s="626"/>
      <c r="M22" s="626"/>
      <c r="N22" s="811"/>
      <c r="O22" s="131"/>
      <c r="P22" s="131"/>
    </row>
    <row r="23" spans="1:16" s="141" customFormat="1" ht="12" customHeight="1" x14ac:dyDescent="0.2">
      <c r="B23" s="814"/>
      <c r="C23" s="815"/>
      <c r="D23" s="815"/>
      <c r="K23" s="813"/>
      <c r="L23" s="626"/>
      <c r="M23" s="626"/>
      <c r="N23" s="811"/>
      <c r="O23" s="131"/>
      <c r="P23" s="131"/>
    </row>
    <row r="24" spans="1:16" s="141" customFormat="1" ht="10.199999999999999" x14ac:dyDescent="0.2">
      <c r="A24" s="706" t="s">
        <v>2182</v>
      </c>
      <c r="B24" s="814"/>
      <c r="C24" s="815"/>
      <c r="D24" s="815"/>
      <c r="K24" s="813"/>
      <c r="L24" s="626"/>
      <c r="M24" s="626"/>
      <c r="N24" s="811"/>
      <c r="O24" s="131"/>
      <c r="P24" s="131"/>
    </row>
    <row r="25" spans="1:16" s="141" customFormat="1" ht="12" customHeight="1" x14ac:dyDescent="0.2">
      <c r="A25" s="442" t="s">
        <v>1185</v>
      </c>
      <c r="B25" s="814"/>
      <c r="C25" s="815"/>
      <c r="D25" s="815"/>
      <c r="K25" s="813"/>
      <c r="L25" s="626"/>
      <c r="M25" s="626"/>
      <c r="N25" s="811"/>
      <c r="O25" s="131"/>
      <c r="P25" s="131"/>
    </row>
    <row r="26" spans="1:16" s="141" customFormat="1" ht="12" customHeight="1" x14ac:dyDescent="0.2">
      <c r="A26" s="705" t="s">
        <v>1313</v>
      </c>
      <c r="B26" s="705"/>
      <c r="C26" s="705"/>
      <c r="D26" s="705"/>
      <c r="E26" s="705"/>
      <c r="F26" s="705"/>
      <c r="G26" s="705"/>
      <c r="H26" s="705"/>
      <c r="K26" s="813"/>
      <c r="L26" s="626"/>
      <c r="M26" s="626"/>
      <c r="N26" s="811"/>
      <c r="O26" s="131"/>
      <c r="P26" s="131"/>
    </row>
    <row r="27" spans="1:16" s="141" customFormat="1" ht="10.199999999999999" x14ac:dyDescent="0.2">
      <c r="A27" s="816" t="s">
        <v>2183</v>
      </c>
      <c r="B27" s="442"/>
      <c r="C27" s="442"/>
      <c r="D27" s="442"/>
    </row>
    <row r="28" spans="1:16" s="141" customFormat="1" ht="10.199999999999999" x14ac:dyDescent="0.2"/>
  </sheetData>
  <mergeCells count="4">
    <mergeCell ref="A4:A5"/>
    <mergeCell ref="B4:D4"/>
    <mergeCell ref="E4:G4"/>
    <mergeCell ref="H4:J4"/>
  </mergeCells>
  <pageMargins left="0.7" right="0.7" top="0.75" bottom="0.75" header="0.3" footer="0.3"/>
  <pageSetup paperSize="14" orientation="landscape"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3CEB2-A2FA-4D0D-9E58-2ABF618AC80B}">
  <sheetPr codeName="Hoja144"/>
  <dimension ref="A1:P27"/>
  <sheetViews>
    <sheetView zoomScaleNormal="100" workbookViewId="0">
      <selection activeCell="D40" sqref="D40"/>
    </sheetView>
  </sheetViews>
  <sheetFormatPr baseColWidth="10" defaultRowHeight="13.2" x14ac:dyDescent="0.25"/>
  <cols>
    <col min="1" max="1" width="27.44140625" customWidth="1"/>
  </cols>
  <sheetData>
    <row r="1" spans="1:10" ht="15.6" x14ac:dyDescent="0.25">
      <c r="A1" s="687"/>
    </row>
    <row r="2" spans="1:10" s="141" customFormat="1" ht="25.5" customHeight="1" x14ac:dyDescent="0.2">
      <c r="A2" s="817" t="s">
        <v>2159</v>
      </c>
      <c r="B2" s="817"/>
      <c r="C2" s="817"/>
      <c r="D2" s="817"/>
      <c r="E2" s="817"/>
      <c r="F2" s="817"/>
      <c r="G2" s="817"/>
      <c r="H2" s="818"/>
    </row>
    <row r="3" spans="1:10" s="141" customFormat="1" ht="10.199999999999999" x14ac:dyDescent="0.2">
      <c r="A3" s="442"/>
      <c r="B3" s="442"/>
      <c r="C3" s="442"/>
      <c r="D3" s="442"/>
    </row>
    <row r="4" spans="1:10" s="141" customFormat="1" ht="17.25" customHeight="1" x14ac:dyDescent="0.2">
      <c r="A4" s="763" t="s">
        <v>0</v>
      </c>
      <c r="B4" s="806">
        <v>2012</v>
      </c>
      <c r="C4" s="806"/>
      <c r="D4" s="806"/>
      <c r="E4" s="806">
        <v>2013</v>
      </c>
      <c r="F4" s="806"/>
      <c r="G4" s="806"/>
      <c r="H4" s="819"/>
      <c r="I4" s="807"/>
      <c r="J4" s="807"/>
    </row>
    <row r="5" spans="1:10" s="141" customFormat="1" ht="10.199999999999999" x14ac:dyDescent="0.2">
      <c r="A5" s="772"/>
      <c r="B5" s="808" t="s">
        <v>42</v>
      </c>
      <c r="C5" s="808" t="s">
        <v>122</v>
      </c>
      <c r="D5" s="808" t="s">
        <v>123</v>
      </c>
      <c r="E5" s="808" t="s">
        <v>42</v>
      </c>
      <c r="F5" s="808" t="s">
        <v>122</v>
      </c>
      <c r="G5" s="808" t="s">
        <v>123</v>
      </c>
      <c r="H5" s="809"/>
      <c r="I5" s="809"/>
      <c r="J5" s="809"/>
    </row>
    <row r="6" spans="1:10" s="141" customFormat="1" ht="10.199999999999999" x14ac:dyDescent="0.2">
      <c r="A6" s="810" t="s">
        <v>3</v>
      </c>
      <c r="B6" s="811">
        <f t="shared" ref="B6:G6" si="0">SUM(B7:B22)</f>
        <v>1345</v>
      </c>
      <c r="C6" s="811">
        <f t="shared" si="0"/>
        <v>620</v>
      </c>
      <c r="D6" s="811">
        <f t="shared" si="0"/>
        <v>725</v>
      </c>
      <c r="E6" s="811">
        <f>SUM(E7:E22)</f>
        <v>1382</v>
      </c>
      <c r="F6" s="811">
        <f t="shared" si="0"/>
        <v>637</v>
      </c>
      <c r="G6" s="811">
        <f t="shared" si="0"/>
        <v>745</v>
      </c>
    </row>
    <row r="7" spans="1:10" s="141" customFormat="1" ht="10.199999999999999" x14ac:dyDescent="0.2">
      <c r="A7" s="820" t="s">
        <v>4</v>
      </c>
      <c r="B7" s="821">
        <f>SUM(C7:D7)</f>
        <v>0</v>
      </c>
      <c r="C7" s="626">
        <v>0</v>
      </c>
      <c r="D7" s="626">
        <v>0</v>
      </c>
      <c r="E7" s="811">
        <f>SUM(F7:G7)</f>
        <v>0</v>
      </c>
      <c r="F7" s="131">
        <v>0</v>
      </c>
      <c r="G7" s="131">
        <v>0</v>
      </c>
    </row>
    <row r="8" spans="1:10" s="141" customFormat="1" ht="10.199999999999999" x14ac:dyDescent="0.2">
      <c r="A8" s="820" t="s">
        <v>5</v>
      </c>
      <c r="B8" s="821">
        <f t="shared" ref="B8:B22" si="1">SUM(C8:D8)</f>
        <v>0</v>
      </c>
      <c r="C8" s="626">
        <v>0</v>
      </c>
      <c r="D8" s="626">
        <v>0</v>
      </c>
      <c r="E8" s="811">
        <f t="shared" ref="E8:E22" si="2">SUM(F8:G8)</f>
        <v>0</v>
      </c>
      <c r="F8" s="131">
        <v>0</v>
      </c>
      <c r="G8" s="131">
        <v>0</v>
      </c>
    </row>
    <row r="9" spans="1:10" s="141" customFormat="1" ht="10.199999999999999" x14ac:dyDescent="0.2">
      <c r="A9" s="820" t="s">
        <v>6</v>
      </c>
      <c r="B9" s="821">
        <f t="shared" si="1"/>
        <v>0</v>
      </c>
      <c r="C9" s="626">
        <v>0</v>
      </c>
      <c r="D9" s="626">
        <v>0</v>
      </c>
      <c r="E9" s="811">
        <f t="shared" si="2"/>
        <v>0</v>
      </c>
      <c r="F9" s="131">
        <v>0</v>
      </c>
      <c r="G9" s="131">
        <v>0</v>
      </c>
    </row>
    <row r="10" spans="1:10" s="141" customFormat="1" ht="10.199999999999999" x14ac:dyDescent="0.2">
      <c r="A10" s="820" t="s">
        <v>7</v>
      </c>
      <c r="B10" s="821">
        <f t="shared" si="1"/>
        <v>0</v>
      </c>
      <c r="C10" s="626">
        <v>0</v>
      </c>
      <c r="D10" s="626">
        <v>0</v>
      </c>
      <c r="E10" s="811">
        <f t="shared" si="2"/>
        <v>0</v>
      </c>
      <c r="F10" s="131">
        <v>0</v>
      </c>
      <c r="G10" s="131">
        <v>0</v>
      </c>
    </row>
    <row r="11" spans="1:10" s="141" customFormat="1" ht="10.199999999999999" x14ac:dyDescent="0.2">
      <c r="A11" s="820" t="s">
        <v>8</v>
      </c>
      <c r="B11" s="821">
        <f t="shared" si="1"/>
        <v>0</v>
      </c>
      <c r="C11" s="626">
        <v>0</v>
      </c>
      <c r="D11" s="626">
        <v>0</v>
      </c>
      <c r="E11" s="811">
        <f t="shared" si="2"/>
        <v>0</v>
      </c>
      <c r="F11" s="131">
        <v>0</v>
      </c>
      <c r="G11" s="131">
        <v>0</v>
      </c>
    </row>
    <row r="12" spans="1:10" s="141" customFormat="1" ht="10.199999999999999" x14ac:dyDescent="0.2">
      <c r="A12" s="820" t="s">
        <v>9</v>
      </c>
      <c r="B12" s="821">
        <f t="shared" si="1"/>
        <v>12</v>
      </c>
      <c r="C12" s="626">
        <v>9</v>
      </c>
      <c r="D12" s="626">
        <v>3</v>
      </c>
      <c r="E12" s="811">
        <f t="shared" si="2"/>
        <v>12</v>
      </c>
      <c r="F12" s="131">
        <v>9</v>
      </c>
      <c r="G12" s="131">
        <v>3</v>
      </c>
    </row>
    <row r="13" spans="1:10" s="141" customFormat="1" ht="10.199999999999999" x14ac:dyDescent="0.2">
      <c r="A13" s="820" t="s">
        <v>10</v>
      </c>
      <c r="B13" s="821">
        <f t="shared" si="1"/>
        <v>886</v>
      </c>
      <c r="C13" s="626">
        <v>382</v>
      </c>
      <c r="D13" s="626">
        <v>504</v>
      </c>
      <c r="E13" s="811">
        <f t="shared" si="2"/>
        <v>922</v>
      </c>
      <c r="F13" s="131">
        <f>C13+16</f>
        <v>398</v>
      </c>
      <c r="G13" s="131">
        <f>D13+20</f>
        <v>524</v>
      </c>
    </row>
    <row r="14" spans="1:10" s="141" customFormat="1" ht="10.199999999999999" x14ac:dyDescent="0.2">
      <c r="A14" s="820" t="s">
        <v>134</v>
      </c>
      <c r="B14" s="821">
        <f t="shared" si="1"/>
        <v>6</v>
      </c>
      <c r="C14" s="626">
        <v>4</v>
      </c>
      <c r="D14" s="626">
        <v>2</v>
      </c>
      <c r="E14" s="811">
        <f t="shared" si="2"/>
        <v>7</v>
      </c>
      <c r="F14" s="131">
        <v>5</v>
      </c>
      <c r="G14" s="131">
        <v>2</v>
      </c>
    </row>
    <row r="15" spans="1:10" s="141" customFormat="1" ht="10.199999999999999" x14ac:dyDescent="0.2">
      <c r="A15" s="820" t="s">
        <v>12</v>
      </c>
      <c r="B15" s="821">
        <f t="shared" si="1"/>
        <v>0</v>
      </c>
      <c r="C15" s="626">
        <v>0</v>
      </c>
      <c r="D15" s="626">
        <v>0</v>
      </c>
      <c r="E15" s="811">
        <f t="shared" si="2"/>
        <v>0</v>
      </c>
      <c r="F15" s="131">
        <v>0</v>
      </c>
      <c r="G15" s="131">
        <v>0</v>
      </c>
    </row>
    <row r="16" spans="1:10" s="141" customFormat="1" ht="10.199999999999999" x14ac:dyDescent="0.2">
      <c r="A16" s="820" t="s">
        <v>13</v>
      </c>
      <c r="B16" s="821">
        <f t="shared" si="1"/>
        <v>0</v>
      </c>
      <c r="C16" s="626">
        <v>0</v>
      </c>
      <c r="D16" s="626">
        <v>0</v>
      </c>
      <c r="E16" s="811">
        <f t="shared" si="2"/>
        <v>0</v>
      </c>
      <c r="F16" s="131">
        <v>0</v>
      </c>
      <c r="G16" s="131">
        <v>0</v>
      </c>
    </row>
    <row r="17" spans="1:16" s="141" customFormat="1" ht="10.199999999999999" x14ac:dyDescent="0.2">
      <c r="A17" s="820" t="s">
        <v>47</v>
      </c>
      <c r="B17" s="821">
        <f t="shared" si="1"/>
        <v>0</v>
      </c>
      <c r="C17" s="626">
        <v>0</v>
      </c>
      <c r="D17" s="626">
        <v>0</v>
      </c>
      <c r="E17" s="811">
        <f t="shared" si="2"/>
        <v>0</v>
      </c>
      <c r="F17" s="131">
        <v>0</v>
      </c>
      <c r="G17" s="131">
        <v>0</v>
      </c>
    </row>
    <row r="18" spans="1:16" s="141" customFormat="1" ht="10.199999999999999" x14ac:dyDescent="0.2">
      <c r="A18" s="820" t="s">
        <v>135</v>
      </c>
      <c r="B18" s="821">
        <f t="shared" si="1"/>
        <v>0</v>
      </c>
      <c r="C18" s="626">
        <v>0</v>
      </c>
      <c r="D18" s="626">
        <v>0</v>
      </c>
      <c r="E18" s="811">
        <f t="shared" si="2"/>
        <v>0</v>
      </c>
      <c r="F18" s="131">
        <v>0</v>
      </c>
      <c r="G18" s="131">
        <v>0</v>
      </c>
    </row>
    <row r="19" spans="1:16" s="141" customFormat="1" ht="10.199999999999999" x14ac:dyDescent="0.2">
      <c r="A19" s="820" t="s">
        <v>136</v>
      </c>
      <c r="B19" s="821">
        <f t="shared" si="1"/>
        <v>1</v>
      </c>
      <c r="C19" s="626">
        <v>0</v>
      </c>
      <c r="D19" s="626">
        <v>1</v>
      </c>
      <c r="E19" s="811">
        <f t="shared" si="2"/>
        <v>1</v>
      </c>
      <c r="F19" s="131">
        <v>0</v>
      </c>
      <c r="G19" s="131">
        <v>1</v>
      </c>
    </row>
    <row r="20" spans="1:16" s="141" customFormat="1" ht="10.199999999999999" x14ac:dyDescent="0.2">
      <c r="A20" s="820" t="s">
        <v>17</v>
      </c>
      <c r="B20" s="821">
        <f t="shared" si="1"/>
        <v>0</v>
      </c>
      <c r="C20" s="626">
        <v>0</v>
      </c>
      <c r="D20" s="626">
        <v>0</v>
      </c>
      <c r="E20" s="811">
        <f t="shared" si="2"/>
        <v>0</v>
      </c>
      <c r="F20" s="131">
        <v>0</v>
      </c>
      <c r="G20" s="131">
        <v>0</v>
      </c>
    </row>
    <row r="21" spans="1:16" s="141" customFormat="1" ht="10.199999999999999" x14ac:dyDescent="0.2">
      <c r="A21" s="820" t="s">
        <v>18</v>
      </c>
      <c r="B21" s="821">
        <f t="shared" si="1"/>
        <v>0</v>
      </c>
      <c r="C21" s="626">
        <v>0</v>
      </c>
      <c r="D21" s="626">
        <v>0</v>
      </c>
      <c r="E21" s="811">
        <f t="shared" si="2"/>
        <v>0</v>
      </c>
      <c r="F21" s="131">
        <v>0</v>
      </c>
      <c r="G21" s="131">
        <v>0</v>
      </c>
    </row>
    <row r="22" spans="1:16" s="141" customFormat="1" ht="12" x14ac:dyDescent="0.2">
      <c r="A22" s="442" t="s">
        <v>2184</v>
      </c>
      <c r="B22" s="821">
        <f t="shared" si="1"/>
        <v>440</v>
      </c>
      <c r="C22" s="626">
        <v>225</v>
      </c>
      <c r="D22" s="626">
        <v>215</v>
      </c>
      <c r="E22" s="811">
        <f t="shared" si="2"/>
        <v>440</v>
      </c>
      <c r="F22" s="131">
        <v>225</v>
      </c>
      <c r="G22" s="131">
        <v>215</v>
      </c>
    </row>
    <row r="23" spans="1:16" s="141" customFormat="1" ht="6.75" customHeight="1" x14ac:dyDescent="0.2">
      <c r="A23" s="816"/>
      <c r="B23" s="442"/>
      <c r="C23" s="442"/>
      <c r="D23" s="442"/>
      <c r="E23" s="750"/>
    </row>
    <row r="24" spans="1:16" s="141" customFormat="1" ht="10.199999999999999" x14ac:dyDescent="0.2">
      <c r="A24" s="822" t="s">
        <v>2185</v>
      </c>
      <c r="B24" s="822"/>
      <c r="C24" s="822"/>
      <c r="D24" s="822"/>
      <c r="E24" s="822"/>
      <c r="F24" s="822"/>
      <c r="G24" s="822"/>
      <c r="H24" s="822"/>
      <c r="I24" s="822"/>
      <c r="J24" s="822"/>
      <c r="K24" s="822"/>
      <c r="L24" s="822"/>
      <c r="M24" s="822"/>
      <c r="N24" s="822"/>
      <c r="O24" s="822"/>
      <c r="P24" s="822"/>
    </row>
    <row r="25" spans="1:16" s="141" customFormat="1" ht="10.199999999999999" x14ac:dyDescent="0.2">
      <c r="A25" s="442" t="s">
        <v>1185</v>
      </c>
      <c r="B25" s="823"/>
      <c r="C25" s="823"/>
      <c r="D25" s="823"/>
    </row>
    <row r="26" spans="1:16" s="141" customFormat="1" ht="10.199999999999999" x14ac:dyDescent="0.2">
      <c r="A26" s="816" t="s">
        <v>2186</v>
      </c>
      <c r="B26" s="442"/>
      <c r="C26" s="442"/>
      <c r="D26" s="442"/>
      <c r="E26" s="750"/>
    </row>
    <row r="27" spans="1:16" s="706" customFormat="1" ht="10.199999999999999" x14ac:dyDescent="0.2">
      <c r="B27" s="753"/>
      <c r="C27" s="753"/>
      <c r="D27" s="753"/>
      <c r="E27" s="753"/>
    </row>
  </sheetData>
  <mergeCells count="5">
    <mergeCell ref="A2:G2"/>
    <mergeCell ref="A4:A5"/>
    <mergeCell ref="B4:D4"/>
    <mergeCell ref="E4:G4"/>
    <mergeCell ref="A24:P24"/>
  </mergeCells>
  <pageMargins left="0.7" right="0.7" top="0.75" bottom="0.75" header="0.3" footer="0.3"/>
  <pageSetup paperSize="14" scale="96" orientation="portrait"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DECAF-907D-4B48-A18D-341951B1BADA}">
  <sheetPr codeName="Hoja145"/>
  <dimension ref="A1:P28"/>
  <sheetViews>
    <sheetView zoomScaleNormal="100" workbookViewId="0">
      <selection activeCell="D40" sqref="D40"/>
    </sheetView>
  </sheetViews>
  <sheetFormatPr baseColWidth="10" defaultRowHeight="13.2" x14ac:dyDescent="0.25"/>
  <cols>
    <col min="1" max="1" width="19.44140625" customWidth="1"/>
  </cols>
  <sheetData>
    <row r="1" spans="1:16" ht="15.6" x14ac:dyDescent="0.25">
      <c r="A1" s="687"/>
    </row>
    <row r="2" spans="1:16" s="706" customFormat="1" ht="25.5" customHeight="1" x14ac:dyDescent="0.2">
      <c r="A2" s="817" t="s">
        <v>2160</v>
      </c>
      <c r="B2" s="817"/>
      <c r="C2" s="817"/>
      <c r="D2" s="817"/>
      <c r="E2" s="817"/>
      <c r="F2" s="817"/>
      <c r="G2" s="817"/>
      <c r="H2" s="818"/>
      <c r="I2" s="141"/>
    </row>
    <row r="3" spans="1:16" s="706" customFormat="1" ht="10.199999999999999" x14ac:dyDescent="0.2">
      <c r="A3" s="442"/>
      <c r="B3" s="442"/>
      <c r="C3" s="442"/>
      <c r="D3" s="442"/>
      <c r="E3" s="753"/>
    </row>
    <row r="4" spans="1:16" s="141" customFormat="1" ht="12" x14ac:dyDescent="0.2">
      <c r="A4" s="763" t="s">
        <v>0</v>
      </c>
      <c r="B4" s="824">
        <v>2012</v>
      </c>
      <c r="C4" s="825"/>
      <c r="D4" s="826"/>
      <c r="E4" s="824" t="s">
        <v>2095</v>
      </c>
      <c r="F4" s="825"/>
      <c r="G4" s="826"/>
      <c r="H4" s="827"/>
      <c r="I4" s="828"/>
      <c r="J4" s="828"/>
      <c r="K4" s="828"/>
      <c r="L4" s="828"/>
      <c r="M4" s="828"/>
      <c r="N4" s="828"/>
      <c r="O4" s="828"/>
      <c r="P4" s="828"/>
    </row>
    <row r="5" spans="1:16" s="141" customFormat="1" ht="10.199999999999999" x14ac:dyDescent="0.2">
      <c r="A5" s="829"/>
      <c r="B5" s="808" t="s">
        <v>42</v>
      </c>
      <c r="C5" s="808" t="s">
        <v>122</v>
      </c>
      <c r="D5" s="808" t="s">
        <v>123</v>
      </c>
      <c r="E5" s="808" t="s">
        <v>42</v>
      </c>
      <c r="F5" s="808" t="s">
        <v>122</v>
      </c>
      <c r="G5" s="808" t="s">
        <v>123</v>
      </c>
      <c r="H5" s="809"/>
      <c r="I5" s="809"/>
      <c r="J5" s="809"/>
      <c r="K5" s="809"/>
      <c r="L5" s="809"/>
      <c r="M5" s="809"/>
      <c r="N5" s="809"/>
      <c r="O5" s="809"/>
      <c r="P5" s="809"/>
    </row>
    <row r="6" spans="1:16" s="706" customFormat="1" ht="10.199999999999999" x14ac:dyDescent="0.2">
      <c r="A6" s="810" t="s">
        <v>3</v>
      </c>
      <c r="B6" s="821">
        <f>SUM(B7:B22)</f>
        <v>887</v>
      </c>
      <c r="C6" s="821">
        <f t="shared" ref="C6:D6" si="0">SUM(C7:C22)</f>
        <v>404</v>
      </c>
      <c r="D6" s="821">
        <f t="shared" si="0"/>
        <v>483</v>
      </c>
      <c r="E6" s="830" t="s">
        <v>193</v>
      </c>
      <c r="F6" s="830" t="s">
        <v>193</v>
      </c>
      <c r="G6" s="830" t="s">
        <v>193</v>
      </c>
      <c r="K6" s="821"/>
      <c r="L6" s="821"/>
      <c r="M6" s="821"/>
    </row>
    <row r="7" spans="1:16" s="706" customFormat="1" ht="10.199999999999999" x14ac:dyDescent="0.2">
      <c r="A7" s="831" t="s">
        <v>4</v>
      </c>
      <c r="B7" s="821">
        <f>SUM(C7:D7)</f>
        <v>0</v>
      </c>
      <c r="C7" s="626">
        <v>0</v>
      </c>
      <c r="D7" s="626">
        <v>0</v>
      </c>
      <c r="E7" s="459" t="s">
        <v>193</v>
      </c>
      <c r="F7" s="459" t="s">
        <v>193</v>
      </c>
      <c r="G7" s="459" t="s">
        <v>193</v>
      </c>
      <c r="K7" s="821"/>
      <c r="L7" s="626"/>
      <c r="M7" s="626"/>
    </row>
    <row r="8" spans="1:16" s="706" customFormat="1" ht="10.199999999999999" x14ac:dyDescent="0.2">
      <c r="A8" s="831" t="s">
        <v>5</v>
      </c>
      <c r="B8" s="821">
        <f t="shared" ref="B8:B22" si="1">SUM(C8:D8)</f>
        <v>0</v>
      </c>
      <c r="C8" s="626">
        <v>0</v>
      </c>
      <c r="D8" s="626">
        <v>0</v>
      </c>
      <c r="E8" s="459" t="s">
        <v>193</v>
      </c>
      <c r="F8" s="459" t="s">
        <v>193</v>
      </c>
      <c r="G8" s="459" t="s">
        <v>193</v>
      </c>
      <c r="K8" s="821"/>
      <c r="L8" s="626"/>
      <c r="M8" s="626"/>
    </row>
    <row r="9" spans="1:16" s="706" customFormat="1" ht="10.199999999999999" x14ac:dyDescent="0.2">
      <c r="A9" s="831" t="s">
        <v>6</v>
      </c>
      <c r="B9" s="821">
        <f t="shared" si="1"/>
        <v>0</v>
      </c>
      <c r="C9" s="626">
        <v>0</v>
      </c>
      <c r="D9" s="626">
        <v>0</v>
      </c>
      <c r="E9" s="459" t="s">
        <v>193</v>
      </c>
      <c r="F9" s="459" t="s">
        <v>193</v>
      </c>
      <c r="G9" s="459" t="s">
        <v>193</v>
      </c>
      <c r="K9" s="821"/>
      <c r="L9" s="626"/>
      <c r="M9" s="626"/>
    </row>
    <row r="10" spans="1:16" s="706" customFormat="1" ht="10.199999999999999" x14ac:dyDescent="0.2">
      <c r="A10" s="831" t="s">
        <v>7</v>
      </c>
      <c r="B10" s="821">
        <f t="shared" si="1"/>
        <v>0</v>
      </c>
      <c r="C10" s="626">
        <v>0</v>
      </c>
      <c r="D10" s="626">
        <v>0</v>
      </c>
      <c r="E10" s="459" t="s">
        <v>193</v>
      </c>
      <c r="F10" s="459" t="s">
        <v>193</v>
      </c>
      <c r="G10" s="459" t="s">
        <v>193</v>
      </c>
      <c r="K10" s="821"/>
      <c r="L10" s="626"/>
      <c r="M10" s="626"/>
    </row>
    <row r="11" spans="1:16" s="706" customFormat="1" ht="10.199999999999999" x14ac:dyDescent="0.2">
      <c r="A11" s="831" t="s">
        <v>8</v>
      </c>
      <c r="B11" s="821">
        <f t="shared" si="1"/>
        <v>0</v>
      </c>
      <c r="C11" s="626">
        <v>0</v>
      </c>
      <c r="D11" s="626">
        <v>0</v>
      </c>
      <c r="E11" s="459" t="s">
        <v>193</v>
      </c>
      <c r="F11" s="459" t="s">
        <v>193</v>
      </c>
      <c r="G11" s="459" t="s">
        <v>193</v>
      </c>
      <c r="K11" s="821"/>
      <c r="L11" s="626"/>
      <c r="M11" s="626"/>
    </row>
    <row r="12" spans="1:16" s="706" customFormat="1" ht="10.199999999999999" x14ac:dyDescent="0.2">
      <c r="A12" s="831" t="s">
        <v>9</v>
      </c>
      <c r="B12" s="821">
        <f t="shared" si="1"/>
        <v>8</v>
      </c>
      <c r="C12" s="626">
        <v>5</v>
      </c>
      <c r="D12" s="626">
        <v>3</v>
      </c>
      <c r="E12" s="459" t="s">
        <v>193</v>
      </c>
      <c r="F12" s="459" t="s">
        <v>193</v>
      </c>
      <c r="G12" s="459" t="s">
        <v>193</v>
      </c>
      <c r="K12" s="821"/>
      <c r="L12" s="626"/>
      <c r="M12" s="626"/>
    </row>
    <row r="13" spans="1:16" s="706" customFormat="1" ht="10.199999999999999" x14ac:dyDescent="0.2">
      <c r="A13" s="831" t="s">
        <v>10</v>
      </c>
      <c r="B13" s="821">
        <f>SUM(C13:D13)</f>
        <v>434</v>
      </c>
      <c r="C13" s="626">
        <v>171</v>
      </c>
      <c r="D13" s="626">
        <v>263</v>
      </c>
      <c r="E13" s="459" t="s">
        <v>193</v>
      </c>
      <c r="F13" s="459" t="s">
        <v>193</v>
      </c>
      <c r="G13" s="459" t="s">
        <v>193</v>
      </c>
      <c r="K13" s="821"/>
      <c r="L13" s="626"/>
      <c r="M13" s="626"/>
    </row>
    <row r="14" spans="1:16" s="706" customFormat="1" ht="10.199999999999999" x14ac:dyDescent="0.2">
      <c r="A14" s="831" t="s">
        <v>134</v>
      </c>
      <c r="B14" s="821">
        <f t="shared" si="1"/>
        <v>4</v>
      </c>
      <c r="C14" s="626">
        <v>3</v>
      </c>
      <c r="D14" s="626">
        <v>1</v>
      </c>
      <c r="E14" s="459" t="s">
        <v>193</v>
      </c>
      <c r="F14" s="459" t="s">
        <v>193</v>
      </c>
      <c r="G14" s="459" t="s">
        <v>193</v>
      </c>
      <c r="K14" s="821"/>
      <c r="L14" s="626"/>
      <c r="M14" s="626"/>
    </row>
    <row r="15" spans="1:16" s="706" customFormat="1" ht="10.199999999999999" x14ac:dyDescent="0.2">
      <c r="A15" s="831" t="s">
        <v>12</v>
      </c>
      <c r="B15" s="821">
        <f t="shared" si="1"/>
        <v>0</v>
      </c>
      <c r="C15" s="626">
        <v>0</v>
      </c>
      <c r="D15" s="626">
        <v>0</v>
      </c>
      <c r="E15" s="459" t="s">
        <v>193</v>
      </c>
      <c r="F15" s="459" t="s">
        <v>193</v>
      </c>
      <c r="G15" s="459" t="s">
        <v>193</v>
      </c>
      <c r="K15" s="821"/>
      <c r="L15" s="626"/>
      <c r="M15" s="626"/>
    </row>
    <row r="16" spans="1:16" s="706" customFormat="1" ht="10.199999999999999" x14ac:dyDescent="0.2">
      <c r="A16" s="831" t="s">
        <v>13</v>
      </c>
      <c r="B16" s="821">
        <f t="shared" si="1"/>
        <v>0</v>
      </c>
      <c r="C16" s="626">
        <v>0</v>
      </c>
      <c r="D16" s="626">
        <v>0</v>
      </c>
      <c r="E16" s="459" t="s">
        <v>193</v>
      </c>
      <c r="F16" s="459" t="s">
        <v>193</v>
      </c>
      <c r="G16" s="459" t="s">
        <v>193</v>
      </c>
      <c r="K16" s="821"/>
      <c r="L16" s="626"/>
      <c r="M16" s="626"/>
    </row>
    <row r="17" spans="1:16" s="706" customFormat="1" ht="10.199999999999999" x14ac:dyDescent="0.2">
      <c r="A17" s="831" t="s">
        <v>47</v>
      </c>
      <c r="B17" s="821">
        <f t="shared" si="1"/>
        <v>0</v>
      </c>
      <c r="C17" s="626">
        <v>0</v>
      </c>
      <c r="D17" s="626">
        <v>0</v>
      </c>
      <c r="E17" s="459" t="s">
        <v>193</v>
      </c>
      <c r="F17" s="459" t="s">
        <v>193</v>
      </c>
      <c r="G17" s="459" t="s">
        <v>193</v>
      </c>
      <c r="K17" s="821"/>
      <c r="L17" s="626"/>
      <c r="M17" s="626"/>
    </row>
    <row r="18" spans="1:16" s="706" customFormat="1" ht="10.199999999999999" x14ac:dyDescent="0.2">
      <c r="A18" s="831" t="s">
        <v>135</v>
      </c>
      <c r="B18" s="821">
        <f t="shared" si="1"/>
        <v>0</v>
      </c>
      <c r="C18" s="626">
        <v>0</v>
      </c>
      <c r="D18" s="626">
        <v>0</v>
      </c>
      <c r="E18" s="459" t="s">
        <v>193</v>
      </c>
      <c r="F18" s="459" t="s">
        <v>193</v>
      </c>
      <c r="G18" s="459" t="s">
        <v>193</v>
      </c>
      <c r="K18" s="821"/>
      <c r="L18" s="626"/>
      <c r="M18" s="626"/>
    </row>
    <row r="19" spans="1:16" s="706" customFormat="1" ht="10.199999999999999" x14ac:dyDescent="0.2">
      <c r="A19" s="831" t="s">
        <v>136</v>
      </c>
      <c r="B19" s="821">
        <f t="shared" si="1"/>
        <v>1</v>
      </c>
      <c r="C19" s="626">
        <v>0</v>
      </c>
      <c r="D19" s="626">
        <v>1</v>
      </c>
      <c r="E19" s="459" t="s">
        <v>193</v>
      </c>
      <c r="F19" s="459" t="s">
        <v>193</v>
      </c>
      <c r="G19" s="459" t="s">
        <v>193</v>
      </c>
      <c r="K19" s="821"/>
      <c r="L19" s="626"/>
      <c r="M19" s="626"/>
    </row>
    <row r="20" spans="1:16" s="706" customFormat="1" ht="10.199999999999999" x14ac:dyDescent="0.2">
      <c r="A20" s="831" t="s">
        <v>17</v>
      </c>
      <c r="B20" s="821">
        <f t="shared" si="1"/>
        <v>0</v>
      </c>
      <c r="C20" s="626">
        <v>0</v>
      </c>
      <c r="D20" s="626">
        <v>0</v>
      </c>
      <c r="E20" s="459" t="s">
        <v>193</v>
      </c>
      <c r="F20" s="459" t="s">
        <v>193</v>
      </c>
      <c r="G20" s="459" t="s">
        <v>193</v>
      </c>
      <c r="K20" s="821"/>
      <c r="L20" s="626"/>
      <c r="M20" s="626"/>
    </row>
    <row r="21" spans="1:16" s="706" customFormat="1" ht="10.199999999999999" x14ac:dyDescent="0.2">
      <c r="A21" s="831" t="s">
        <v>18</v>
      </c>
      <c r="B21" s="821">
        <f t="shared" si="1"/>
        <v>0</v>
      </c>
      <c r="C21" s="626">
        <v>0</v>
      </c>
      <c r="D21" s="626">
        <v>0</v>
      </c>
      <c r="E21" s="459" t="s">
        <v>193</v>
      </c>
      <c r="F21" s="459" t="s">
        <v>193</v>
      </c>
      <c r="G21" s="459" t="s">
        <v>193</v>
      </c>
      <c r="K21" s="821"/>
      <c r="L21" s="626"/>
      <c r="M21" s="626"/>
    </row>
    <row r="22" spans="1:16" s="706" customFormat="1" ht="12" x14ac:dyDescent="0.2">
      <c r="A22" s="442" t="s">
        <v>2184</v>
      </c>
      <c r="B22" s="821">
        <f t="shared" si="1"/>
        <v>440</v>
      </c>
      <c r="C22" s="626">
        <v>225</v>
      </c>
      <c r="D22" s="626">
        <v>215</v>
      </c>
      <c r="E22" s="459" t="s">
        <v>193</v>
      </c>
      <c r="F22" s="459" t="s">
        <v>193</v>
      </c>
      <c r="G22" s="459" t="s">
        <v>193</v>
      </c>
      <c r="K22" s="821"/>
      <c r="L22" s="626"/>
      <c r="M22" s="626"/>
    </row>
    <row r="23" spans="1:16" s="706" customFormat="1" ht="6" customHeight="1" x14ac:dyDescent="0.2">
      <c r="A23" s="442"/>
      <c r="B23" s="814"/>
      <c r="C23" s="815"/>
      <c r="D23" s="815"/>
      <c r="E23" s="753"/>
      <c r="K23" s="821"/>
      <c r="L23" s="626"/>
      <c r="M23" s="626"/>
    </row>
    <row r="24" spans="1:16" s="706" customFormat="1" ht="23.25" customHeight="1" x14ac:dyDescent="0.25">
      <c r="A24" s="822" t="s">
        <v>2187</v>
      </c>
      <c r="B24" s="822"/>
      <c r="C24" s="822"/>
      <c r="D24" s="822"/>
      <c r="E24" s="822"/>
      <c r="F24" s="822"/>
      <c r="G24" s="822"/>
      <c r="H24"/>
      <c r="I24"/>
      <c r="J24"/>
      <c r="K24"/>
      <c r="L24"/>
      <c r="M24"/>
      <c r="N24"/>
      <c r="O24"/>
      <c r="P24"/>
    </row>
    <row r="25" spans="1:16" s="706" customFormat="1" ht="10.5" customHeight="1" x14ac:dyDescent="0.25">
      <c r="A25" s="832" t="s">
        <v>2188</v>
      </c>
      <c r="B25"/>
      <c r="C25"/>
      <c r="D25"/>
      <c r="E25"/>
      <c r="F25"/>
      <c r="G25"/>
      <c r="H25"/>
      <c r="I25"/>
      <c r="J25"/>
      <c r="K25"/>
      <c r="L25"/>
      <c r="M25"/>
      <c r="N25"/>
      <c r="O25"/>
      <c r="P25"/>
    </row>
    <row r="26" spans="1:16" s="706" customFormat="1" ht="10.199999999999999" x14ac:dyDescent="0.2">
      <c r="A26" s="442" t="s">
        <v>1185</v>
      </c>
      <c r="B26" s="753"/>
      <c r="C26" s="753"/>
      <c r="D26" s="753"/>
      <c r="E26" s="753"/>
    </row>
    <row r="27" spans="1:16" s="706" customFormat="1" ht="10.199999999999999" x14ac:dyDescent="0.2">
      <c r="A27" s="296" t="s">
        <v>2189</v>
      </c>
      <c r="B27" s="296"/>
      <c r="C27" s="296"/>
      <c r="D27" s="296"/>
      <c r="E27" s="296"/>
      <c r="F27" s="296"/>
      <c r="G27" s="296"/>
    </row>
    <row r="28" spans="1:16" s="706" customFormat="1" ht="10.199999999999999" x14ac:dyDescent="0.2">
      <c r="A28" s="816" t="s">
        <v>2186</v>
      </c>
      <c r="B28" s="442"/>
      <c r="C28" s="442"/>
      <c r="D28" s="442"/>
      <c r="E28" s="753"/>
    </row>
  </sheetData>
  <mergeCells count="6">
    <mergeCell ref="A2:G2"/>
    <mergeCell ref="A4:A5"/>
    <mergeCell ref="B4:D4"/>
    <mergeCell ref="E4:G4"/>
    <mergeCell ref="A24:G24"/>
    <mergeCell ref="A27:G27"/>
  </mergeCells>
  <pageMargins left="0.7" right="0.7" top="0.75" bottom="0.75" header="0.3" footer="0.3"/>
  <pageSetup paperSize="14" orientation="portrait"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AF47C2-C3FE-439B-ABC6-B46967517817}">
  <sheetPr codeName="Hoja146"/>
  <dimension ref="A1:P26"/>
  <sheetViews>
    <sheetView zoomScaleNormal="100" workbookViewId="0">
      <selection activeCell="D40" sqref="D40"/>
    </sheetView>
  </sheetViews>
  <sheetFormatPr baseColWidth="10" defaultRowHeight="13.2" x14ac:dyDescent="0.25"/>
  <cols>
    <col min="1" max="1" width="23.5546875" customWidth="1"/>
  </cols>
  <sheetData>
    <row r="1" spans="1:16" ht="15.6" x14ac:dyDescent="0.25">
      <c r="A1" s="687"/>
    </row>
    <row r="2" spans="1:16" s="141" customFormat="1" ht="41.25" customHeight="1" x14ac:dyDescent="0.2">
      <c r="A2" s="817" t="s">
        <v>2161</v>
      </c>
      <c r="B2" s="817"/>
      <c r="C2" s="817"/>
      <c r="D2" s="817"/>
      <c r="E2" s="817"/>
      <c r="F2" s="817"/>
      <c r="G2" s="817"/>
      <c r="H2" s="818"/>
    </row>
    <row r="3" spans="1:16" s="141" customFormat="1" ht="10.199999999999999" x14ac:dyDescent="0.2">
      <c r="A3" s="442"/>
      <c r="B3" s="442"/>
      <c r="C3" s="442"/>
      <c r="D3" s="442"/>
    </row>
    <row r="4" spans="1:16" s="141" customFormat="1" ht="16.5" customHeight="1" x14ac:dyDescent="0.2">
      <c r="A4" s="763" t="s">
        <v>0</v>
      </c>
      <c r="B4" s="833">
        <v>2012</v>
      </c>
      <c r="C4" s="833"/>
      <c r="D4" s="833"/>
      <c r="E4" s="833">
        <v>2013</v>
      </c>
      <c r="F4" s="833"/>
      <c r="G4" s="833"/>
      <c r="H4" s="828"/>
      <c r="I4" s="828"/>
      <c r="J4" s="828"/>
      <c r="K4" s="828"/>
      <c r="L4" s="828"/>
      <c r="M4" s="828"/>
      <c r="N4" s="828"/>
      <c r="O4" s="828"/>
      <c r="P4" s="828"/>
    </row>
    <row r="5" spans="1:16" s="141" customFormat="1" ht="10.199999999999999" x14ac:dyDescent="0.2">
      <c r="A5" s="772"/>
      <c r="B5" s="808" t="s">
        <v>42</v>
      </c>
      <c r="C5" s="808" t="s">
        <v>122</v>
      </c>
      <c r="D5" s="808" t="s">
        <v>123</v>
      </c>
      <c r="E5" s="808" t="s">
        <v>42</v>
      </c>
      <c r="F5" s="808" t="s">
        <v>122</v>
      </c>
      <c r="G5" s="808" t="s">
        <v>123</v>
      </c>
      <c r="H5" s="834"/>
      <c r="I5" s="834"/>
      <c r="J5" s="834"/>
      <c r="K5" s="834"/>
      <c r="L5" s="834"/>
      <c r="M5" s="834"/>
      <c r="N5" s="834"/>
      <c r="O5" s="834"/>
      <c r="P5" s="834"/>
    </row>
    <row r="6" spans="1:16" s="141" customFormat="1" ht="10.199999999999999" x14ac:dyDescent="0.2">
      <c r="A6" s="810" t="s">
        <v>3</v>
      </c>
      <c r="B6" s="821">
        <f>SUM(B7:B22)</f>
        <v>885</v>
      </c>
      <c r="C6" s="821">
        <f>SUM(C7:C22)</f>
        <v>395</v>
      </c>
      <c r="D6" s="821">
        <f t="shared" ref="D6:F6" si="0">SUM(D7:D22)</f>
        <v>490</v>
      </c>
      <c r="E6" s="821">
        <f t="shared" si="0"/>
        <v>910</v>
      </c>
      <c r="F6" s="821">
        <f t="shared" si="0"/>
        <v>404</v>
      </c>
      <c r="G6" s="821">
        <f>SUM(G7:G22)</f>
        <v>506</v>
      </c>
      <c r="H6" s="131"/>
      <c r="I6" s="131"/>
      <c r="J6" s="131"/>
      <c r="K6" s="821"/>
      <c r="L6" s="821"/>
      <c r="M6" s="821"/>
      <c r="N6" s="811"/>
      <c r="O6" s="811"/>
      <c r="P6" s="811"/>
    </row>
    <row r="7" spans="1:16" s="141" customFormat="1" ht="10.199999999999999" x14ac:dyDescent="0.2">
      <c r="A7" s="835" t="s">
        <v>4</v>
      </c>
      <c r="B7" s="821">
        <f>SUM(C7:D7)</f>
        <v>0</v>
      </c>
      <c r="C7" s="626">
        <v>0</v>
      </c>
      <c r="D7" s="626">
        <v>0</v>
      </c>
      <c r="E7" s="811">
        <f>SUM(F7:G7)</f>
        <v>0</v>
      </c>
      <c r="F7" s="131">
        <v>0</v>
      </c>
      <c r="G7" s="131">
        <v>0</v>
      </c>
      <c r="H7" s="131"/>
      <c r="I7" s="131"/>
      <c r="J7" s="131"/>
      <c r="K7" s="821"/>
      <c r="L7" s="626"/>
      <c r="M7" s="626"/>
      <c r="N7" s="131"/>
      <c r="O7" s="131"/>
      <c r="P7" s="131"/>
    </row>
    <row r="8" spans="1:16" s="141" customFormat="1" ht="10.199999999999999" x14ac:dyDescent="0.2">
      <c r="A8" s="835" t="s">
        <v>5</v>
      </c>
      <c r="B8" s="821">
        <f t="shared" ref="B8:B22" si="1">SUM(C8:D8)</f>
        <v>0</v>
      </c>
      <c r="C8" s="626">
        <v>0</v>
      </c>
      <c r="D8" s="626">
        <v>0</v>
      </c>
      <c r="E8" s="811">
        <f t="shared" ref="E8:E22" si="2">SUM(F8:G8)</f>
        <v>0</v>
      </c>
      <c r="F8" s="131">
        <v>0</v>
      </c>
      <c r="G8" s="131">
        <v>0</v>
      </c>
      <c r="H8" s="131"/>
      <c r="I8" s="131"/>
      <c r="J8" s="131"/>
      <c r="K8" s="821"/>
      <c r="L8" s="626"/>
      <c r="M8" s="626"/>
      <c r="N8" s="131"/>
      <c r="O8" s="131"/>
      <c r="P8" s="131"/>
    </row>
    <row r="9" spans="1:16" s="141" customFormat="1" ht="10.199999999999999" x14ac:dyDescent="0.2">
      <c r="A9" s="835" t="s">
        <v>6</v>
      </c>
      <c r="B9" s="821">
        <f t="shared" si="1"/>
        <v>0</v>
      </c>
      <c r="C9" s="626">
        <v>0</v>
      </c>
      <c r="D9" s="626">
        <v>0</v>
      </c>
      <c r="E9" s="811">
        <f t="shared" si="2"/>
        <v>0</v>
      </c>
      <c r="F9" s="131">
        <v>0</v>
      </c>
      <c r="G9" s="131">
        <v>0</v>
      </c>
      <c r="H9" s="131"/>
      <c r="I9" s="131"/>
      <c r="J9" s="131"/>
      <c r="K9" s="821"/>
      <c r="L9" s="626"/>
      <c r="M9" s="626"/>
      <c r="N9" s="131"/>
      <c r="O9" s="131"/>
      <c r="P9" s="131"/>
    </row>
    <row r="10" spans="1:16" s="141" customFormat="1" ht="10.199999999999999" x14ac:dyDescent="0.2">
      <c r="A10" s="835" t="s">
        <v>7</v>
      </c>
      <c r="B10" s="821">
        <f t="shared" si="1"/>
        <v>0</v>
      </c>
      <c r="C10" s="626">
        <v>0</v>
      </c>
      <c r="D10" s="626">
        <v>0</v>
      </c>
      <c r="E10" s="811">
        <f t="shared" si="2"/>
        <v>0</v>
      </c>
      <c r="F10" s="131">
        <v>0</v>
      </c>
      <c r="G10" s="131">
        <v>0</v>
      </c>
      <c r="H10" s="131"/>
      <c r="I10" s="131"/>
      <c r="J10" s="131"/>
      <c r="K10" s="821"/>
      <c r="L10" s="626"/>
      <c r="M10" s="626"/>
      <c r="N10" s="131"/>
      <c r="O10" s="131"/>
      <c r="P10" s="131"/>
    </row>
    <row r="11" spans="1:16" s="141" customFormat="1" ht="10.199999999999999" x14ac:dyDescent="0.2">
      <c r="A11" s="835" t="s">
        <v>8</v>
      </c>
      <c r="B11" s="821">
        <f t="shared" si="1"/>
        <v>0</v>
      </c>
      <c r="C11" s="626">
        <v>0</v>
      </c>
      <c r="D11" s="626">
        <v>0</v>
      </c>
      <c r="E11" s="811">
        <f t="shared" si="2"/>
        <v>0</v>
      </c>
      <c r="F11" s="131">
        <v>0</v>
      </c>
      <c r="G11" s="131">
        <v>0</v>
      </c>
      <c r="H11" s="131"/>
      <c r="I11" s="131"/>
      <c r="J11" s="131"/>
      <c r="K11" s="821"/>
      <c r="L11" s="626"/>
      <c r="M11" s="626"/>
      <c r="N11" s="131"/>
      <c r="O11" s="131"/>
      <c r="P11" s="131"/>
    </row>
    <row r="12" spans="1:16" s="141" customFormat="1" ht="10.199999999999999" x14ac:dyDescent="0.2">
      <c r="A12" s="835" t="s">
        <v>9</v>
      </c>
      <c r="B12" s="821">
        <f t="shared" si="1"/>
        <v>8</v>
      </c>
      <c r="C12" s="626">
        <v>5</v>
      </c>
      <c r="D12" s="626">
        <v>3</v>
      </c>
      <c r="E12" s="811">
        <f t="shared" si="2"/>
        <v>8</v>
      </c>
      <c r="F12" s="131">
        <v>5</v>
      </c>
      <c r="G12" s="131">
        <v>3</v>
      </c>
      <c r="H12" s="131"/>
      <c r="I12" s="131"/>
      <c r="J12" s="131"/>
      <c r="K12" s="821"/>
      <c r="L12" s="626"/>
      <c r="M12" s="626"/>
      <c r="N12" s="131"/>
      <c r="O12" s="131"/>
      <c r="P12" s="131"/>
    </row>
    <row r="13" spans="1:16" s="141" customFormat="1" ht="10.199999999999999" x14ac:dyDescent="0.2">
      <c r="A13" s="835" t="s">
        <v>10</v>
      </c>
      <c r="B13" s="821">
        <f t="shared" si="1"/>
        <v>431</v>
      </c>
      <c r="C13" s="626">
        <v>161</v>
      </c>
      <c r="D13" s="626">
        <v>270</v>
      </c>
      <c r="E13" s="811">
        <f t="shared" si="2"/>
        <v>455</v>
      </c>
      <c r="F13" s="131">
        <v>170</v>
      </c>
      <c r="G13" s="131">
        <v>285</v>
      </c>
      <c r="H13" s="131"/>
      <c r="I13" s="131"/>
      <c r="J13" s="131"/>
      <c r="K13" s="821"/>
      <c r="L13" s="626"/>
      <c r="M13" s="626"/>
      <c r="N13" s="131"/>
      <c r="O13" s="131"/>
      <c r="P13" s="131"/>
    </row>
    <row r="14" spans="1:16" s="141" customFormat="1" ht="10.199999999999999" x14ac:dyDescent="0.2">
      <c r="A14" s="835" t="s">
        <v>134</v>
      </c>
      <c r="B14" s="821">
        <f t="shared" si="1"/>
        <v>4</v>
      </c>
      <c r="C14" s="626">
        <v>3</v>
      </c>
      <c r="D14" s="626">
        <v>1</v>
      </c>
      <c r="E14" s="811">
        <f t="shared" si="2"/>
        <v>5</v>
      </c>
      <c r="F14" s="131">
        <v>3</v>
      </c>
      <c r="G14" s="131">
        <v>2</v>
      </c>
      <c r="H14" s="131"/>
      <c r="I14" s="131"/>
      <c r="J14" s="131"/>
      <c r="K14" s="821"/>
      <c r="L14" s="626"/>
      <c r="M14" s="626"/>
      <c r="N14" s="131"/>
      <c r="O14" s="131"/>
      <c r="P14" s="131"/>
    </row>
    <row r="15" spans="1:16" s="141" customFormat="1" ht="10.199999999999999" x14ac:dyDescent="0.2">
      <c r="A15" s="835" t="s">
        <v>12</v>
      </c>
      <c r="B15" s="821">
        <f t="shared" si="1"/>
        <v>2</v>
      </c>
      <c r="C15" s="626">
        <v>1</v>
      </c>
      <c r="D15" s="626">
        <v>1</v>
      </c>
      <c r="E15" s="811">
        <f t="shared" si="2"/>
        <v>2</v>
      </c>
      <c r="F15" s="131">
        <v>1</v>
      </c>
      <c r="G15" s="131">
        <v>1</v>
      </c>
      <c r="H15" s="131"/>
      <c r="I15" s="131"/>
      <c r="J15" s="131"/>
      <c r="K15" s="821"/>
      <c r="L15" s="626"/>
      <c r="M15" s="626"/>
      <c r="N15" s="131"/>
      <c r="O15" s="131"/>
      <c r="P15" s="131"/>
    </row>
    <row r="16" spans="1:16" s="141" customFormat="1" ht="10.199999999999999" x14ac:dyDescent="0.2">
      <c r="A16" s="835" t="s">
        <v>13</v>
      </c>
      <c r="B16" s="821">
        <f t="shared" si="1"/>
        <v>0</v>
      </c>
      <c r="C16" s="626">
        <v>0</v>
      </c>
      <c r="D16" s="626">
        <v>0</v>
      </c>
      <c r="E16" s="811">
        <f t="shared" si="2"/>
        <v>0</v>
      </c>
      <c r="F16" s="131">
        <v>0</v>
      </c>
      <c r="G16" s="131">
        <v>0</v>
      </c>
      <c r="H16" s="131"/>
      <c r="I16" s="131"/>
      <c r="J16" s="131"/>
      <c r="K16" s="821"/>
      <c r="L16" s="626"/>
      <c r="M16" s="626"/>
      <c r="N16" s="131"/>
      <c r="O16" s="131"/>
      <c r="P16" s="131"/>
    </row>
    <row r="17" spans="1:16" s="141" customFormat="1" ht="10.199999999999999" x14ac:dyDescent="0.2">
      <c r="A17" s="835" t="s">
        <v>47</v>
      </c>
      <c r="B17" s="821">
        <f t="shared" si="1"/>
        <v>0</v>
      </c>
      <c r="C17" s="626">
        <v>0</v>
      </c>
      <c r="D17" s="626">
        <v>0</v>
      </c>
      <c r="E17" s="811">
        <f t="shared" si="2"/>
        <v>0</v>
      </c>
      <c r="F17" s="131">
        <v>0</v>
      </c>
      <c r="G17" s="131">
        <v>0</v>
      </c>
      <c r="H17" s="131"/>
      <c r="I17" s="131"/>
      <c r="J17" s="131"/>
      <c r="K17" s="821"/>
      <c r="L17" s="626"/>
      <c r="M17" s="626"/>
      <c r="N17" s="131"/>
      <c r="O17" s="131"/>
      <c r="P17" s="131"/>
    </row>
    <row r="18" spans="1:16" s="141" customFormat="1" ht="10.199999999999999" x14ac:dyDescent="0.2">
      <c r="A18" s="835" t="s">
        <v>135</v>
      </c>
      <c r="B18" s="821">
        <f t="shared" si="1"/>
        <v>0</v>
      </c>
      <c r="C18" s="626">
        <v>0</v>
      </c>
      <c r="D18" s="626">
        <v>0</v>
      </c>
      <c r="E18" s="811">
        <f t="shared" si="2"/>
        <v>0</v>
      </c>
      <c r="F18" s="131">
        <v>0</v>
      </c>
      <c r="G18" s="131">
        <v>0</v>
      </c>
      <c r="H18" s="131"/>
      <c r="I18" s="131"/>
      <c r="J18" s="131"/>
      <c r="K18" s="821"/>
      <c r="L18" s="626"/>
      <c r="M18" s="626"/>
      <c r="N18" s="131"/>
      <c r="O18" s="131"/>
      <c r="P18" s="131"/>
    </row>
    <row r="19" spans="1:16" s="141" customFormat="1" ht="10.199999999999999" x14ac:dyDescent="0.2">
      <c r="A19" s="835" t="s">
        <v>136</v>
      </c>
      <c r="B19" s="821">
        <f t="shared" si="1"/>
        <v>0</v>
      </c>
      <c r="C19" s="626">
        <v>0</v>
      </c>
      <c r="D19" s="626">
        <v>0</v>
      </c>
      <c r="E19" s="811">
        <f t="shared" si="2"/>
        <v>0</v>
      </c>
      <c r="F19" s="131">
        <v>0</v>
      </c>
      <c r="G19" s="131">
        <v>0</v>
      </c>
      <c r="H19" s="131"/>
      <c r="I19" s="131"/>
      <c r="J19" s="131"/>
      <c r="K19" s="821"/>
      <c r="L19" s="626"/>
      <c r="M19" s="626"/>
      <c r="N19" s="131"/>
      <c r="O19" s="131"/>
      <c r="P19" s="131"/>
    </row>
    <row r="20" spans="1:16" s="141" customFormat="1" ht="10.199999999999999" x14ac:dyDescent="0.2">
      <c r="A20" s="835" t="s">
        <v>17</v>
      </c>
      <c r="B20" s="821">
        <f t="shared" si="1"/>
        <v>0</v>
      </c>
      <c r="C20" s="626">
        <v>0</v>
      </c>
      <c r="D20" s="626">
        <v>0</v>
      </c>
      <c r="E20" s="811">
        <f t="shared" si="2"/>
        <v>0</v>
      </c>
      <c r="F20" s="131">
        <v>0</v>
      </c>
      <c r="G20" s="131">
        <v>0</v>
      </c>
      <c r="H20" s="131"/>
      <c r="I20" s="131"/>
      <c r="J20" s="131"/>
      <c r="K20" s="821"/>
      <c r="L20" s="626"/>
      <c r="M20" s="626"/>
      <c r="N20" s="131"/>
      <c r="O20" s="131"/>
      <c r="P20" s="131"/>
    </row>
    <row r="21" spans="1:16" s="141" customFormat="1" ht="10.199999999999999" x14ac:dyDescent="0.2">
      <c r="A21" s="835" t="s">
        <v>18</v>
      </c>
      <c r="B21" s="821">
        <f t="shared" si="1"/>
        <v>0</v>
      </c>
      <c r="C21" s="626">
        <v>0</v>
      </c>
      <c r="D21" s="626">
        <v>0</v>
      </c>
      <c r="E21" s="811">
        <f t="shared" si="2"/>
        <v>0</v>
      </c>
      <c r="F21" s="131">
        <v>0</v>
      </c>
      <c r="G21" s="131">
        <v>0</v>
      </c>
      <c r="H21" s="131"/>
      <c r="I21" s="131"/>
      <c r="J21" s="131"/>
      <c r="K21" s="821"/>
      <c r="L21" s="626"/>
      <c r="M21" s="626"/>
      <c r="N21" s="131"/>
      <c r="O21" s="131"/>
      <c r="P21" s="131"/>
    </row>
    <row r="22" spans="1:16" s="141" customFormat="1" ht="12" x14ac:dyDescent="0.2">
      <c r="A22" s="442" t="s">
        <v>2184</v>
      </c>
      <c r="B22" s="821">
        <f t="shared" si="1"/>
        <v>440</v>
      </c>
      <c r="C22" s="626">
        <v>225</v>
      </c>
      <c r="D22" s="626">
        <v>215</v>
      </c>
      <c r="E22" s="811">
        <f t="shared" si="2"/>
        <v>440</v>
      </c>
      <c r="F22" s="131">
        <v>225</v>
      </c>
      <c r="G22" s="131">
        <v>215</v>
      </c>
      <c r="H22" s="131"/>
      <c r="I22" s="131"/>
      <c r="J22" s="131"/>
      <c r="K22" s="821"/>
      <c r="L22" s="626"/>
      <c r="M22" s="626"/>
      <c r="N22" s="131"/>
      <c r="O22" s="131"/>
      <c r="P22" s="131"/>
    </row>
    <row r="23" spans="1:16" s="141" customFormat="1" ht="5.25" customHeight="1" x14ac:dyDescent="0.2"/>
    <row r="24" spans="1:16" s="141" customFormat="1" ht="24" customHeight="1" x14ac:dyDescent="0.2">
      <c r="A24" s="822" t="s">
        <v>2185</v>
      </c>
      <c r="B24" s="822"/>
      <c r="C24" s="822"/>
      <c r="D24" s="822"/>
      <c r="E24" s="822"/>
      <c r="F24" s="822"/>
      <c r="G24" s="822"/>
      <c r="H24" s="836"/>
      <c r="I24" s="836"/>
      <c r="J24" s="836"/>
      <c r="K24" s="836"/>
      <c r="L24" s="836"/>
      <c r="M24" s="836"/>
      <c r="N24" s="836"/>
      <c r="O24" s="836"/>
      <c r="P24" s="836"/>
    </row>
    <row r="25" spans="1:16" s="141" customFormat="1" ht="10.199999999999999" x14ac:dyDescent="0.2">
      <c r="A25" s="442" t="s">
        <v>1185</v>
      </c>
      <c r="B25" s="823"/>
      <c r="C25" s="823"/>
      <c r="D25" s="823"/>
    </row>
    <row r="26" spans="1:16" s="141" customFormat="1" ht="10.199999999999999" x14ac:dyDescent="0.2">
      <c r="A26" s="816" t="s">
        <v>2186</v>
      </c>
      <c r="B26" s="442"/>
      <c r="C26" s="442"/>
      <c r="D26" s="442"/>
    </row>
  </sheetData>
  <mergeCells count="5">
    <mergeCell ref="A2:G2"/>
    <mergeCell ref="A4:A5"/>
    <mergeCell ref="B4:D4"/>
    <mergeCell ref="E4:G4"/>
    <mergeCell ref="A24:G24"/>
  </mergeCells>
  <pageMargins left="0.7" right="0.7" top="0.75" bottom="0.75" header="0.3" footer="0.3"/>
  <pageSetup paperSize="14" orientation="portrait"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C66C1-8FD2-4257-AB54-2C5C57D0966C}">
  <sheetPr codeName="Hoja147"/>
  <dimension ref="A2:P27"/>
  <sheetViews>
    <sheetView zoomScaleNormal="100" workbookViewId="0">
      <selection activeCell="D40" sqref="D40"/>
    </sheetView>
  </sheetViews>
  <sheetFormatPr baseColWidth="10" defaultRowHeight="13.2" x14ac:dyDescent="0.25"/>
  <cols>
    <col min="1" max="1" width="23.33203125" customWidth="1"/>
  </cols>
  <sheetData>
    <row r="2" spans="1:16" s="141" customFormat="1" ht="43.5" customHeight="1" x14ac:dyDescent="0.2">
      <c r="A2" s="817" t="s">
        <v>2162</v>
      </c>
      <c r="B2" s="817"/>
      <c r="C2" s="817"/>
      <c r="D2" s="817"/>
      <c r="E2" s="817"/>
      <c r="F2" s="817"/>
      <c r="G2" s="817"/>
      <c r="H2" s="818"/>
    </row>
    <row r="3" spans="1:16" s="141" customFormat="1" ht="10.199999999999999" x14ac:dyDescent="0.2">
      <c r="A3" s="442"/>
      <c r="B3" s="442"/>
      <c r="C3" s="442"/>
      <c r="D3" s="442"/>
    </row>
    <row r="4" spans="1:16" s="141" customFormat="1" ht="10.199999999999999" x14ac:dyDescent="0.2">
      <c r="A4" s="763" t="s">
        <v>0</v>
      </c>
      <c r="B4" s="833">
        <v>2012</v>
      </c>
      <c r="C4" s="833"/>
      <c r="D4" s="833"/>
      <c r="E4" s="833">
        <v>2013</v>
      </c>
      <c r="F4" s="833"/>
      <c r="G4" s="833"/>
      <c r="H4" s="837"/>
      <c r="I4" s="837"/>
      <c r="J4" s="837"/>
      <c r="K4" s="837"/>
      <c r="L4" s="837"/>
      <c r="M4" s="837"/>
      <c r="N4" s="837"/>
      <c r="O4" s="837"/>
      <c r="P4" s="837"/>
    </row>
    <row r="5" spans="1:16" s="141" customFormat="1" ht="10.199999999999999" x14ac:dyDescent="0.2">
      <c r="A5" s="772"/>
      <c r="B5" s="808" t="s">
        <v>42</v>
      </c>
      <c r="C5" s="808" t="s">
        <v>122</v>
      </c>
      <c r="D5" s="808" t="s">
        <v>123</v>
      </c>
      <c r="E5" s="808" t="s">
        <v>42</v>
      </c>
      <c r="F5" s="808" t="s">
        <v>122</v>
      </c>
      <c r="G5" s="808" t="s">
        <v>123</v>
      </c>
      <c r="H5" s="834"/>
      <c r="I5" s="834"/>
      <c r="J5" s="834"/>
      <c r="K5" s="834"/>
      <c r="L5" s="834"/>
      <c r="M5" s="834"/>
      <c r="N5" s="834"/>
      <c r="O5" s="834"/>
      <c r="P5" s="834"/>
    </row>
    <row r="6" spans="1:16" s="141" customFormat="1" ht="10.199999999999999" x14ac:dyDescent="0.2">
      <c r="A6" s="810" t="s">
        <v>3</v>
      </c>
      <c r="B6" s="821">
        <f>SUM(B7:B22)</f>
        <v>480</v>
      </c>
      <c r="C6" s="821">
        <f t="shared" ref="C6:E6" si="0">SUM(C7:C22)</f>
        <v>244</v>
      </c>
      <c r="D6" s="821">
        <f>SUM(D7:D22)</f>
        <v>236</v>
      </c>
      <c r="E6" s="821">
        <f t="shared" si="0"/>
        <v>493</v>
      </c>
      <c r="F6" s="821">
        <f>SUM(F7:F22)</f>
        <v>249</v>
      </c>
      <c r="G6" s="821">
        <f>SUM(G7:G22)</f>
        <v>244</v>
      </c>
      <c r="K6" s="838"/>
      <c r="L6" s="838"/>
      <c r="M6" s="838"/>
    </row>
    <row r="7" spans="1:16" s="141" customFormat="1" ht="10.199999999999999" x14ac:dyDescent="0.2">
      <c r="A7" s="839" t="s">
        <v>4</v>
      </c>
      <c r="B7" s="821">
        <f>SUM(C7:D7)</f>
        <v>0</v>
      </c>
      <c r="C7" s="626">
        <v>0</v>
      </c>
      <c r="D7" s="626">
        <v>0</v>
      </c>
      <c r="E7" s="811">
        <f>SUM(F7:G7)</f>
        <v>0</v>
      </c>
      <c r="F7" s="131">
        <v>0</v>
      </c>
      <c r="G7" s="131">
        <v>0</v>
      </c>
      <c r="K7" s="838"/>
      <c r="L7" s="626"/>
      <c r="M7" s="626"/>
      <c r="N7" s="131"/>
      <c r="O7" s="131"/>
      <c r="P7" s="131"/>
    </row>
    <row r="8" spans="1:16" s="141" customFormat="1" ht="10.199999999999999" x14ac:dyDescent="0.2">
      <c r="A8" s="839" t="s">
        <v>5</v>
      </c>
      <c r="B8" s="821">
        <f t="shared" ref="B8:B22" si="1">SUM(C8:D8)</f>
        <v>0</v>
      </c>
      <c r="C8" s="626">
        <v>0</v>
      </c>
      <c r="D8" s="626">
        <v>0</v>
      </c>
      <c r="E8" s="811">
        <f t="shared" ref="E8:E22" si="2">SUM(F8:G8)</f>
        <v>0</v>
      </c>
      <c r="F8" s="131">
        <v>0</v>
      </c>
      <c r="G8" s="131">
        <v>0</v>
      </c>
      <c r="K8" s="838"/>
      <c r="L8" s="626"/>
      <c r="M8" s="626"/>
      <c r="N8" s="131"/>
      <c r="O8" s="131"/>
      <c r="P8" s="131"/>
    </row>
    <row r="9" spans="1:16" s="141" customFormat="1" ht="10.199999999999999" x14ac:dyDescent="0.2">
      <c r="A9" s="839" t="s">
        <v>6</v>
      </c>
      <c r="B9" s="821">
        <f t="shared" si="1"/>
        <v>0</v>
      </c>
      <c r="C9" s="626">
        <v>0</v>
      </c>
      <c r="D9" s="626">
        <v>0</v>
      </c>
      <c r="E9" s="811">
        <f t="shared" si="2"/>
        <v>0</v>
      </c>
      <c r="F9" s="131">
        <v>0</v>
      </c>
      <c r="G9" s="131">
        <v>0</v>
      </c>
      <c r="K9" s="838"/>
      <c r="L9" s="626"/>
      <c r="M9" s="626"/>
      <c r="N9" s="131"/>
      <c r="O9" s="131"/>
      <c r="P9" s="131"/>
    </row>
    <row r="10" spans="1:16" s="141" customFormat="1" ht="10.199999999999999" x14ac:dyDescent="0.2">
      <c r="A10" s="839" t="s">
        <v>7</v>
      </c>
      <c r="B10" s="821">
        <f t="shared" si="1"/>
        <v>0</v>
      </c>
      <c r="C10" s="626">
        <v>0</v>
      </c>
      <c r="D10" s="626">
        <v>0</v>
      </c>
      <c r="E10" s="811">
        <f t="shared" si="2"/>
        <v>0</v>
      </c>
      <c r="F10" s="131">
        <v>0</v>
      </c>
      <c r="G10" s="131">
        <v>0</v>
      </c>
      <c r="K10" s="838"/>
      <c r="L10" s="626"/>
      <c r="M10" s="626"/>
      <c r="N10" s="131"/>
      <c r="O10" s="131"/>
      <c r="P10" s="131"/>
    </row>
    <row r="11" spans="1:16" s="141" customFormat="1" ht="10.199999999999999" x14ac:dyDescent="0.2">
      <c r="A11" s="839" t="s">
        <v>8</v>
      </c>
      <c r="B11" s="821">
        <f t="shared" si="1"/>
        <v>0</v>
      </c>
      <c r="C11" s="626">
        <v>0</v>
      </c>
      <c r="D11" s="626">
        <v>0</v>
      </c>
      <c r="E11" s="811">
        <f t="shared" si="2"/>
        <v>0</v>
      </c>
      <c r="F11" s="131">
        <v>0</v>
      </c>
      <c r="G11" s="131">
        <v>0</v>
      </c>
      <c r="K11" s="838"/>
      <c r="L11" s="626"/>
      <c r="M11" s="626"/>
      <c r="N11" s="131"/>
      <c r="O11" s="131"/>
      <c r="P11" s="131"/>
    </row>
    <row r="12" spans="1:16" s="141" customFormat="1" ht="10.199999999999999" x14ac:dyDescent="0.2">
      <c r="A12" s="839" t="s">
        <v>9</v>
      </c>
      <c r="B12" s="821">
        <f t="shared" si="1"/>
        <v>1</v>
      </c>
      <c r="C12" s="626">
        <v>1</v>
      </c>
      <c r="D12" s="626">
        <v>0</v>
      </c>
      <c r="E12" s="811">
        <f t="shared" si="2"/>
        <v>1</v>
      </c>
      <c r="F12" s="131">
        <v>1</v>
      </c>
      <c r="G12" s="131"/>
      <c r="K12" s="838"/>
      <c r="L12" s="626"/>
      <c r="M12" s="626"/>
      <c r="N12" s="131"/>
      <c r="O12" s="131"/>
      <c r="P12" s="131"/>
    </row>
    <row r="13" spans="1:16" s="141" customFormat="1" ht="10.199999999999999" x14ac:dyDescent="0.2">
      <c r="A13" s="839" t="s">
        <v>10</v>
      </c>
      <c r="B13" s="821">
        <f t="shared" si="1"/>
        <v>39</v>
      </c>
      <c r="C13" s="626">
        <v>18</v>
      </c>
      <c r="D13" s="626">
        <v>21</v>
      </c>
      <c r="E13" s="811">
        <f>SUM(F13:G13)</f>
        <v>52</v>
      </c>
      <c r="F13" s="131">
        <v>23</v>
      </c>
      <c r="G13" s="131">
        <v>29</v>
      </c>
      <c r="K13" s="838"/>
      <c r="L13" s="626"/>
      <c r="M13" s="626"/>
      <c r="N13" s="131"/>
      <c r="O13" s="131"/>
      <c r="P13" s="131"/>
    </row>
    <row r="14" spans="1:16" s="141" customFormat="1" ht="10.199999999999999" x14ac:dyDescent="0.2">
      <c r="A14" s="839" t="s">
        <v>134</v>
      </c>
      <c r="B14" s="821">
        <f t="shared" si="1"/>
        <v>0</v>
      </c>
      <c r="C14" s="626">
        <v>0</v>
      </c>
      <c r="D14" s="626">
        <v>0</v>
      </c>
      <c r="E14" s="811">
        <f t="shared" si="2"/>
        <v>0</v>
      </c>
      <c r="F14" s="131">
        <v>0</v>
      </c>
      <c r="G14" s="131">
        <v>0</v>
      </c>
      <c r="K14" s="838"/>
      <c r="L14" s="626"/>
      <c r="M14" s="626"/>
      <c r="N14" s="131"/>
      <c r="O14" s="131"/>
      <c r="P14" s="131"/>
    </row>
    <row r="15" spans="1:16" s="141" customFormat="1" ht="10.199999999999999" x14ac:dyDescent="0.2">
      <c r="A15" s="839" t="s">
        <v>12</v>
      </c>
      <c r="B15" s="821">
        <f t="shared" si="1"/>
        <v>0</v>
      </c>
      <c r="C15" s="626">
        <v>0</v>
      </c>
      <c r="D15" s="626">
        <v>0</v>
      </c>
      <c r="E15" s="811">
        <f t="shared" si="2"/>
        <v>0</v>
      </c>
      <c r="F15" s="131">
        <v>0</v>
      </c>
      <c r="G15" s="131">
        <v>0</v>
      </c>
      <c r="K15" s="838"/>
      <c r="L15" s="626"/>
      <c r="M15" s="626"/>
      <c r="N15" s="131"/>
      <c r="O15" s="131"/>
      <c r="P15" s="131"/>
    </row>
    <row r="16" spans="1:16" s="141" customFormat="1" ht="10.199999999999999" x14ac:dyDescent="0.2">
      <c r="A16" s="839" t="s">
        <v>13</v>
      </c>
      <c r="B16" s="821">
        <f t="shared" si="1"/>
        <v>0</v>
      </c>
      <c r="C16" s="626">
        <v>0</v>
      </c>
      <c r="D16" s="626">
        <v>0</v>
      </c>
      <c r="E16" s="811">
        <f t="shared" si="2"/>
        <v>0</v>
      </c>
      <c r="F16" s="131">
        <v>0</v>
      </c>
      <c r="G16" s="131">
        <v>0</v>
      </c>
      <c r="K16" s="838"/>
      <c r="L16" s="626"/>
      <c r="M16" s="626"/>
      <c r="N16" s="131"/>
      <c r="O16" s="131"/>
      <c r="P16" s="131"/>
    </row>
    <row r="17" spans="1:16" s="141" customFormat="1" ht="10.199999999999999" x14ac:dyDescent="0.2">
      <c r="A17" s="839" t="s">
        <v>47</v>
      </c>
      <c r="B17" s="821">
        <f t="shared" si="1"/>
        <v>0</v>
      </c>
      <c r="C17" s="626">
        <v>0</v>
      </c>
      <c r="D17" s="626">
        <v>0</v>
      </c>
      <c r="E17" s="811">
        <f t="shared" si="2"/>
        <v>0</v>
      </c>
      <c r="F17" s="131">
        <v>0</v>
      </c>
      <c r="G17" s="131">
        <v>0</v>
      </c>
      <c r="K17" s="838"/>
      <c r="L17" s="626"/>
      <c r="M17" s="626"/>
      <c r="N17" s="131"/>
      <c r="O17" s="131"/>
      <c r="P17" s="131"/>
    </row>
    <row r="18" spans="1:16" s="141" customFormat="1" ht="10.199999999999999" x14ac:dyDescent="0.2">
      <c r="A18" s="839" t="s">
        <v>135</v>
      </c>
      <c r="B18" s="821">
        <f t="shared" si="1"/>
        <v>0</v>
      </c>
      <c r="C18" s="626">
        <v>0</v>
      </c>
      <c r="D18" s="626">
        <v>0</v>
      </c>
      <c r="E18" s="811">
        <f t="shared" si="2"/>
        <v>0</v>
      </c>
      <c r="F18" s="131">
        <v>0</v>
      </c>
      <c r="G18" s="131">
        <v>0</v>
      </c>
      <c r="K18" s="838"/>
      <c r="L18" s="626"/>
      <c r="M18" s="626"/>
      <c r="N18" s="131"/>
      <c r="O18" s="131"/>
      <c r="P18" s="131"/>
    </row>
    <row r="19" spans="1:16" s="141" customFormat="1" ht="10.199999999999999" x14ac:dyDescent="0.2">
      <c r="A19" s="839" t="s">
        <v>136</v>
      </c>
      <c r="B19" s="821">
        <f t="shared" si="1"/>
        <v>0</v>
      </c>
      <c r="C19" s="626">
        <v>0</v>
      </c>
      <c r="D19" s="626">
        <v>0</v>
      </c>
      <c r="E19" s="811">
        <f t="shared" si="2"/>
        <v>0</v>
      </c>
      <c r="F19" s="131">
        <v>0</v>
      </c>
      <c r="G19" s="131">
        <v>0</v>
      </c>
      <c r="K19" s="838"/>
      <c r="L19" s="626"/>
      <c r="M19" s="626"/>
      <c r="N19" s="131"/>
      <c r="O19" s="131"/>
      <c r="P19" s="131"/>
    </row>
    <row r="20" spans="1:16" s="141" customFormat="1" ht="10.199999999999999" x14ac:dyDescent="0.2">
      <c r="A20" s="839" t="s">
        <v>17</v>
      </c>
      <c r="B20" s="821">
        <f t="shared" si="1"/>
        <v>0</v>
      </c>
      <c r="C20" s="626">
        <v>0</v>
      </c>
      <c r="D20" s="626">
        <v>0</v>
      </c>
      <c r="E20" s="811">
        <f t="shared" si="2"/>
        <v>0</v>
      </c>
      <c r="F20" s="131">
        <v>0</v>
      </c>
      <c r="G20" s="131">
        <v>0</v>
      </c>
      <c r="K20" s="838"/>
      <c r="L20" s="626"/>
      <c r="M20" s="626"/>
      <c r="N20" s="131"/>
      <c r="O20" s="131"/>
      <c r="P20" s="131"/>
    </row>
    <row r="21" spans="1:16" s="141" customFormat="1" ht="10.199999999999999" x14ac:dyDescent="0.2">
      <c r="A21" s="839" t="s">
        <v>18</v>
      </c>
      <c r="B21" s="821">
        <f t="shared" si="1"/>
        <v>0</v>
      </c>
      <c r="C21" s="626">
        <v>0</v>
      </c>
      <c r="D21" s="626">
        <v>0</v>
      </c>
      <c r="E21" s="811">
        <f t="shared" si="2"/>
        <v>0</v>
      </c>
      <c r="F21" s="131">
        <v>0</v>
      </c>
      <c r="G21" s="131">
        <v>0</v>
      </c>
      <c r="K21" s="838"/>
      <c r="L21" s="626"/>
      <c r="M21" s="626"/>
      <c r="N21" s="131"/>
      <c r="O21" s="131"/>
      <c r="P21" s="131"/>
    </row>
    <row r="22" spans="1:16" s="141" customFormat="1" ht="12" x14ac:dyDescent="0.2">
      <c r="A22" s="442" t="s">
        <v>2184</v>
      </c>
      <c r="B22" s="821">
        <f t="shared" si="1"/>
        <v>440</v>
      </c>
      <c r="C22" s="626">
        <v>225</v>
      </c>
      <c r="D22" s="626">
        <v>215</v>
      </c>
      <c r="E22" s="811">
        <f t="shared" si="2"/>
        <v>440</v>
      </c>
      <c r="F22" s="131">
        <v>225</v>
      </c>
      <c r="G22" s="131">
        <v>215</v>
      </c>
      <c r="K22" s="838"/>
      <c r="L22" s="626"/>
      <c r="M22" s="626"/>
      <c r="N22" s="131"/>
      <c r="O22" s="131"/>
      <c r="P22" s="131"/>
    </row>
    <row r="23" spans="1:16" s="141" customFormat="1" ht="6" customHeight="1" x14ac:dyDescent="0.2">
      <c r="B23" s="821"/>
    </row>
    <row r="24" spans="1:16" s="141" customFormat="1" ht="21.75" customHeight="1" x14ac:dyDescent="0.2">
      <c r="A24" s="822" t="s">
        <v>2185</v>
      </c>
      <c r="B24" s="822"/>
      <c r="C24" s="822"/>
      <c r="D24" s="822"/>
      <c r="E24" s="822"/>
      <c r="F24" s="822"/>
      <c r="G24" s="822"/>
      <c r="H24" s="836"/>
      <c r="I24" s="836"/>
      <c r="J24" s="836"/>
      <c r="K24" s="836"/>
      <c r="L24" s="836"/>
      <c r="M24" s="836"/>
      <c r="N24" s="836"/>
      <c r="O24" s="836"/>
      <c r="P24" s="836"/>
    </row>
    <row r="25" spans="1:16" s="141" customFormat="1" ht="10.199999999999999" x14ac:dyDescent="0.2">
      <c r="A25" s="442" t="s">
        <v>1185</v>
      </c>
      <c r="B25" s="823"/>
      <c r="C25" s="823"/>
      <c r="D25" s="823"/>
    </row>
    <row r="26" spans="1:16" s="141" customFormat="1" ht="10.199999999999999" x14ac:dyDescent="0.2">
      <c r="A26" s="816" t="s">
        <v>2186</v>
      </c>
      <c r="B26" s="442"/>
      <c r="C26" s="442"/>
      <c r="D26" s="442"/>
    </row>
    <row r="27" spans="1:16" s="141" customFormat="1" ht="10.199999999999999" x14ac:dyDescent="0.2"/>
  </sheetData>
  <mergeCells count="5">
    <mergeCell ref="A2:G2"/>
    <mergeCell ref="A4:A5"/>
    <mergeCell ref="B4:D4"/>
    <mergeCell ref="E4:G4"/>
    <mergeCell ref="A24:G24"/>
  </mergeCells>
  <pageMargins left="0.7" right="0.7" top="0.75" bottom="0.75" header="0.3" footer="0.3"/>
  <pageSetup paperSize="14"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6109B-E1A9-4B36-85B8-825E51C10613}">
  <sheetPr codeName="Hoja148"/>
  <dimension ref="A1:P26"/>
  <sheetViews>
    <sheetView zoomScaleNormal="100" workbookViewId="0">
      <selection activeCell="D40" sqref="D40"/>
    </sheetView>
  </sheetViews>
  <sheetFormatPr baseColWidth="10" defaultColWidth="11.44140625" defaultRowHeight="10.199999999999999" x14ac:dyDescent="0.2"/>
  <cols>
    <col min="1" max="1" width="40.6640625" style="141" customWidth="1"/>
    <col min="2" max="2" width="7.88671875" style="141" bestFit="1" customWidth="1"/>
    <col min="3" max="3" width="9.88671875" style="141" bestFit="1" customWidth="1"/>
    <col min="4" max="4" width="9" style="141" bestFit="1" customWidth="1"/>
    <col min="5" max="5" width="8.88671875" style="141" customWidth="1"/>
    <col min="6" max="6" width="9" style="141" customWidth="1"/>
    <col min="7" max="8" width="8.5546875" style="141" customWidth="1"/>
    <col min="9" max="9" width="9.33203125" style="141" customWidth="1"/>
    <col min="10" max="10" width="8.109375" style="141" customWidth="1"/>
    <col min="11" max="11" width="8.109375" style="141" bestFit="1" customWidth="1"/>
    <col min="12" max="12" width="9.109375" style="141" customWidth="1"/>
    <col min="13" max="13" width="8.5546875" style="141" customWidth="1"/>
    <col min="14" max="14" width="7.88671875" style="141" bestFit="1" customWidth="1"/>
    <col min="15" max="15" width="9.109375" style="141" customWidth="1"/>
    <col min="16" max="16" width="8.33203125" style="141" customWidth="1"/>
    <col min="17" max="16384" width="11.44140625" style="141"/>
  </cols>
  <sheetData>
    <row r="1" spans="1:16" x14ac:dyDescent="0.2">
      <c r="A1" s="802"/>
      <c r="B1" s="800"/>
      <c r="C1" s="801"/>
      <c r="D1" s="801"/>
    </row>
    <row r="2" spans="1:16" ht="26.25" customHeight="1" x14ac:dyDescent="0.2">
      <c r="A2" s="817" t="s">
        <v>2163</v>
      </c>
      <c r="B2" s="817"/>
      <c r="C2" s="817"/>
      <c r="D2" s="817"/>
      <c r="E2" s="817"/>
      <c r="F2" s="817"/>
      <c r="G2" s="817"/>
      <c r="H2" s="818"/>
    </row>
    <row r="3" spans="1:16" x14ac:dyDescent="0.2">
      <c r="A3" s="442"/>
      <c r="B3" s="442"/>
      <c r="C3" s="442"/>
      <c r="D3" s="442"/>
    </row>
    <row r="4" spans="1:16" x14ac:dyDescent="0.2">
      <c r="A4" s="763" t="s">
        <v>0</v>
      </c>
      <c r="B4" s="833">
        <v>2012</v>
      </c>
      <c r="C4" s="833"/>
      <c r="D4" s="833"/>
      <c r="E4" s="833">
        <v>2013</v>
      </c>
      <c r="F4" s="833"/>
      <c r="G4" s="833"/>
      <c r="H4" s="837"/>
      <c r="I4" s="837"/>
      <c r="J4" s="837"/>
      <c r="K4" s="837"/>
      <c r="L4" s="837"/>
      <c r="M4" s="837"/>
      <c r="N4" s="837"/>
      <c r="O4" s="837"/>
      <c r="P4" s="837"/>
    </row>
    <row r="5" spans="1:16" x14ac:dyDescent="0.2">
      <c r="A5" s="772"/>
      <c r="B5" s="808" t="s">
        <v>42</v>
      </c>
      <c r="C5" s="808" t="s">
        <v>122</v>
      </c>
      <c r="D5" s="808" t="s">
        <v>123</v>
      </c>
      <c r="E5" s="808" t="s">
        <v>42</v>
      </c>
      <c r="F5" s="808" t="s">
        <v>122</v>
      </c>
      <c r="G5" s="808" t="s">
        <v>123</v>
      </c>
      <c r="H5" s="834"/>
      <c r="I5" s="834"/>
      <c r="J5" s="834"/>
      <c r="K5" s="834"/>
      <c r="L5" s="834"/>
      <c r="M5" s="834"/>
      <c r="N5" s="834"/>
      <c r="O5" s="834"/>
      <c r="P5" s="834"/>
    </row>
    <row r="6" spans="1:16" x14ac:dyDescent="0.2">
      <c r="A6" s="810" t="s">
        <v>3</v>
      </c>
      <c r="B6" s="821">
        <f t="shared" ref="B6:G6" si="0">SUM(B7:B22)</f>
        <v>474</v>
      </c>
      <c r="C6" s="821">
        <f t="shared" si="0"/>
        <v>239</v>
      </c>
      <c r="D6" s="821">
        <f t="shared" si="0"/>
        <v>235</v>
      </c>
      <c r="E6" s="811">
        <f t="shared" si="0"/>
        <v>482</v>
      </c>
      <c r="F6" s="811">
        <f t="shared" si="0"/>
        <v>242</v>
      </c>
      <c r="G6" s="811">
        <f t="shared" si="0"/>
        <v>240</v>
      </c>
      <c r="K6" s="838"/>
      <c r="L6" s="838"/>
      <c r="M6" s="838"/>
    </row>
    <row r="7" spans="1:16" x14ac:dyDescent="0.2">
      <c r="A7" s="840" t="s">
        <v>4</v>
      </c>
      <c r="B7" s="821">
        <f>SUM(C7:D7)</f>
        <v>0</v>
      </c>
      <c r="C7" s="626">
        <v>0</v>
      </c>
      <c r="D7" s="626">
        <v>0</v>
      </c>
      <c r="E7" s="811">
        <f>SUM(F7:G7)</f>
        <v>0</v>
      </c>
      <c r="F7" s="131">
        <v>0</v>
      </c>
      <c r="G7" s="131">
        <v>0</v>
      </c>
      <c r="K7" s="838"/>
      <c r="L7" s="626"/>
      <c r="M7" s="626"/>
      <c r="N7" s="131"/>
      <c r="O7" s="131"/>
      <c r="P7" s="131"/>
    </row>
    <row r="8" spans="1:16" x14ac:dyDescent="0.2">
      <c r="A8" s="840" t="s">
        <v>5</v>
      </c>
      <c r="B8" s="821">
        <f t="shared" ref="B8:B22" si="1">SUM(C8:D8)</f>
        <v>0</v>
      </c>
      <c r="C8" s="626">
        <v>0</v>
      </c>
      <c r="D8" s="626">
        <v>0</v>
      </c>
      <c r="E8" s="811">
        <f t="shared" ref="E8:E22" si="2">SUM(F8:G8)</f>
        <v>0</v>
      </c>
      <c r="F8" s="131">
        <v>0</v>
      </c>
      <c r="G8" s="131">
        <v>0</v>
      </c>
      <c r="K8" s="838"/>
      <c r="L8" s="626"/>
      <c r="M8" s="626"/>
      <c r="N8" s="131"/>
      <c r="O8" s="131"/>
      <c r="P8" s="131"/>
    </row>
    <row r="9" spans="1:16" x14ac:dyDescent="0.2">
      <c r="A9" s="840" t="s">
        <v>6</v>
      </c>
      <c r="B9" s="821">
        <f t="shared" si="1"/>
        <v>0</v>
      </c>
      <c r="C9" s="626">
        <v>0</v>
      </c>
      <c r="D9" s="626">
        <v>0</v>
      </c>
      <c r="E9" s="811">
        <f t="shared" si="2"/>
        <v>0</v>
      </c>
      <c r="F9" s="131">
        <v>0</v>
      </c>
      <c r="G9" s="131">
        <v>0</v>
      </c>
      <c r="K9" s="838"/>
      <c r="L9" s="626"/>
      <c r="M9" s="626"/>
      <c r="N9" s="131"/>
      <c r="O9" s="131"/>
      <c r="P9" s="131"/>
    </row>
    <row r="10" spans="1:16" x14ac:dyDescent="0.2">
      <c r="A10" s="840" t="s">
        <v>7</v>
      </c>
      <c r="B10" s="821">
        <f t="shared" si="1"/>
        <v>0</v>
      </c>
      <c r="C10" s="626">
        <v>0</v>
      </c>
      <c r="D10" s="626">
        <v>0</v>
      </c>
      <c r="E10" s="811">
        <f t="shared" si="2"/>
        <v>0</v>
      </c>
      <c r="F10" s="131">
        <v>0</v>
      </c>
      <c r="G10" s="131">
        <v>0</v>
      </c>
      <c r="K10" s="838"/>
      <c r="L10" s="626"/>
      <c r="M10" s="626"/>
      <c r="N10" s="131"/>
      <c r="O10" s="131"/>
      <c r="P10" s="131"/>
    </row>
    <row r="11" spans="1:16" x14ac:dyDescent="0.2">
      <c r="A11" s="840" t="s">
        <v>8</v>
      </c>
      <c r="B11" s="821">
        <f t="shared" si="1"/>
        <v>0</v>
      </c>
      <c r="C11" s="626">
        <v>0</v>
      </c>
      <c r="D11" s="626">
        <v>0</v>
      </c>
      <c r="E11" s="811">
        <f t="shared" si="2"/>
        <v>0</v>
      </c>
      <c r="F11" s="131">
        <v>0</v>
      </c>
      <c r="G11" s="131">
        <v>0</v>
      </c>
      <c r="K11" s="838"/>
      <c r="L11" s="626"/>
      <c r="M11" s="626"/>
      <c r="N11" s="131"/>
      <c r="O11" s="131"/>
      <c r="P11" s="131"/>
    </row>
    <row r="12" spans="1:16" x14ac:dyDescent="0.2">
      <c r="A12" s="840" t="s">
        <v>9</v>
      </c>
      <c r="B12" s="821">
        <f t="shared" si="1"/>
        <v>0</v>
      </c>
      <c r="C12" s="626">
        <v>0</v>
      </c>
      <c r="D12" s="626">
        <v>0</v>
      </c>
      <c r="E12" s="811">
        <f>SUM(F12:G12)</f>
        <v>0</v>
      </c>
      <c r="F12" s="131">
        <v>0</v>
      </c>
      <c r="G12" s="131">
        <v>0</v>
      </c>
      <c r="K12" s="838"/>
      <c r="L12" s="626"/>
      <c r="M12" s="626"/>
      <c r="N12" s="131"/>
      <c r="O12" s="131"/>
      <c r="P12" s="131"/>
    </row>
    <row r="13" spans="1:16" x14ac:dyDescent="0.2">
      <c r="A13" s="840" t="s">
        <v>10</v>
      </c>
      <c r="B13" s="821">
        <f>SUM(C13:D13)</f>
        <v>34</v>
      </c>
      <c r="C13" s="626">
        <v>14</v>
      </c>
      <c r="D13" s="626">
        <v>20</v>
      </c>
      <c r="E13" s="811">
        <f t="shared" si="2"/>
        <v>42</v>
      </c>
      <c r="F13" s="131">
        <v>17</v>
      </c>
      <c r="G13" s="131">
        <v>25</v>
      </c>
      <c r="K13" s="838"/>
      <c r="L13" s="626"/>
      <c r="M13" s="626"/>
      <c r="N13" s="131"/>
      <c r="O13" s="131"/>
      <c r="P13" s="131"/>
    </row>
    <row r="14" spans="1:16" x14ac:dyDescent="0.2">
      <c r="A14" s="840" t="s">
        <v>134</v>
      </c>
      <c r="B14" s="821">
        <f t="shared" si="1"/>
        <v>0</v>
      </c>
      <c r="C14" s="626">
        <v>0</v>
      </c>
      <c r="D14" s="626">
        <v>0</v>
      </c>
      <c r="E14" s="811">
        <f t="shared" si="2"/>
        <v>0</v>
      </c>
      <c r="F14" s="131">
        <v>0</v>
      </c>
      <c r="G14" s="131">
        <v>0</v>
      </c>
      <c r="K14" s="838"/>
      <c r="L14" s="626"/>
      <c r="M14" s="626"/>
      <c r="N14" s="131"/>
      <c r="O14" s="131"/>
      <c r="P14" s="131"/>
    </row>
    <row r="15" spans="1:16" x14ac:dyDescent="0.2">
      <c r="A15" s="840" t="s">
        <v>12</v>
      </c>
      <c r="B15" s="821">
        <f t="shared" si="1"/>
        <v>0</v>
      </c>
      <c r="C15" s="626">
        <v>0</v>
      </c>
      <c r="D15" s="626">
        <v>0</v>
      </c>
      <c r="E15" s="811">
        <f t="shared" si="2"/>
        <v>0</v>
      </c>
      <c r="F15" s="131">
        <v>0</v>
      </c>
      <c r="G15" s="131">
        <v>0</v>
      </c>
      <c r="K15" s="838"/>
      <c r="L15" s="626"/>
      <c r="M15" s="626"/>
      <c r="N15" s="131"/>
      <c r="O15" s="131"/>
      <c r="P15" s="131"/>
    </row>
    <row r="16" spans="1:16" x14ac:dyDescent="0.2">
      <c r="A16" s="840" t="s">
        <v>13</v>
      </c>
      <c r="B16" s="821">
        <f t="shared" si="1"/>
        <v>0</v>
      </c>
      <c r="C16" s="626">
        <v>0</v>
      </c>
      <c r="D16" s="626">
        <v>0</v>
      </c>
      <c r="E16" s="811">
        <f t="shared" si="2"/>
        <v>0</v>
      </c>
      <c r="F16" s="131">
        <v>0</v>
      </c>
      <c r="G16" s="131">
        <v>0</v>
      </c>
      <c r="K16" s="838"/>
      <c r="L16" s="626"/>
      <c r="M16" s="626"/>
      <c r="N16" s="131"/>
      <c r="O16" s="131"/>
      <c r="P16" s="131"/>
    </row>
    <row r="17" spans="1:16" x14ac:dyDescent="0.2">
      <c r="A17" s="840" t="s">
        <v>47</v>
      </c>
      <c r="B17" s="821">
        <f t="shared" si="1"/>
        <v>0</v>
      </c>
      <c r="C17" s="626">
        <v>0</v>
      </c>
      <c r="D17" s="626">
        <v>0</v>
      </c>
      <c r="E17" s="811">
        <f t="shared" si="2"/>
        <v>0</v>
      </c>
      <c r="F17" s="131">
        <v>0</v>
      </c>
      <c r="G17" s="131">
        <v>0</v>
      </c>
      <c r="K17" s="838"/>
      <c r="L17" s="626"/>
      <c r="M17" s="626"/>
      <c r="N17" s="131"/>
      <c r="O17" s="131"/>
      <c r="P17" s="131"/>
    </row>
    <row r="18" spans="1:16" x14ac:dyDescent="0.2">
      <c r="A18" s="840" t="s">
        <v>135</v>
      </c>
      <c r="B18" s="821">
        <f t="shared" si="1"/>
        <v>0</v>
      </c>
      <c r="C18" s="626">
        <v>0</v>
      </c>
      <c r="D18" s="626">
        <v>0</v>
      </c>
      <c r="E18" s="811">
        <f t="shared" si="2"/>
        <v>0</v>
      </c>
      <c r="F18" s="131">
        <v>0</v>
      </c>
      <c r="G18" s="131">
        <v>0</v>
      </c>
      <c r="K18" s="838"/>
      <c r="L18" s="626"/>
      <c r="M18" s="626"/>
      <c r="N18" s="131"/>
      <c r="O18" s="131"/>
      <c r="P18" s="131"/>
    </row>
    <row r="19" spans="1:16" x14ac:dyDescent="0.2">
      <c r="A19" s="840" t="s">
        <v>136</v>
      </c>
      <c r="B19" s="821">
        <f t="shared" si="1"/>
        <v>0</v>
      </c>
      <c r="C19" s="626">
        <v>0</v>
      </c>
      <c r="D19" s="626">
        <v>0</v>
      </c>
      <c r="E19" s="811">
        <f t="shared" si="2"/>
        <v>0</v>
      </c>
      <c r="F19" s="131">
        <v>0</v>
      </c>
      <c r="G19" s="131">
        <v>0</v>
      </c>
      <c r="K19" s="838"/>
      <c r="L19" s="626"/>
      <c r="M19" s="626"/>
      <c r="N19" s="131"/>
      <c r="O19" s="131"/>
      <c r="P19" s="131"/>
    </row>
    <row r="20" spans="1:16" x14ac:dyDescent="0.2">
      <c r="A20" s="840" t="s">
        <v>17</v>
      </c>
      <c r="B20" s="821">
        <f t="shared" si="1"/>
        <v>0</v>
      </c>
      <c r="C20" s="626">
        <v>0</v>
      </c>
      <c r="D20" s="626">
        <v>0</v>
      </c>
      <c r="E20" s="811">
        <f t="shared" si="2"/>
        <v>0</v>
      </c>
      <c r="F20" s="131">
        <v>0</v>
      </c>
      <c r="G20" s="131">
        <v>0</v>
      </c>
      <c r="K20" s="838"/>
      <c r="L20" s="626"/>
      <c r="M20" s="626"/>
      <c r="N20" s="131"/>
      <c r="O20" s="131"/>
      <c r="P20" s="131"/>
    </row>
    <row r="21" spans="1:16" x14ac:dyDescent="0.2">
      <c r="A21" s="840" t="s">
        <v>18</v>
      </c>
      <c r="B21" s="821">
        <f t="shared" si="1"/>
        <v>0</v>
      </c>
      <c r="C21" s="626">
        <v>0</v>
      </c>
      <c r="D21" s="626">
        <v>0</v>
      </c>
      <c r="E21" s="811">
        <f t="shared" si="2"/>
        <v>0</v>
      </c>
      <c r="F21" s="131">
        <v>0</v>
      </c>
      <c r="G21" s="131">
        <v>0</v>
      </c>
      <c r="K21" s="838"/>
      <c r="L21" s="626"/>
      <c r="M21" s="626"/>
      <c r="N21" s="131"/>
      <c r="O21" s="131"/>
      <c r="P21" s="131"/>
    </row>
    <row r="22" spans="1:16" ht="12" x14ac:dyDescent="0.2">
      <c r="A22" s="442" t="s">
        <v>2184</v>
      </c>
      <c r="B22" s="821">
        <f t="shared" si="1"/>
        <v>440</v>
      </c>
      <c r="C22" s="626">
        <v>225</v>
      </c>
      <c r="D22" s="626">
        <v>215</v>
      </c>
      <c r="E22" s="811">
        <f t="shared" si="2"/>
        <v>440</v>
      </c>
      <c r="F22" s="131">
        <v>225</v>
      </c>
      <c r="G22" s="131">
        <v>215</v>
      </c>
      <c r="K22" s="838"/>
      <c r="L22" s="626"/>
      <c r="M22" s="626"/>
      <c r="N22" s="131"/>
      <c r="O22" s="131"/>
      <c r="P22" s="131"/>
    </row>
    <row r="23" spans="1:16" ht="6.75" customHeight="1" x14ac:dyDescent="0.2">
      <c r="A23" s="442"/>
      <c r="B23" s="814"/>
      <c r="C23" s="815"/>
      <c r="D23" s="815"/>
      <c r="K23" s="821"/>
      <c r="L23" s="626"/>
      <c r="M23" s="626"/>
      <c r="N23" s="131"/>
      <c r="O23" s="131"/>
      <c r="P23" s="131"/>
    </row>
    <row r="24" spans="1:16" x14ac:dyDescent="0.2">
      <c r="A24" s="822" t="s">
        <v>2185</v>
      </c>
      <c r="B24" s="822"/>
      <c r="C24" s="822"/>
      <c r="D24" s="822"/>
      <c r="E24" s="822"/>
      <c r="F24" s="822"/>
      <c r="G24" s="822"/>
      <c r="H24" s="822"/>
      <c r="I24" s="822"/>
      <c r="J24" s="822"/>
      <c r="K24" s="822"/>
      <c r="L24" s="822"/>
      <c r="M24" s="822"/>
      <c r="N24" s="822"/>
      <c r="O24" s="822"/>
      <c r="P24" s="822"/>
    </row>
    <row r="25" spans="1:16" x14ac:dyDescent="0.2">
      <c r="A25" s="442" t="s">
        <v>1185</v>
      </c>
    </row>
    <row r="26" spans="1:16" x14ac:dyDescent="0.2">
      <c r="A26" s="816" t="s">
        <v>2186</v>
      </c>
      <c r="B26" s="442"/>
      <c r="C26" s="442"/>
      <c r="D26" s="442"/>
    </row>
  </sheetData>
  <mergeCells count="5">
    <mergeCell ref="A2:G2"/>
    <mergeCell ref="A4:A5"/>
    <mergeCell ref="B4:D4"/>
    <mergeCell ref="E4:G4"/>
    <mergeCell ref="A24:P24"/>
  </mergeCells>
  <pageMargins left="0.7" right="0.7" top="0.75" bottom="0.75" header="0.3" footer="0.3"/>
  <pageSetup paperSize="14" scale="97" orientation="portrait"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918B1-EBFF-4B30-A6BA-1BA57B3737C1}">
  <sheetPr codeName="Hoja149"/>
  <dimension ref="A1:M17"/>
  <sheetViews>
    <sheetView zoomScaleNormal="100" workbookViewId="0">
      <selection activeCell="D40" sqref="D40"/>
    </sheetView>
  </sheetViews>
  <sheetFormatPr baseColWidth="10" defaultRowHeight="13.2" x14ac:dyDescent="0.25"/>
  <cols>
    <col min="1" max="1" width="31.88671875" customWidth="1"/>
  </cols>
  <sheetData>
    <row r="1" spans="1:13" s="717" customFormat="1" ht="10.199999999999999" x14ac:dyDescent="0.2">
      <c r="A1" s="308"/>
      <c r="B1" s="308"/>
      <c r="C1" s="308"/>
      <c r="D1" s="308"/>
      <c r="E1" s="308"/>
      <c r="F1" s="308"/>
    </row>
    <row r="2" spans="1:13" s="758" customFormat="1" ht="33" customHeight="1" x14ac:dyDescent="0.2">
      <c r="A2" s="735" t="s">
        <v>2164</v>
      </c>
      <c r="B2" s="841"/>
      <c r="C2" s="841"/>
      <c r="D2" s="841"/>
      <c r="E2" s="841"/>
      <c r="F2" s="841"/>
      <c r="I2" s="759"/>
      <c r="J2" s="759"/>
      <c r="K2" s="759"/>
      <c r="L2" s="759"/>
      <c r="M2" s="759"/>
    </row>
    <row r="3" spans="1:13" s="717" customFormat="1" ht="13.5" customHeight="1" x14ac:dyDescent="0.2">
      <c r="A3" s="842"/>
      <c r="B3" s="842"/>
      <c r="C3" s="842"/>
      <c r="D3" s="842"/>
      <c r="E3" s="842"/>
      <c r="F3" s="842"/>
      <c r="I3" s="2"/>
      <c r="J3" s="2"/>
      <c r="K3" s="2"/>
      <c r="L3" s="2"/>
      <c r="M3" s="2"/>
    </row>
    <row r="4" spans="1:13" s="717" customFormat="1" ht="18" customHeight="1" x14ac:dyDescent="0.2">
      <c r="A4" s="793" t="s">
        <v>2190</v>
      </c>
      <c r="B4" s="716" t="s">
        <v>98</v>
      </c>
      <c r="C4" s="716"/>
      <c r="D4" s="716"/>
      <c r="E4" s="716"/>
      <c r="F4" s="716"/>
      <c r="I4" s="324"/>
      <c r="J4" s="324"/>
      <c r="K4" s="324"/>
      <c r="L4" s="324"/>
      <c r="M4" s="2"/>
    </row>
    <row r="5" spans="1:13" s="717" customFormat="1" ht="18" customHeight="1" x14ac:dyDescent="0.2">
      <c r="A5" s="793"/>
      <c r="B5" s="453">
        <v>2009</v>
      </c>
      <c r="C5" s="453">
        <v>2010</v>
      </c>
      <c r="D5" s="453">
        <v>2011</v>
      </c>
      <c r="E5" s="453">
        <v>2012</v>
      </c>
      <c r="F5" s="453">
        <v>2013</v>
      </c>
      <c r="I5" s="324"/>
      <c r="J5" s="705"/>
      <c r="K5" s="705"/>
      <c r="L5" s="705"/>
      <c r="M5" s="2"/>
    </row>
    <row r="6" spans="1:13" s="711" customFormat="1" ht="10.199999999999999" x14ac:dyDescent="0.2">
      <c r="A6" s="711" t="s">
        <v>3</v>
      </c>
      <c r="B6" s="711">
        <f>+B7+B10</f>
        <v>214</v>
      </c>
      <c r="C6" s="711">
        <f>+C7+C10</f>
        <v>240</v>
      </c>
      <c r="D6" s="711">
        <f>+D7+D10</f>
        <v>264</v>
      </c>
      <c r="E6" s="711">
        <f>+E7+E10</f>
        <v>308</v>
      </c>
      <c r="F6" s="711">
        <f>+F7+F10</f>
        <v>327</v>
      </c>
      <c r="I6" s="692"/>
      <c r="J6" s="843"/>
      <c r="K6" s="843"/>
      <c r="L6" s="705"/>
      <c r="M6" s="2"/>
    </row>
    <row r="7" spans="1:13" s="711" customFormat="1" ht="10.199999999999999" x14ac:dyDescent="0.2">
      <c r="A7" s="711" t="s">
        <v>2191</v>
      </c>
      <c r="B7" s="711">
        <f>SUM(B8:B9)</f>
        <v>182</v>
      </c>
      <c r="C7" s="711">
        <f>SUM(C8:C9)</f>
        <v>206</v>
      </c>
      <c r="D7" s="711">
        <f>SUM(D8:D9)</f>
        <v>243</v>
      </c>
      <c r="E7" s="711">
        <f>SUM(E8:E9)</f>
        <v>280</v>
      </c>
      <c r="F7" s="711">
        <f>SUM(F8:F9)</f>
        <v>292</v>
      </c>
      <c r="I7" s="844"/>
      <c r="J7" s="692"/>
      <c r="K7" s="692"/>
      <c r="L7" s="692"/>
      <c r="M7" s="2"/>
    </row>
    <row r="8" spans="1:13" s="717" customFormat="1" ht="10.199999999999999" x14ac:dyDescent="0.2">
      <c r="A8" s="717" t="s">
        <v>148</v>
      </c>
      <c r="B8" s="717">
        <v>110</v>
      </c>
      <c r="C8" s="717">
        <v>147</v>
      </c>
      <c r="D8" s="717">
        <v>159</v>
      </c>
      <c r="E8" s="798">
        <v>190</v>
      </c>
      <c r="F8" s="717">
        <v>186</v>
      </c>
      <c r="I8" s="844"/>
      <c r="J8" s="692"/>
      <c r="K8" s="692"/>
      <c r="L8" s="692"/>
      <c r="M8" s="2"/>
    </row>
    <row r="9" spans="1:13" s="717" customFormat="1" ht="10.199999999999999" x14ac:dyDescent="0.2">
      <c r="A9" s="717" t="s">
        <v>149</v>
      </c>
      <c r="B9" s="717">
        <v>72</v>
      </c>
      <c r="C9" s="717">
        <v>59</v>
      </c>
      <c r="D9" s="717">
        <v>84</v>
      </c>
      <c r="E9" s="798">
        <v>90</v>
      </c>
      <c r="F9" s="717">
        <v>106</v>
      </c>
      <c r="I9" s="844"/>
      <c r="J9" s="692"/>
      <c r="K9" s="692"/>
      <c r="L9" s="692"/>
      <c r="M9" s="2"/>
    </row>
    <row r="10" spans="1:13" s="711" customFormat="1" ht="10.199999999999999" x14ac:dyDescent="0.2">
      <c r="A10" s="711" t="s">
        <v>2192</v>
      </c>
      <c r="B10" s="711">
        <v>32</v>
      </c>
      <c r="C10" s="711">
        <v>34</v>
      </c>
      <c r="D10" s="711">
        <v>21</v>
      </c>
      <c r="E10" s="845">
        <v>28</v>
      </c>
      <c r="F10" s="711">
        <v>35</v>
      </c>
      <c r="I10" s="651"/>
      <c r="J10" s="651"/>
      <c r="K10" s="651"/>
      <c r="L10" s="651"/>
      <c r="M10" s="651"/>
    </row>
    <row r="11" spans="1:13" s="711" customFormat="1" ht="7.5" customHeight="1" x14ac:dyDescent="0.2">
      <c r="E11" s="845"/>
      <c r="I11" s="651"/>
      <c r="J11" s="651"/>
      <c r="K11" s="651"/>
      <c r="L11" s="651"/>
      <c r="M11" s="651"/>
    </row>
    <row r="12" spans="1:13" s="717" customFormat="1" ht="10.199999999999999" x14ac:dyDescent="0.25">
      <c r="A12" s="723" t="s">
        <v>2178</v>
      </c>
      <c r="B12" s="723"/>
      <c r="C12" s="723"/>
      <c r="D12" s="723"/>
      <c r="E12" s="723"/>
      <c r="F12" s="723"/>
    </row>
    <row r="15" spans="1:13" x14ac:dyDescent="0.25">
      <c r="A15" s="754" t="s">
        <v>2193</v>
      </c>
    </row>
    <row r="16" spans="1:13" x14ac:dyDescent="0.25">
      <c r="A16" s="846" t="s">
        <v>2194</v>
      </c>
      <c r="B16" s="846">
        <v>2009</v>
      </c>
      <c r="C16" s="846">
        <v>2010</v>
      </c>
      <c r="D16" s="846">
        <v>2011</v>
      </c>
      <c r="E16" s="846">
        <v>2012</v>
      </c>
      <c r="F16" s="846">
        <v>2013</v>
      </c>
    </row>
    <row r="17" spans="1:6" x14ac:dyDescent="0.25">
      <c r="A17" s="847" t="s">
        <v>3</v>
      </c>
      <c r="B17" s="848">
        <v>214</v>
      </c>
      <c r="C17" s="848">
        <v>240</v>
      </c>
      <c r="D17" s="848">
        <v>264</v>
      </c>
      <c r="E17" s="848">
        <v>308</v>
      </c>
      <c r="F17" s="848">
        <v>327</v>
      </c>
    </row>
  </sheetData>
  <mergeCells count="5">
    <mergeCell ref="A1:F1"/>
    <mergeCell ref="A2:F2"/>
    <mergeCell ref="A4:A5"/>
    <mergeCell ref="B4:F4"/>
    <mergeCell ref="A12:F12"/>
  </mergeCells>
  <pageMargins left="0.7" right="0.7" top="0.75" bottom="0.75" header="0.3" footer="0.3"/>
  <pageSetup paperSize="14"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9827A-B94E-4B9B-87BA-B6AFBF28A09F}">
  <sheetPr codeName="Hoja15"/>
  <dimension ref="A2:E71"/>
  <sheetViews>
    <sheetView zoomScaleNormal="100" workbookViewId="0">
      <selection activeCell="G22" sqref="G22"/>
    </sheetView>
  </sheetViews>
  <sheetFormatPr baseColWidth="10" defaultColWidth="11.44140625" defaultRowHeight="10.199999999999999" x14ac:dyDescent="0.2"/>
  <cols>
    <col min="1" max="1" width="41.88671875" style="62" customWidth="1"/>
    <col min="2" max="2" width="13.33203125" style="62" customWidth="1"/>
    <col min="3" max="3" width="18.33203125" style="62" customWidth="1"/>
    <col min="4" max="4" width="16.6640625" style="62" customWidth="1"/>
    <col min="5" max="5" width="17.6640625" style="62" customWidth="1"/>
    <col min="6" max="16384" width="11.44140625" style="62"/>
  </cols>
  <sheetData>
    <row r="2" spans="1:5" ht="32.25" customHeight="1" x14ac:dyDescent="0.2">
      <c r="A2" s="64" t="s">
        <v>231</v>
      </c>
      <c r="B2" s="64"/>
      <c r="C2" s="64"/>
      <c r="D2" s="64"/>
      <c r="E2" s="64"/>
    </row>
    <row r="3" spans="1:5" ht="18.75" customHeight="1" x14ac:dyDescent="0.2">
      <c r="A3" s="169"/>
      <c r="B3" s="100"/>
      <c r="C3" s="100"/>
      <c r="D3" s="100"/>
      <c r="E3" s="100"/>
    </row>
    <row r="4" spans="1:5" ht="42.6" x14ac:dyDescent="0.2">
      <c r="A4" s="72" t="s">
        <v>76</v>
      </c>
      <c r="B4" s="170" t="s">
        <v>232</v>
      </c>
      <c r="C4" s="170" t="s">
        <v>233</v>
      </c>
      <c r="D4" s="170" t="s">
        <v>234</v>
      </c>
      <c r="E4" s="170" t="s">
        <v>235</v>
      </c>
    </row>
    <row r="5" spans="1:5" x14ac:dyDescent="0.2">
      <c r="A5" s="85" t="s">
        <v>3</v>
      </c>
      <c r="B5" s="88">
        <f>SUM(B6+B8+B10+B14+B18+B21+B25+B31+B35)</f>
        <v>13723</v>
      </c>
      <c r="C5" s="88">
        <v>115772</v>
      </c>
      <c r="D5" s="88">
        <f>+C5/B5</f>
        <v>8.4363477373752094</v>
      </c>
      <c r="E5" s="88">
        <v>531892.87941914599</v>
      </c>
    </row>
    <row r="6" spans="1:5" x14ac:dyDescent="0.2">
      <c r="A6" s="85" t="s">
        <v>21</v>
      </c>
      <c r="B6" s="88">
        <f>SUM(B7)</f>
        <v>101</v>
      </c>
      <c r="C6" s="88">
        <f t="shared" ref="C6" si="0">SUM(C7)</f>
        <v>1424</v>
      </c>
      <c r="D6" s="88">
        <f t="shared" ref="D6:D37" si="1">+C6/B6</f>
        <v>14.099009900990099</v>
      </c>
      <c r="E6" s="88">
        <f t="shared" ref="E6" si="2">SUM(E7)</f>
        <v>606094.57625572442</v>
      </c>
    </row>
    <row r="7" spans="1:5" ht="12" x14ac:dyDescent="0.2">
      <c r="A7" s="171" t="s">
        <v>236</v>
      </c>
      <c r="B7" s="91">
        <v>101</v>
      </c>
      <c r="C7" s="91">
        <v>1424</v>
      </c>
      <c r="D7" s="91">
        <f t="shared" si="1"/>
        <v>14.099009900990099</v>
      </c>
      <c r="E7" s="91">
        <v>606094.57625572442</v>
      </c>
    </row>
    <row r="8" spans="1:5" x14ac:dyDescent="0.2">
      <c r="A8" s="85" t="s">
        <v>23</v>
      </c>
      <c r="B8" s="88">
        <f>SUM(B9)</f>
        <v>956</v>
      </c>
      <c r="C8" s="88">
        <f t="shared" ref="C8" si="3">SUM(C9)</f>
        <v>1331</v>
      </c>
      <c r="D8" s="88">
        <f t="shared" si="1"/>
        <v>1.3922594142259415</v>
      </c>
      <c r="E8" s="88">
        <v>264224.30711433443</v>
      </c>
    </row>
    <row r="9" spans="1:5" ht="12" x14ac:dyDescent="0.2">
      <c r="A9" s="171" t="s">
        <v>237</v>
      </c>
      <c r="B9" s="91">
        <v>956</v>
      </c>
      <c r="C9" s="91">
        <v>1331</v>
      </c>
      <c r="D9" s="91">
        <f t="shared" si="1"/>
        <v>1.3922594142259415</v>
      </c>
      <c r="E9" s="91">
        <v>264224.30711433443</v>
      </c>
    </row>
    <row r="10" spans="1:5" x14ac:dyDescent="0.2">
      <c r="A10" s="85" t="s">
        <v>56</v>
      </c>
      <c r="B10" s="88">
        <f>SUM(B11:B13)</f>
        <v>680</v>
      </c>
      <c r="C10" s="88">
        <f>SUM(C11:C13)</f>
        <v>4577</v>
      </c>
      <c r="D10" s="88">
        <f t="shared" si="1"/>
        <v>6.7308823529411761</v>
      </c>
      <c r="E10" s="88">
        <v>427073.85563414684</v>
      </c>
    </row>
    <row r="11" spans="1:5" ht="12" x14ac:dyDescent="0.2">
      <c r="A11" s="171" t="s">
        <v>238</v>
      </c>
      <c r="B11" s="91">
        <v>139</v>
      </c>
      <c r="C11" s="91">
        <v>364</v>
      </c>
      <c r="D11" s="91">
        <f t="shared" si="1"/>
        <v>2.6187050359712232</v>
      </c>
      <c r="E11" s="91">
        <v>405834.1480583995</v>
      </c>
    </row>
    <row r="12" spans="1:5" ht="12" x14ac:dyDescent="0.2">
      <c r="A12" s="171" t="s">
        <v>239</v>
      </c>
      <c r="B12" s="91">
        <v>509</v>
      </c>
      <c r="C12" s="91">
        <v>3156</v>
      </c>
      <c r="D12" s="91">
        <f t="shared" si="1"/>
        <v>6.2003929273084477</v>
      </c>
      <c r="E12" s="91">
        <v>393676.7285363517</v>
      </c>
    </row>
    <row r="13" spans="1:5" ht="12" x14ac:dyDescent="0.2">
      <c r="A13" s="171" t="s">
        <v>240</v>
      </c>
      <c r="B13" s="91">
        <v>32</v>
      </c>
      <c r="C13" s="91">
        <v>1057</v>
      </c>
      <c r="D13" s="91">
        <f t="shared" si="1"/>
        <v>33.03125</v>
      </c>
      <c r="E13" s="91">
        <v>534066.8038218458</v>
      </c>
    </row>
    <row r="14" spans="1:5" x14ac:dyDescent="0.2">
      <c r="A14" s="85" t="s">
        <v>26</v>
      </c>
      <c r="B14" s="88">
        <f>SUM(B15:B17)</f>
        <v>188</v>
      </c>
      <c r="C14" s="88">
        <f t="shared" ref="C14" si="4">SUM(C15:C17)</f>
        <v>2331</v>
      </c>
      <c r="D14" s="88">
        <f t="shared" si="1"/>
        <v>12.398936170212766</v>
      </c>
      <c r="E14" s="88">
        <v>773388.15854237264</v>
      </c>
    </row>
    <row r="15" spans="1:5" ht="12" x14ac:dyDescent="0.2">
      <c r="A15" s="171" t="s">
        <v>241</v>
      </c>
      <c r="B15" s="91">
        <v>20</v>
      </c>
      <c r="C15" s="91">
        <v>130</v>
      </c>
      <c r="D15" s="91">
        <f t="shared" si="1"/>
        <v>6.5</v>
      </c>
      <c r="E15" s="91">
        <v>192725.51156370039</v>
      </c>
    </row>
    <row r="16" spans="1:5" ht="12" x14ac:dyDescent="0.2">
      <c r="A16" s="171" t="s">
        <v>242</v>
      </c>
      <c r="B16" s="91">
        <v>18</v>
      </c>
      <c r="C16" s="91">
        <v>21</v>
      </c>
      <c r="D16" s="91">
        <f t="shared" si="1"/>
        <v>1.1666666666666667</v>
      </c>
      <c r="E16" s="91">
        <v>258822.65249662622</v>
      </c>
    </row>
    <row r="17" spans="1:5" ht="12" x14ac:dyDescent="0.2">
      <c r="A17" s="171" t="s">
        <v>243</v>
      </c>
      <c r="B17" s="91">
        <v>150</v>
      </c>
      <c r="C17" s="91">
        <v>2180</v>
      </c>
      <c r="D17" s="91">
        <f t="shared" si="1"/>
        <v>14.533333333333333</v>
      </c>
      <c r="E17" s="91">
        <v>812922.23104969331</v>
      </c>
    </row>
    <row r="18" spans="1:5" x14ac:dyDescent="0.2">
      <c r="A18" s="85" t="s">
        <v>29</v>
      </c>
      <c r="B18" s="88">
        <f>SUM(B19:B20)</f>
        <v>727</v>
      </c>
      <c r="C18" s="88">
        <f t="shared" ref="C18" si="5">SUM(C19:C20)</f>
        <v>3414</v>
      </c>
      <c r="D18" s="88">
        <f t="shared" si="1"/>
        <v>4.6960110041265475</v>
      </c>
      <c r="E18" s="88">
        <v>531781.45387002628</v>
      </c>
    </row>
    <row r="19" spans="1:5" ht="12" x14ac:dyDescent="0.2">
      <c r="A19" s="171" t="s">
        <v>244</v>
      </c>
      <c r="B19" s="91">
        <v>706</v>
      </c>
      <c r="C19" s="91">
        <v>3381</v>
      </c>
      <c r="D19" s="91">
        <f t="shared" si="1"/>
        <v>4.7889518413597738</v>
      </c>
      <c r="E19" s="91">
        <v>534520.53134700854</v>
      </c>
    </row>
    <row r="20" spans="1:5" ht="12" x14ac:dyDescent="0.2">
      <c r="A20" s="171" t="s">
        <v>245</v>
      </c>
      <c r="B20" s="91">
        <v>21</v>
      </c>
      <c r="C20" s="91">
        <v>33</v>
      </c>
      <c r="D20" s="91">
        <f t="shared" si="1"/>
        <v>1.5714285714285714</v>
      </c>
      <c r="E20" s="91">
        <v>252553.8396147404</v>
      </c>
    </row>
    <row r="21" spans="1:5" x14ac:dyDescent="0.2">
      <c r="A21" s="85" t="s">
        <v>70</v>
      </c>
      <c r="B21" s="88">
        <f>SUM(B22:B24)</f>
        <v>1998</v>
      </c>
      <c r="C21" s="88">
        <f>SUM(C22:C24)</f>
        <v>19541</v>
      </c>
      <c r="D21" s="88">
        <f t="shared" si="1"/>
        <v>9.7802802802802802</v>
      </c>
      <c r="E21" s="88">
        <v>633112.95652104204</v>
      </c>
    </row>
    <row r="22" spans="1:5" ht="12" x14ac:dyDescent="0.2">
      <c r="A22" s="171" t="s">
        <v>246</v>
      </c>
      <c r="B22" s="91">
        <v>1360</v>
      </c>
      <c r="C22" s="91">
        <v>14295</v>
      </c>
      <c r="D22" s="91">
        <f t="shared" si="1"/>
        <v>10.511029411764707</v>
      </c>
      <c r="E22" s="91">
        <v>599267.19771557616</v>
      </c>
    </row>
    <row r="23" spans="1:5" ht="12" x14ac:dyDescent="0.2">
      <c r="A23" s="171" t="s">
        <v>247</v>
      </c>
      <c r="B23" s="91">
        <v>298</v>
      </c>
      <c r="C23" s="91">
        <v>2844</v>
      </c>
      <c r="D23" s="91">
        <f t="shared" si="1"/>
        <v>9.5436241610738257</v>
      </c>
      <c r="E23" s="91">
        <v>890225.65344359109</v>
      </c>
    </row>
    <row r="24" spans="1:5" ht="12" x14ac:dyDescent="0.2">
      <c r="A24" s="171" t="s">
        <v>248</v>
      </c>
      <c r="B24" s="91">
        <v>340</v>
      </c>
      <c r="C24" s="91">
        <v>2402</v>
      </c>
      <c r="D24" s="91">
        <f t="shared" si="1"/>
        <v>7.0647058823529409</v>
      </c>
      <c r="E24" s="91">
        <v>530060.43488197844</v>
      </c>
    </row>
    <row r="25" spans="1:5" x14ac:dyDescent="0.2">
      <c r="A25" s="85" t="s">
        <v>33</v>
      </c>
      <c r="B25" s="88">
        <f>SUM(B26:B30)</f>
        <v>1181</v>
      </c>
      <c r="C25" s="88">
        <f>SUM(C26:C30)</f>
        <v>16151</v>
      </c>
      <c r="D25" s="88">
        <f t="shared" si="1"/>
        <v>13.675698560541914</v>
      </c>
      <c r="E25" s="88">
        <v>577413.79907738033</v>
      </c>
    </row>
    <row r="26" spans="1:5" ht="12" x14ac:dyDescent="0.2">
      <c r="A26" s="171" t="s">
        <v>249</v>
      </c>
      <c r="B26" s="91">
        <v>365</v>
      </c>
      <c r="C26" s="91">
        <v>5666</v>
      </c>
      <c r="D26" s="91">
        <f t="shared" si="1"/>
        <v>15.523287671232877</v>
      </c>
      <c r="E26" s="91">
        <v>430366.49528277939</v>
      </c>
    </row>
    <row r="27" spans="1:5" ht="12" x14ac:dyDescent="0.2">
      <c r="A27" s="171" t="s">
        <v>250</v>
      </c>
      <c r="B27" s="91">
        <v>108</v>
      </c>
      <c r="C27" s="91">
        <v>339</v>
      </c>
      <c r="D27" s="91">
        <f t="shared" si="1"/>
        <v>3.1388888888888888</v>
      </c>
      <c r="E27" s="91">
        <v>357337.84114725131</v>
      </c>
    </row>
    <row r="28" spans="1:5" ht="12" x14ac:dyDescent="0.2">
      <c r="A28" s="171" t="s">
        <v>251</v>
      </c>
      <c r="B28" s="91">
        <v>281</v>
      </c>
      <c r="C28" s="91">
        <v>7636</v>
      </c>
      <c r="D28" s="91">
        <f t="shared" si="1"/>
        <v>27.17437722419929</v>
      </c>
      <c r="E28" s="91">
        <v>726494.32740433677</v>
      </c>
    </row>
    <row r="29" spans="1:5" ht="12" x14ac:dyDescent="0.2">
      <c r="A29" s="171" t="s">
        <v>252</v>
      </c>
      <c r="B29" s="91">
        <v>285</v>
      </c>
      <c r="C29" s="91">
        <v>1576</v>
      </c>
      <c r="D29" s="91">
        <f t="shared" si="1"/>
        <v>5.5298245614035091</v>
      </c>
      <c r="E29" s="91">
        <v>458582.81955667544</v>
      </c>
    </row>
    <row r="30" spans="1:5" ht="12" x14ac:dyDescent="0.2">
      <c r="A30" s="171" t="s">
        <v>253</v>
      </c>
      <c r="B30" s="91">
        <v>142</v>
      </c>
      <c r="C30" s="91">
        <v>934</v>
      </c>
      <c r="D30" s="91">
        <f t="shared" si="1"/>
        <v>6.577464788732394</v>
      </c>
      <c r="E30" s="91">
        <v>530908.22426883306</v>
      </c>
    </row>
    <row r="31" spans="1:5" x14ac:dyDescent="0.2">
      <c r="A31" s="85" t="s">
        <v>64</v>
      </c>
      <c r="B31" s="88">
        <f>SUM(B32:B34)</f>
        <v>4631</v>
      </c>
      <c r="C31" s="88">
        <f>SUM(C32:C34)</f>
        <v>49131</v>
      </c>
      <c r="D31" s="88">
        <f t="shared" si="1"/>
        <v>10.609155689915784</v>
      </c>
      <c r="E31" s="88">
        <v>424882.17074876395</v>
      </c>
    </row>
    <row r="32" spans="1:5" ht="12" x14ac:dyDescent="0.2">
      <c r="A32" s="171" t="s">
        <v>254</v>
      </c>
      <c r="B32" s="91">
        <v>1711</v>
      </c>
      <c r="C32" s="91">
        <v>4780</v>
      </c>
      <c r="D32" s="91">
        <f t="shared" si="1"/>
        <v>2.7936879018118059</v>
      </c>
      <c r="E32" s="91">
        <v>731422.83451757964</v>
      </c>
    </row>
    <row r="33" spans="1:5" ht="12" x14ac:dyDescent="0.2">
      <c r="A33" s="171" t="s">
        <v>255</v>
      </c>
      <c r="B33" s="91">
        <v>510</v>
      </c>
      <c r="C33" s="91">
        <v>1938</v>
      </c>
      <c r="D33" s="91">
        <f t="shared" si="1"/>
        <v>3.8</v>
      </c>
      <c r="E33" s="91">
        <v>495014.5924080651</v>
      </c>
    </row>
    <row r="34" spans="1:5" ht="12" x14ac:dyDescent="0.2">
      <c r="A34" s="171" t="s">
        <v>256</v>
      </c>
      <c r="B34" s="91">
        <v>2410</v>
      </c>
      <c r="C34" s="91">
        <v>42413</v>
      </c>
      <c r="D34" s="91">
        <f t="shared" si="1"/>
        <v>17.598755186721991</v>
      </c>
      <c r="E34" s="91">
        <v>387132.63384390931</v>
      </c>
    </row>
    <row r="35" spans="1:5" x14ac:dyDescent="0.2">
      <c r="A35" s="85" t="s">
        <v>65</v>
      </c>
      <c r="B35" s="88">
        <f>SUM(B36:B37)</f>
        <v>3261</v>
      </c>
      <c r="C35" s="88">
        <f>SUM(C36:C37)</f>
        <v>17873</v>
      </c>
      <c r="D35" s="88">
        <f t="shared" si="1"/>
        <v>5.4808340999693348</v>
      </c>
      <c r="E35" s="88">
        <v>683651.61123165104</v>
      </c>
    </row>
    <row r="36" spans="1:5" ht="12" x14ac:dyDescent="0.2">
      <c r="A36" s="171" t="s">
        <v>257</v>
      </c>
      <c r="B36" s="91">
        <v>826</v>
      </c>
      <c r="C36" s="91">
        <v>7371</v>
      </c>
      <c r="D36" s="91">
        <f t="shared" si="1"/>
        <v>8.9237288135593218</v>
      </c>
      <c r="E36" s="91">
        <v>646859.89601680578</v>
      </c>
    </row>
    <row r="37" spans="1:5" ht="12" x14ac:dyDescent="0.2">
      <c r="A37" s="171" t="s">
        <v>258</v>
      </c>
      <c r="B37" s="91">
        <v>2435</v>
      </c>
      <c r="C37" s="91">
        <v>10502</v>
      </c>
      <c r="D37" s="91">
        <f t="shared" si="1"/>
        <v>4.3129363449691995</v>
      </c>
      <c r="E37" s="91">
        <v>709473.22185516753</v>
      </c>
    </row>
    <row r="38" spans="1:5" x14ac:dyDescent="0.2">
      <c r="A38" s="85"/>
      <c r="B38" s="88"/>
      <c r="C38" s="88"/>
      <c r="D38" s="88"/>
      <c r="E38" s="88"/>
    </row>
    <row r="39" spans="1:5" ht="59.25" customHeight="1" x14ac:dyDescent="0.2">
      <c r="A39" s="99" t="s">
        <v>259</v>
      </c>
      <c r="B39" s="99"/>
      <c r="C39" s="99"/>
      <c r="D39" s="99"/>
      <c r="E39" s="172"/>
    </row>
    <row r="40" spans="1:5" ht="48" customHeight="1" x14ac:dyDescent="0.2">
      <c r="A40" s="173" t="s">
        <v>260</v>
      </c>
      <c r="B40" s="173"/>
      <c r="C40" s="173"/>
      <c r="D40" s="173"/>
      <c r="E40" s="173"/>
    </row>
    <row r="41" spans="1:5" x14ac:dyDescent="0.2">
      <c r="A41" s="174" t="s">
        <v>261</v>
      </c>
      <c r="B41" s="174"/>
      <c r="C41" s="174"/>
      <c r="D41" s="174"/>
      <c r="E41" s="175"/>
    </row>
    <row r="42" spans="1:5" x14ac:dyDescent="0.2">
      <c r="A42" s="174" t="s">
        <v>262</v>
      </c>
      <c r="B42" s="174"/>
      <c r="C42" s="174"/>
      <c r="D42" s="174"/>
      <c r="E42" s="175"/>
    </row>
    <row r="43" spans="1:5" x14ac:dyDescent="0.2">
      <c r="A43" s="174" t="s">
        <v>263</v>
      </c>
      <c r="B43" s="174"/>
      <c r="C43" s="174"/>
      <c r="D43" s="174"/>
      <c r="E43" s="175"/>
    </row>
    <row r="44" spans="1:5" ht="27" customHeight="1" x14ac:dyDescent="0.2">
      <c r="A44" s="174" t="s">
        <v>264</v>
      </c>
      <c r="B44" s="174"/>
      <c r="C44" s="174"/>
      <c r="D44" s="174"/>
      <c r="E44" s="175"/>
    </row>
    <row r="45" spans="1:5" x14ac:dyDescent="0.2">
      <c r="A45" s="176" t="s">
        <v>265</v>
      </c>
      <c r="B45" s="176"/>
      <c r="C45" s="176"/>
      <c r="D45" s="176"/>
      <c r="E45" s="177"/>
    </row>
    <row r="46" spans="1:5" x14ac:dyDescent="0.2">
      <c r="A46" s="176" t="s">
        <v>266</v>
      </c>
      <c r="B46" s="176"/>
      <c r="C46" s="176"/>
      <c r="D46" s="176"/>
      <c r="E46" s="177"/>
    </row>
    <row r="47" spans="1:5" ht="12.75" customHeight="1" x14ac:dyDescent="0.2">
      <c r="A47" s="176" t="s">
        <v>267</v>
      </c>
      <c r="B47" s="176"/>
      <c r="C47" s="176"/>
      <c r="D47" s="176"/>
      <c r="E47" s="177"/>
    </row>
    <row r="48" spans="1:5" ht="12.75" customHeight="1" x14ac:dyDescent="0.2">
      <c r="A48" s="176" t="s">
        <v>268</v>
      </c>
      <c r="B48" s="176"/>
      <c r="C48" s="176"/>
      <c r="D48" s="176"/>
      <c r="E48" s="177"/>
    </row>
    <row r="49" spans="1:5" ht="42" customHeight="1" x14ac:dyDescent="0.2">
      <c r="A49" s="176" t="s">
        <v>269</v>
      </c>
      <c r="B49" s="176"/>
      <c r="C49" s="176"/>
      <c r="D49" s="176"/>
      <c r="E49" s="177"/>
    </row>
    <row r="50" spans="1:5" ht="12.75" customHeight="1" x14ac:dyDescent="0.2">
      <c r="A50" s="176" t="s">
        <v>270</v>
      </c>
      <c r="B50" s="176"/>
      <c r="C50" s="176"/>
      <c r="D50" s="176"/>
      <c r="E50" s="177"/>
    </row>
    <row r="51" spans="1:5" ht="26.25" customHeight="1" x14ac:dyDescent="0.2">
      <c r="A51" s="176" t="s">
        <v>271</v>
      </c>
      <c r="B51" s="176"/>
      <c r="C51" s="176"/>
      <c r="D51" s="176"/>
      <c r="E51" s="177"/>
    </row>
    <row r="52" spans="1:5" ht="15.75" customHeight="1" x14ac:dyDescent="0.2">
      <c r="A52" s="176" t="s">
        <v>272</v>
      </c>
      <c r="B52" s="176"/>
      <c r="C52" s="176"/>
      <c r="D52" s="176"/>
      <c r="E52" s="177"/>
    </row>
    <row r="53" spans="1:5" ht="13.5" customHeight="1" x14ac:dyDescent="0.2">
      <c r="A53" s="176" t="s">
        <v>273</v>
      </c>
      <c r="B53" s="176"/>
      <c r="C53" s="176"/>
      <c r="D53" s="176"/>
      <c r="E53" s="177"/>
    </row>
    <row r="54" spans="1:5" ht="23.25" customHeight="1" x14ac:dyDescent="0.2">
      <c r="A54" s="176" t="s">
        <v>274</v>
      </c>
      <c r="B54" s="176"/>
      <c r="C54" s="176"/>
      <c r="D54" s="176"/>
      <c r="E54" s="177"/>
    </row>
    <row r="55" spans="1:5" ht="15" customHeight="1" x14ac:dyDescent="0.2">
      <c r="A55" s="176" t="s">
        <v>275</v>
      </c>
      <c r="B55" s="176"/>
      <c r="C55" s="176"/>
      <c r="D55" s="176"/>
      <c r="E55" s="177"/>
    </row>
    <row r="56" spans="1:5" x14ac:dyDescent="0.2">
      <c r="A56" s="176" t="s">
        <v>276</v>
      </c>
      <c r="B56" s="176"/>
      <c r="C56" s="176"/>
      <c r="D56" s="176"/>
      <c r="E56" s="177"/>
    </row>
    <row r="57" spans="1:5" x14ac:dyDescent="0.2">
      <c r="A57" s="176" t="s">
        <v>277</v>
      </c>
      <c r="B57" s="176"/>
      <c r="C57" s="176"/>
      <c r="D57" s="176"/>
      <c r="E57" s="177"/>
    </row>
    <row r="58" spans="1:5" ht="23.25" customHeight="1" x14ac:dyDescent="0.2">
      <c r="A58" s="176" t="s">
        <v>278</v>
      </c>
      <c r="B58" s="176"/>
      <c r="C58" s="176"/>
      <c r="D58" s="176"/>
      <c r="E58" s="177"/>
    </row>
    <row r="59" spans="1:5" ht="12.75" customHeight="1" x14ac:dyDescent="0.2">
      <c r="A59" s="176" t="s">
        <v>279</v>
      </c>
      <c r="B59" s="176"/>
      <c r="C59" s="176"/>
      <c r="D59" s="176"/>
      <c r="E59" s="177"/>
    </row>
    <row r="60" spans="1:5" ht="13.5" customHeight="1" x14ac:dyDescent="0.2">
      <c r="A60" s="176" t="s">
        <v>280</v>
      </c>
      <c r="B60" s="176"/>
      <c r="C60" s="176"/>
      <c r="D60" s="176"/>
      <c r="E60" s="177"/>
    </row>
    <row r="61" spans="1:5" x14ac:dyDescent="0.2">
      <c r="A61" s="176" t="s">
        <v>281</v>
      </c>
      <c r="B61" s="176"/>
      <c r="C61" s="176"/>
      <c r="D61" s="176"/>
      <c r="E61" s="177"/>
    </row>
    <row r="62" spans="1:5" ht="24" customHeight="1" x14ac:dyDescent="0.2">
      <c r="A62" s="174" t="s">
        <v>282</v>
      </c>
      <c r="B62" s="174"/>
      <c r="C62" s="174"/>
      <c r="D62" s="174"/>
      <c r="E62" s="175"/>
    </row>
    <row r="63" spans="1:5" ht="25.5" customHeight="1" x14ac:dyDescent="0.2">
      <c r="A63" s="174" t="s">
        <v>283</v>
      </c>
      <c r="B63" s="174"/>
      <c r="C63" s="174"/>
      <c r="D63" s="174"/>
      <c r="E63" s="175"/>
    </row>
    <row r="64" spans="1:5" ht="25.5" customHeight="1" x14ac:dyDescent="0.2">
      <c r="A64" s="174" t="s">
        <v>284</v>
      </c>
      <c r="B64" s="174"/>
      <c r="C64" s="174"/>
      <c r="D64" s="174"/>
      <c r="E64" s="175"/>
    </row>
    <row r="65" spans="1:5" ht="25.5" customHeight="1" x14ac:dyDescent="0.2">
      <c r="A65" s="174" t="s">
        <v>285</v>
      </c>
      <c r="B65" s="174"/>
      <c r="C65" s="174"/>
      <c r="D65" s="174"/>
      <c r="E65" s="175"/>
    </row>
    <row r="66" spans="1:5" ht="36.75" customHeight="1" x14ac:dyDescent="0.2">
      <c r="A66" s="174" t="s">
        <v>286</v>
      </c>
      <c r="B66" s="174"/>
      <c r="C66" s="174"/>
      <c r="D66" s="174"/>
      <c r="E66" s="175"/>
    </row>
    <row r="71" spans="1:5" x14ac:dyDescent="0.2">
      <c r="A71" s="176"/>
      <c r="B71" s="176"/>
      <c r="C71" s="176"/>
      <c r="D71" s="176"/>
    </row>
  </sheetData>
  <mergeCells count="30">
    <mergeCell ref="A62:E62"/>
    <mergeCell ref="A63:E63"/>
    <mergeCell ref="A64:E64"/>
    <mergeCell ref="A65:E65"/>
    <mergeCell ref="A66:E66"/>
    <mergeCell ref="A71:D71"/>
    <mergeCell ref="A56:E56"/>
    <mergeCell ref="A57:E57"/>
    <mergeCell ref="A58:E58"/>
    <mergeCell ref="A59:E59"/>
    <mergeCell ref="A60:E60"/>
    <mergeCell ref="A61:E61"/>
    <mergeCell ref="A50:E50"/>
    <mergeCell ref="A51:E51"/>
    <mergeCell ref="A52:E52"/>
    <mergeCell ref="A53:E53"/>
    <mergeCell ref="A54:E54"/>
    <mergeCell ref="A55:E55"/>
    <mergeCell ref="A44:E44"/>
    <mergeCell ref="A45:E45"/>
    <mergeCell ref="A46:E46"/>
    <mergeCell ref="A47:E47"/>
    <mergeCell ref="A48:E48"/>
    <mergeCell ref="A49:E49"/>
    <mergeCell ref="A2:E2"/>
    <mergeCell ref="A39:E39"/>
    <mergeCell ref="A40:E40"/>
    <mergeCell ref="A41:E41"/>
    <mergeCell ref="A42:E42"/>
    <mergeCell ref="A43:E43"/>
  </mergeCells>
  <pageMargins left="0.70866141732283472" right="0.70866141732283472" top="0.74803149606299213" bottom="0.74803149606299213" header="0.31496062992125984" footer="0.31496062992125984"/>
  <pageSetup paperSize="14" scale="80" orientation="portrait" verticalDpi="599" r:id="rId1"/>
  <rowBreaks count="1" manualBreakCount="1">
    <brk id="66" max="16383" man="1"/>
  </rowBreaks>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A07322-72DC-4CA9-8135-E59C18C592C2}">
  <sheetPr codeName="Hoja150"/>
  <dimension ref="A1:L12"/>
  <sheetViews>
    <sheetView zoomScaleNormal="100" workbookViewId="0">
      <selection activeCell="D40" sqref="D40"/>
    </sheetView>
  </sheetViews>
  <sheetFormatPr baseColWidth="10" defaultRowHeight="13.2" x14ac:dyDescent="0.25"/>
  <cols>
    <col min="1" max="1" width="29.33203125" customWidth="1"/>
    <col min="2" max="6" width="14.109375" bestFit="1" customWidth="1"/>
  </cols>
  <sheetData>
    <row r="1" spans="1:12" ht="15.6" x14ac:dyDescent="0.25">
      <c r="A1" s="687"/>
    </row>
    <row r="2" spans="1:12" s="849" customFormat="1" ht="23.25" customHeight="1" x14ac:dyDescent="0.25">
      <c r="A2" s="757" t="s">
        <v>2165</v>
      </c>
      <c r="B2" s="757"/>
      <c r="C2" s="757"/>
      <c r="D2" s="757"/>
      <c r="E2" s="757"/>
      <c r="F2" s="757"/>
      <c r="H2" s="850"/>
      <c r="I2" s="850"/>
      <c r="J2" s="850"/>
      <c r="K2" s="850"/>
      <c r="L2" s="850"/>
    </row>
    <row r="3" spans="1:12" s="717" customFormat="1" ht="10.199999999999999" x14ac:dyDescent="0.25">
      <c r="A3" s="711"/>
      <c r="H3" s="844"/>
      <c r="I3" s="851"/>
      <c r="J3" s="851"/>
      <c r="K3" s="851"/>
      <c r="L3" s="851"/>
    </row>
    <row r="4" spans="1:12" s="717" customFormat="1" ht="14.25" customHeight="1" x14ac:dyDescent="0.2">
      <c r="A4" s="707" t="s">
        <v>2195</v>
      </c>
      <c r="B4" s="768" t="s">
        <v>98</v>
      </c>
      <c r="C4" s="852"/>
      <c r="D4" s="852"/>
      <c r="E4" s="852"/>
      <c r="F4" s="769"/>
      <c r="H4" s="2"/>
      <c r="I4" s="2"/>
      <c r="J4" s="2"/>
      <c r="K4" s="2"/>
      <c r="L4" s="2"/>
    </row>
    <row r="5" spans="1:12" s="717" customFormat="1" ht="14.25" customHeight="1" x14ac:dyDescent="0.2">
      <c r="A5" s="710"/>
      <c r="B5" s="453">
        <v>2009</v>
      </c>
      <c r="C5" s="453">
        <v>2010</v>
      </c>
      <c r="D5" s="453">
        <v>2011</v>
      </c>
      <c r="E5" s="453">
        <v>2012</v>
      </c>
      <c r="F5" s="453">
        <v>2013</v>
      </c>
      <c r="H5" s="2"/>
      <c r="I5" s="2"/>
      <c r="J5" s="2"/>
      <c r="K5" s="2"/>
      <c r="L5" s="2"/>
    </row>
    <row r="6" spans="1:12" s="717" customFormat="1" ht="10.199999999999999" x14ac:dyDescent="0.2">
      <c r="A6" s="711" t="s">
        <v>3</v>
      </c>
      <c r="B6" s="853">
        <f>SUM(B7:B9)</f>
        <v>135348756</v>
      </c>
      <c r="C6" s="853">
        <f>SUM(C7:C9)</f>
        <v>156718737</v>
      </c>
      <c r="D6" s="853">
        <f>SUM(D7:D9)</f>
        <v>188902696</v>
      </c>
      <c r="E6" s="853">
        <f>SUM(E7:E9)</f>
        <v>224948420</v>
      </c>
      <c r="F6" s="853">
        <f>SUM(F7:F9)</f>
        <v>242861493</v>
      </c>
      <c r="H6" s="324"/>
      <c r="I6" s="324"/>
      <c r="J6" s="324"/>
      <c r="K6" s="324"/>
      <c r="L6" s="2"/>
    </row>
    <row r="7" spans="1:12" s="717" customFormat="1" ht="10.199999999999999" x14ac:dyDescent="0.2">
      <c r="A7" s="717" t="s">
        <v>148</v>
      </c>
      <c r="B7" s="854">
        <v>69419409</v>
      </c>
      <c r="C7" s="854">
        <v>108713674</v>
      </c>
      <c r="D7" s="854">
        <v>100481949</v>
      </c>
      <c r="E7" s="855">
        <v>110489548</v>
      </c>
      <c r="F7" s="856">
        <v>136368938</v>
      </c>
      <c r="H7" s="692"/>
      <c r="I7" s="843"/>
      <c r="J7" s="843"/>
      <c r="K7" s="843"/>
      <c r="L7" s="2"/>
    </row>
    <row r="8" spans="1:12" s="717" customFormat="1" ht="10.199999999999999" x14ac:dyDescent="0.2">
      <c r="A8" s="717" t="s">
        <v>149</v>
      </c>
      <c r="B8" s="854">
        <v>52078011</v>
      </c>
      <c r="C8" s="854">
        <v>38439954</v>
      </c>
      <c r="D8" s="854">
        <v>75043336</v>
      </c>
      <c r="E8" s="855">
        <v>99866998</v>
      </c>
      <c r="F8" s="856">
        <v>90912625</v>
      </c>
      <c r="H8" s="844"/>
      <c r="I8" s="844"/>
      <c r="J8" s="844"/>
      <c r="K8" s="844"/>
      <c r="L8" s="2"/>
    </row>
    <row r="9" spans="1:12" s="717" customFormat="1" ht="10.199999999999999" x14ac:dyDescent="0.2">
      <c r="A9" s="717" t="s">
        <v>150</v>
      </c>
      <c r="B9" s="854">
        <v>13851336</v>
      </c>
      <c r="C9" s="854">
        <v>9565109</v>
      </c>
      <c r="D9" s="854">
        <v>13377411</v>
      </c>
      <c r="E9" s="855">
        <v>14591874</v>
      </c>
      <c r="F9" s="856">
        <v>15579930</v>
      </c>
      <c r="H9" s="844"/>
      <c r="I9" s="851"/>
      <c r="J9" s="844"/>
      <c r="K9" s="844"/>
      <c r="L9" s="2"/>
    </row>
    <row r="10" spans="1:12" s="717" customFormat="1" ht="7.5" customHeight="1" x14ac:dyDescent="0.2">
      <c r="B10" s="857"/>
      <c r="C10" s="857"/>
      <c r="D10" s="857"/>
      <c r="E10" s="578"/>
      <c r="F10" s="858"/>
      <c r="H10" s="844"/>
      <c r="I10" s="851"/>
      <c r="J10" s="844"/>
      <c r="K10" s="844"/>
      <c r="L10" s="2"/>
    </row>
    <row r="11" spans="1:12" s="717" customFormat="1" ht="10.199999999999999" x14ac:dyDescent="0.2">
      <c r="A11" s="723" t="s">
        <v>2178</v>
      </c>
      <c r="B11" s="723"/>
      <c r="C11" s="723"/>
      <c r="D11" s="723"/>
      <c r="E11" s="723"/>
      <c r="F11" s="723"/>
      <c r="H11" s="844"/>
      <c r="I11" s="844"/>
      <c r="J11" s="844"/>
      <c r="K11" s="844"/>
      <c r="L11" s="2"/>
    </row>
    <row r="12" spans="1:12" s="717" customFormat="1" ht="10.199999999999999" x14ac:dyDescent="0.25"/>
  </sheetData>
  <mergeCells count="4">
    <mergeCell ref="A2:F2"/>
    <mergeCell ref="A4:A5"/>
    <mergeCell ref="B4:F4"/>
    <mergeCell ref="A11:F11"/>
  </mergeCells>
  <pageMargins left="0.7" right="0.7" top="0.75" bottom="0.75" header="0.3" footer="0.3"/>
  <pageSetup paperSize="14" scale="91" orientation="portrait"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69D6D-C1EE-4437-88AF-B95BF12B2F5E}">
  <sheetPr codeName="Hoja151"/>
  <dimension ref="A2:G22"/>
  <sheetViews>
    <sheetView zoomScaleNormal="100" workbookViewId="0">
      <selection activeCell="D40" sqref="D40"/>
    </sheetView>
  </sheetViews>
  <sheetFormatPr baseColWidth="10" defaultColWidth="11.44140625" defaultRowHeight="10.199999999999999" x14ac:dyDescent="0.25"/>
  <cols>
    <col min="1" max="1" width="33.5546875" style="717" customWidth="1"/>
    <col min="2" max="6" width="18.6640625" style="717" bestFit="1" customWidth="1"/>
    <col min="7" max="9" width="12.44140625" style="717" bestFit="1" customWidth="1"/>
    <col min="10" max="16384" width="11.44140625" style="717"/>
  </cols>
  <sheetData>
    <row r="2" spans="1:7" s="859" customFormat="1" ht="24.75" customHeight="1" x14ac:dyDescent="0.2">
      <c r="A2" s="747" t="s">
        <v>2166</v>
      </c>
      <c r="B2" s="747"/>
      <c r="C2" s="747"/>
      <c r="D2" s="747"/>
      <c r="E2" s="747"/>
      <c r="F2" s="747"/>
    </row>
    <row r="3" spans="1:7" ht="10.5" customHeight="1" x14ac:dyDescent="0.25">
      <c r="A3" s="711"/>
      <c r="B3" s="711"/>
      <c r="C3" s="711"/>
      <c r="D3" s="711"/>
      <c r="E3" s="711"/>
      <c r="F3" s="711"/>
    </row>
    <row r="4" spans="1:7" x14ac:dyDescent="0.25">
      <c r="A4" s="716" t="s">
        <v>2196</v>
      </c>
      <c r="B4" s="716" t="s">
        <v>2197</v>
      </c>
      <c r="C4" s="716"/>
      <c r="D4" s="716"/>
      <c r="E4" s="716"/>
      <c r="F4" s="716"/>
    </row>
    <row r="5" spans="1:7" ht="12" x14ac:dyDescent="0.25">
      <c r="A5" s="716"/>
      <c r="B5" s="453">
        <v>2009</v>
      </c>
      <c r="C5" s="453">
        <v>2010</v>
      </c>
      <c r="D5" s="453">
        <v>2011</v>
      </c>
      <c r="E5" s="453" t="s">
        <v>2198</v>
      </c>
      <c r="F5" s="453">
        <v>2013</v>
      </c>
    </row>
    <row r="6" spans="1:7" s="711" customFormat="1" x14ac:dyDescent="0.25">
      <c r="A6" s="711" t="s">
        <v>3</v>
      </c>
      <c r="B6" s="860">
        <f>SUM(B7:B8)</f>
        <v>111209916</v>
      </c>
      <c r="C6" s="860">
        <f>SUM(C7:C8)</f>
        <v>134737218</v>
      </c>
      <c r="D6" s="860">
        <f>SUM(D7:D8)</f>
        <v>138867789</v>
      </c>
      <c r="E6" s="860">
        <f>SUM(E7:E8)</f>
        <v>194578031</v>
      </c>
      <c r="F6" s="860">
        <f>SUM(F7:F8)</f>
        <v>170299927</v>
      </c>
    </row>
    <row r="7" spans="1:7" x14ac:dyDescent="0.25">
      <c r="A7" s="717" t="s">
        <v>183</v>
      </c>
      <c r="B7" s="861">
        <v>66943607</v>
      </c>
      <c r="C7" s="861">
        <v>102063257</v>
      </c>
      <c r="D7" s="861">
        <v>98760765</v>
      </c>
      <c r="E7" s="862">
        <v>98166671</v>
      </c>
      <c r="F7" s="862">
        <v>98543471</v>
      </c>
    </row>
    <row r="8" spans="1:7" x14ac:dyDescent="0.25">
      <c r="A8" s="717" t="s">
        <v>184</v>
      </c>
      <c r="B8" s="861">
        <v>44266309</v>
      </c>
      <c r="C8" s="861">
        <v>32673961</v>
      </c>
      <c r="D8" s="861">
        <v>40107024</v>
      </c>
      <c r="E8" s="862">
        <v>96411360</v>
      </c>
      <c r="F8" s="862">
        <v>71756456</v>
      </c>
    </row>
    <row r="9" spans="1:7" ht="7.5" customHeight="1" x14ac:dyDescent="0.25">
      <c r="B9" s="857"/>
      <c r="C9" s="857"/>
      <c r="D9" s="857"/>
      <c r="E9" s="578"/>
      <c r="F9" s="858"/>
    </row>
    <row r="10" spans="1:7" ht="12.75" customHeight="1" x14ac:dyDescent="0.25">
      <c r="A10" s="863" t="s">
        <v>2199</v>
      </c>
      <c r="B10" s="863"/>
      <c r="C10" s="863"/>
      <c r="D10" s="863"/>
      <c r="E10" s="863"/>
      <c r="F10" s="863"/>
    </row>
    <row r="11" spans="1:7" ht="10.5" customHeight="1" x14ac:dyDescent="0.25">
      <c r="A11" s="723" t="s">
        <v>2178</v>
      </c>
      <c r="B11" s="723"/>
      <c r="C11" s="723"/>
      <c r="D11" s="723"/>
      <c r="E11" s="723"/>
      <c r="F11" s="723"/>
    </row>
    <row r="12" spans="1:7" ht="10.5" customHeight="1" x14ac:dyDescent="0.25"/>
    <row r="13" spans="1:7" ht="10.5" customHeight="1" x14ac:dyDescent="0.25">
      <c r="F13" s="857"/>
      <c r="G13" s="857"/>
    </row>
    <row r="14" spans="1:7" ht="10.5" customHeight="1" x14ac:dyDescent="0.25">
      <c r="A14" s="711" t="s">
        <v>2200</v>
      </c>
    </row>
    <row r="15" spans="1:7" ht="10.5" customHeight="1" x14ac:dyDescent="0.25">
      <c r="A15" s="864" t="s">
        <v>98</v>
      </c>
      <c r="B15" s="865">
        <v>2009</v>
      </c>
      <c r="C15" s="865">
        <v>2010</v>
      </c>
      <c r="D15" s="865">
        <v>2011</v>
      </c>
      <c r="E15" s="865">
        <v>2012</v>
      </c>
      <c r="F15" s="865">
        <v>2013</v>
      </c>
    </row>
    <row r="16" spans="1:7" ht="10.5" customHeight="1" x14ac:dyDescent="0.25">
      <c r="A16" s="866" t="s">
        <v>2201</v>
      </c>
      <c r="B16" s="867">
        <v>135348756</v>
      </c>
      <c r="C16" s="867">
        <v>156718737</v>
      </c>
      <c r="D16" s="867">
        <v>188902696</v>
      </c>
      <c r="E16" s="867">
        <v>224948420</v>
      </c>
      <c r="F16" s="867">
        <v>242861493</v>
      </c>
    </row>
    <row r="17" spans="1:6" ht="10.5" customHeight="1" x14ac:dyDescent="0.25">
      <c r="A17" s="866" t="s">
        <v>2202</v>
      </c>
      <c r="B17" s="867">
        <v>111209916</v>
      </c>
      <c r="C17" s="867">
        <v>134737218</v>
      </c>
      <c r="D17" s="867">
        <v>138867789</v>
      </c>
      <c r="E17" s="867">
        <v>194578031</v>
      </c>
      <c r="F17" s="867">
        <v>170299927</v>
      </c>
    </row>
    <row r="18" spans="1:6" ht="10.5" customHeight="1" x14ac:dyDescent="0.25">
      <c r="A18" s="455"/>
    </row>
    <row r="19" spans="1:6" ht="10.5" customHeight="1" x14ac:dyDescent="0.25">
      <c r="A19" s="868" t="s">
        <v>2203</v>
      </c>
    </row>
    <row r="20" spans="1:6" ht="10.5" customHeight="1" x14ac:dyDescent="0.25">
      <c r="A20" s="864" t="s">
        <v>98</v>
      </c>
      <c r="B20" s="865">
        <v>2009</v>
      </c>
      <c r="C20" s="865">
        <v>2010</v>
      </c>
      <c r="D20" s="865">
        <v>2011</v>
      </c>
      <c r="E20" s="865">
        <v>2012</v>
      </c>
      <c r="F20" s="865">
        <v>2013</v>
      </c>
    </row>
    <row r="21" spans="1:6" x14ac:dyDescent="0.25">
      <c r="A21" s="866" t="s">
        <v>183</v>
      </c>
      <c r="B21" s="869">
        <v>66943607</v>
      </c>
      <c r="C21" s="869">
        <v>102063257</v>
      </c>
      <c r="D21" s="869">
        <v>98760765</v>
      </c>
      <c r="E21" s="870">
        <v>98166671</v>
      </c>
      <c r="F21" s="871">
        <v>98543471</v>
      </c>
    </row>
    <row r="22" spans="1:6" x14ac:dyDescent="0.25">
      <c r="A22" s="866" t="s">
        <v>184</v>
      </c>
      <c r="B22" s="869">
        <v>44266309</v>
      </c>
      <c r="C22" s="869">
        <v>32673961</v>
      </c>
      <c r="D22" s="869">
        <v>40107024</v>
      </c>
      <c r="E22" s="870">
        <v>96411360</v>
      </c>
      <c r="F22" s="871">
        <v>71756456</v>
      </c>
    </row>
  </sheetData>
  <mergeCells count="5">
    <mergeCell ref="A2:F2"/>
    <mergeCell ref="A4:A5"/>
    <mergeCell ref="B4:F4"/>
    <mergeCell ref="A10:F10"/>
    <mergeCell ref="A11:F11"/>
  </mergeCells>
  <pageMargins left="0.7" right="0.7" top="0.75" bottom="0.75" header="0.3" footer="0.3"/>
  <pageSetup paperSize="14" scale="72" orientation="portrait" r:id="rId1"/>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0A497-2C16-4F8E-AD44-5C8DB59791FD}">
  <sheetPr codeName="Hoja152"/>
  <dimension ref="A2:I26"/>
  <sheetViews>
    <sheetView zoomScaleNormal="100" workbookViewId="0">
      <selection activeCell="D40" sqref="D40"/>
    </sheetView>
  </sheetViews>
  <sheetFormatPr baseColWidth="10" defaultRowHeight="13.2" x14ac:dyDescent="0.25"/>
  <cols>
    <col min="1" max="1" width="22.5546875" customWidth="1"/>
  </cols>
  <sheetData>
    <row r="2" spans="1:9" ht="27" customHeight="1" x14ac:dyDescent="0.25">
      <c r="A2" s="872" t="s">
        <v>2167</v>
      </c>
      <c r="B2" s="872"/>
      <c r="C2" s="872"/>
      <c r="D2" s="872"/>
      <c r="E2" s="872"/>
      <c r="F2" s="872"/>
      <c r="G2" s="872"/>
      <c r="H2" s="872"/>
      <c r="I2" s="872"/>
    </row>
    <row r="3" spans="1:9" x14ac:dyDescent="0.25">
      <c r="A3" s="24"/>
      <c r="B3" s="24"/>
      <c r="C3" s="873"/>
      <c r="D3" s="873"/>
      <c r="E3" s="873"/>
      <c r="F3" s="873"/>
      <c r="G3" s="873"/>
      <c r="H3" s="873"/>
      <c r="I3" s="873"/>
    </row>
    <row r="4" spans="1:9" x14ac:dyDescent="0.25">
      <c r="A4" s="298" t="s">
        <v>0</v>
      </c>
      <c r="B4" s="685" t="s">
        <v>2204</v>
      </c>
      <c r="C4" s="685"/>
      <c r="D4" s="685"/>
      <c r="E4" s="685"/>
      <c r="F4" s="685"/>
      <c r="G4" s="685"/>
      <c r="H4" s="685"/>
      <c r="I4" s="685"/>
    </row>
    <row r="5" spans="1:9" x14ac:dyDescent="0.25">
      <c r="A5" s="298"/>
      <c r="B5" s="298" t="s">
        <v>3</v>
      </c>
      <c r="C5" s="874" t="s">
        <v>2205</v>
      </c>
      <c r="D5" s="875"/>
      <c r="E5" s="875"/>
      <c r="F5" s="875"/>
      <c r="G5" s="875"/>
      <c r="H5" s="875"/>
      <c r="I5" s="876"/>
    </row>
    <row r="6" spans="1:9" ht="40.799999999999997" x14ac:dyDescent="0.25">
      <c r="A6" s="298"/>
      <c r="B6" s="298"/>
      <c r="C6" s="644" t="s">
        <v>2206</v>
      </c>
      <c r="D6" s="644" t="s">
        <v>2207</v>
      </c>
      <c r="E6" s="644" t="s">
        <v>2208</v>
      </c>
      <c r="F6" s="644" t="s">
        <v>2209</v>
      </c>
      <c r="G6" s="644" t="s">
        <v>2210</v>
      </c>
      <c r="H6" s="644" t="s">
        <v>2211</v>
      </c>
      <c r="I6" s="644" t="s">
        <v>409</v>
      </c>
    </row>
    <row r="7" spans="1:9" x14ac:dyDescent="0.25">
      <c r="A7" s="712" t="s">
        <v>3</v>
      </c>
      <c r="B7" s="622">
        <f>SUM(B8:B22)</f>
        <v>14214</v>
      </c>
      <c r="C7" s="622">
        <f>SUM(C8:C22)</f>
        <v>3082</v>
      </c>
      <c r="D7" s="622">
        <f t="shared" ref="D7:I7" si="0">SUM(D8:D22)</f>
        <v>6415</v>
      </c>
      <c r="E7" s="622">
        <f t="shared" si="0"/>
        <v>695</v>
      </c>
      <c r="F7" s="622">
        <f t="shared" si="0"/>
        <v>1569</v>
      </c>
      <c r="G7" s="622">
        <f t="shared" si="0"/>
        <v>1702</v>
      </c>
      <c r="H7" s="622">
        <f t="shared" si="0"/>
        <v>153</v>
      </c>
      <c r="I7" s="622">
        <f t="shared" si="0"/>
        <v>598</v>
      </c>
    </row>
    <row r="8" spans="1:9" ht="14.4" x14ac:dyDescent="0.25">
      <c r="A8" s="288" t="s">
        <v>4</v>
      </c>
      <c r="B8" s="622">
        <f>SUM(C8:I8)</f>
        <v>154</v>
      </c>
      <c r="C8" s="626">
        <v>5</v>
      </c>
      <c r="D8" s="626">
        <v>111</v>
      </c>
      <c r="E8" s="626">
        <v>15</v>
      </c>
      <c r="F8" s="626">
        <v>11</v>
      </c>
      <c r="G8" s="626">
        <v>12</v>
      </c>
      <c r="H8" s="626">
        <v>0</v>
      </c>
      <c r="I8" s="877">
        <v>0</v>
      </c>
    </row>
    <row r="9" spans="1:9" ht="14.4" x14ac:dyDescent="0.25">
      <c r="A9" s="288" t="s">
        <v>5</v>
      </c>
      <c r="B9" s="622">
        <f>SUM(C9:I9)</f>
        <v>280</v>
      </c>
      <c r="C9" s="626">
        <v>50</v>
      </c>
      <c r="D9" s="626">
        <v>101</v>
      </c>
      <c r="E9" s="626">
        <v>23</v>
      </c>
      <c r="F9" s="626">
        <v>15</v>
      </c>
      <c r="G9" s="626">
        <v>70</v>
      </c>
      <c r="H9" s="626">
        <v>4</v>
      </c>
      <c r="I9" s="877">
        <v>17</v>
      </c>
    </row>
    <row r="10" spans="1:9" ht="14.4" x14ac:dyDescent="0.25">
      <c r="A10" s="288" t="s">
        <v>6</v>
      </c>
      <c r="B10" s="622">
        <f t="shared" ref="B10:B22" si="1">SUM(C10:I10)</f>
        <v>221</v>
      </c>
      <c r="C10" s="626">
        <v>49</v>
      </c>
      <c r="D10" s="626">
        <v>89</v>
      </c>
      <c r="E10" s="626">
        <v>17</v>
      </c>
      <c r="F10" s="626">
        <v>26</v>
      </c>
      <c r="G10" s="626">
        <v>30</v>
      </c>
      <c r="H10" s="626">
        <v>5</v>
      </c>
      <c r="I10" s="877">
        <v>5</v>
      </c>
    </row>
    <row r="11" spans="1:9" ht="14.4" x14ac:dyDescent="0.25">
      <c r="A11" s="288" t="s">
        <v>7</v>
      </c>
      <c r="B11" s="622">
        <f t="shared" si="1"/>
        <v>266</v>
      </c>
      <c r="C11" s="626">
        <v>75</v>
      </c>
      <c r="D11" s="626">
        <v>62</v>
      </c>
      <c r="E11" s="626">
        <v>14</v>
      </c>
      <c r="F11" s="626">
        <v>21</v>
      </c>
      <c r="G11" s="626">
        <v>82</v>
      </c>
      <c r="H11" s="626">
        <v>4</v>
      </c>
      <c r="I11" s="877">
        <v>8</v>
      </c>
    </row>
    <row r="12" spans="1:9" ht="14.4" x14ac:dyDescent="0.25">
      <c r="A12" s="288" t="s">
        <v>8</v>
      </c>
      <c r="B12" s="622">
        <f>SUM(C12:I12)</f>
        <v>415</v>
      </c>
      <c r="C12" s="626">
        <v>162</v>
      </c>
      <c r="D12" s="626">
        <v>86</v>
      </c>
      <c r="E12" s="626">
        <v>9</v>
      </c>
      <c r="F12" s="626">
        <v>69</v>
      </c>
      <c r="G12" s="626">
        <v>57</v>
      </c>
      <c r="H12" s="626">
        <v>23</v>
      </c>
      <c r="I12" s="877">
        <v>9</v>
      </c>
    </row>
    <row r="13" spans="1:9" ht="14.4" x14ac:dyDescent="0.25">
      <c r="A13" s="288" t="s">
        <v>9</v>
      </c>
      <c r="B13" s="622">
        <f t="shared" si="1"/>
        <v>1098</v>
      </c>
      <c r="C13" s="626">
        <v>240</v>
      </c>
      <c r="D13" s="626">
        <v>157</v>
      </c>
      <c r="E13" s="626">
        <v>99</v>
      </c>
      <c r="F13" s="626">
        <v>85</v>
      </c>
      <c r="G13" s="626">
        <v>177</v>
      </c>
      <c r="H13" s="626">
        <v>10</v>
      </c>
      <c r="I13" s="877">
        <v>330</v>
      </c>
    </row>
    <row r="14" spans="1:9" ht="14.4" x14ac:dyDescent="0.25">
      <c r="A14" s="288" t="s">
        <v>10</v>
      </c>
      <c r="B14" s="622">
        <f t="shared" si="1"/>
        <v>7393</v>
      </c>
      <c r="C14" s="626">
        <v>1600</v>
      </c>
      <c r="D14" s="626">
        <v>4623</v>
      </c>
      <c r="E14" s="626">
        <v>131</v>
      </c>
      <c r="F14" s="626">
        <v>604</v>
      </c>
      <c r="G14" s="626">
        <v>254</v>
      </c>
      <c r="H14" s="626">
        <v>72</v>
      </c>
      <c r="I14" s="877">
        <v>109</v>
      </c>
    </row>
    <row r="15" spans="1:9" ht="14.4" x14ac:dyDescent="0.25">
      <c r="A15" s="288" t="s">
        <v>134</v>
      </c>
      <c r="B15" s="622">
        <f>SUM(C15:I15)</f>
        <v>777</v>
      </c>
      <c r="C15" s="626">
        <v>122</v>
      </c>
      <c r="D15" s="626">
        <v>200</v>
      </c>
      <c r="E15" s="626">
        <v>115</v>
      </c>
      <c r="F15" s="626">
        <v>111</v>
      </c>
      <c r="G15" s="626">
        <v>191</v>
      </c>
      <c r="H15" s="626">
        <v>0</v>
      </c>
      <c r="I15" s="877">
        <v>38</v>
      </c>
    </row>
    <row r="16" spans="1:9" ht="14.4" x14ac:dyDescent="0.25">
      <c r="A16" s="288" t="s">
        <v>12</v>
      </c>
      <c r="B16" s="622">
        <f t="shared" si="1"/>
        <v>451</v>
      </c>
      <c r="C16" s="626">
        <v>126</v>
      </c>
      <c r="D16" s="626">
        <v>144</v>
      </c>
      <c r="E16" s="626">
        <v>23</v>
      </c>
      <c r="F16" s="626">
        <v>51</v>
      </c>
      <c r="G16" s="626">
        <v>98</v>
      </c>
      <c r="H16" s="626">
        <v>4</v>
      </c>
      <c r="I16" s="877">
        <v>5</v>
      </c>
    </row>
    <row r="17" spans="1:9" ht="14.4" x14ac:dyDescent="0.25">
      <c r="A17" s="288" t="s">
        <v>13</v>
      </c>
      <c r="B17" s="622">
        <f t="shared" si="1"/>
        <v>1149</v>
      </c>
      <c r="C17" s="626">
        <v>221</v>
      </c>
      <c r="D17" s="626">
        <v>356</v>
      </c>
      <c r="E17" s="626">
        <v>80</v>
      </c>
      <c r="F17" s="626">
        <v>252</v>
      </c>
      <c r="G17" s="626">
        <v>204</v>
      </c>
      <c r="H17" s="626">
        <v>24</v>
      </c>
      <c r="I17" s="877">
        <v>12</v>
      </c>
    </row>
    <row r="18" spans="1:9" ht="14.4" x14ac:dyDescent="0.25">
      <c r="A18" s="288" t="s">
        <v>47</v>
      </c>
      <c r="B18" s="622">
        <f t="shared" si="1"/>
        <v>874</v>
      </c>
      <c r="C18" s="626">
        <v>207</v>
      </c>
      <c r="D18" s="626">
        <v>237</v>
      </c>
      <c r="E18" s="626">
        <v>76</v>
      </c>
      <c r="F18" s="626">
        <v>59</v>
      </c>
      <c r="G18" s="626">
        <v>261</v>
      </c>
      <c r="H18" s="626">
        <v>3</v>
      </c>
      <c r="I18" s="877">
        <v>31</v>
      </c>
    </row>
    <row r="19" spans="1:9" ht="14.4" x14ac:dyDescent="0.25">
      <c r="A19" s="288" t="s">
        <v>135</v>
      </c>
      <c r="B19" s="622">
        <f t="shared" si="1"/>
        <v>272</v>
      </c>
      <c r="C19" s="626">
        <v>68</v>
      </c>
      <c r="D19" s="626">
        <v>43</v>
      </c>
      <c r="E19" s="626">
        <v>7</v>
      </c>
      <c r="F19" s="626">
        <v>98</v>
      </c>
      <c r="G19" s="626">
        <v>49</v>
      </c>
      <c r="H19" s="626">
        <v>2</v>
      </c>
      <c r="I19" s="877">
        <v>5</v>
      </c>
    </row>
    <row r="20" spans="1:9" ht="14.4" x14ac:dyDescent="0.25">
      <c r="A20" s="288" t="s">
        <v>136</v>
      </c>
      <c r="B20" s="622">
        <f t="shared" si="1"/>
        <v>641</v>
      </c>
      <c r="C20" s="626">
        <v>126</v>
      </c>
      <c r="D20" s="626">
        <v>126</v>
      </c>
      <c r="E20" s="626">
        <v>71</v>
      </c>
      <c r="F20" s="626">
        <v>152</v>
      </c>
      <c r="G20" s="626">
        <v>150</v>
      </c>
      <c r="H20" s="626">
        <v>1</v>
      </c>
      <c r="I20" s="877">
        <v>15</v>
      </c>
    </row>
    <row r="21" spans="1:9" ht="14.4" x14ac:dyDescent="0.25">
      <c r="A21" s="288" t="s">
        <v>17</v>
      </c>
      <c r="B21" s="622">
        <f t="shared" si="1"/>
        <v>170</v>
      </c>
      <c r="C21" s="626">
        <v>28</v>
      </c>
      <c r="D21" s="626">
        <v>64</v>
      </c>
      <c r="E21" s="626">
        <v>0</v>
      </c>
      <c r="F21" s="626">
        <v>14</v>
      </c>
      <c r="G21" s="626">
        <v>55</v>
      </c>
      <c r="H21" s="626">
        <v>1</v>
      </c>
      <c r="I21" s="877">
        <v>8</v>
      </c>
    </row>
    <row r="22" spans="1:9" ht="14.4" x14ac:dyDescent="0.25">
      <c r="A22" s="284" t="s">
        <v>18</v>
      </c>
      <c r="B22" s="622">
        <f t="shared" si="1"/>
        <v>53</v>
      </c>
      <c r="C22" s="626">
        <v>3</v>
      </c>
      <c r="D22" s="626">
        <v>16</v>
      </c>
      <c r="E22" s="626">
        <v>15</v>
      </c>
      <c r="F22" s="626">
        <v>1</v>
      </c>
      <c r="G22" s="626">
        <v>12</v>
      </c>
      <c r="H22" s="626">
        <v>0</v>
      </c>
      <c r="I22" s="877">
        <v>6</v>
      </c>
    </row>
    <row r="23" spans="1:9" ht="14.4" x14ac:dyDescent="0.25">
      <c r="A23" s="288"/>
      <c r="B23" s="655"/>
      <c r="C23" s="650"/>
      <c r="D23" s="650"/>
      <c r="E23" s="650"/>
      <c r="F23" s="650"/>
      <c r="G23" s="650"/>
      <c r="H23" s="650"/>
      <c r="I23" s="878"/>
    </row>
    <row r="24" spans="1:9" ht="26.25" customHeight="1" x14ac:dyDescent="0.25">
      <c r="A24" s="879" t="s">
        <v>2212</v>
      </c>
      <c r="B24" s="879"/>
      <c r="C24" s="879"/>
      <c r="D24" s="879"/>
      <c r="E24" s="879"/>
      <c r="F24" s="879"/>
      <c r="G24" s="879"/>
      <c r="H24" s="879"/>
      <c r="I24" s="880"/>
    </row>
    <row r="25" spans="1:9" x14ac:dyDescent="0.25">
      <c r="A25" s="881" t="s">
        <v>197</v>
      </c>
      <c r="B25" s="882"/>
      <c r="C25" s="882"/>
      <c r="D25" s="882"/>
      <c r="E25" s="882"/>
      <c r="F25" s="882"/>
      <c r="G25" s="882"/>
      <c r="H25" s="882"/>
      <c r="I25" s="701"/>
    </row>
    <row r="26" spans="1:9" x14ac:dyDescent="0.25">
      <c r="A26" s="336" t="s">
        <v>2213</v>
      </c>
      <c r="B26" s="2"/>
      <c r="C26" s="2"/>
      <c r="D26" s="2"/>
      <c r="E26" s="2"/>
      <c r="F26" s="2"/>
      <c r="G26" s="2"/>
      <c r="H26" s="2"/>
      <c r="I26" s="2"/>
    </row>
  </sheetData>
  <mergeCells count="6">
    <mergeCell ref="A2:I2"/>
    <mergeCell ref="A4:A6"/>
    <mergeCell ref="B4:I4"/>
    <mergeCell ref="B5:B6"/>
    <mergeCell ref="C5:I5"/>
    <mergeCell ref="A24:I24"/>
  </mergeCells>
  <pageMargins left="0.70866141732283472" right="0.70866141732283472" top="0.74803149606299213" bottom="0.74803149606299213" header="0.31496062992125984" footer="0.31496062992125984"/>
  <pageSetup paperSize="14" scale="115" orientation="landscape"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AB8FE6-A8B3-491B-8D75-7A7E4DF84A6A}">
  <sheetPr codeName="Hoja153"/>
  <dimension ref="A2:I14"/>
  <sheetViews>
    <sheetView zoomScaleNormal="100" workbookViewId="0">
      <selection activeCell="D40" sqref="D40"/>
    </sheetView>
  </sheetViews>
  <sheetFormatPr baseColWidth="10" defaultRowHeight="13.2" x14ac:dyDescent="0.25"/>
  <cols>
    <col min="6" max="6" width="15.33203125" customWidth="1"/>
  </cols>
  <sheetData>
    <row r="2" spans="1:9" ht="29.25" customHeight="1" x14ac:dyDescent="0.25">
      <c r="A2" s="872" t="s">
        <v>2168</v>
      </c>
      <c r="B2" s="872"/>
      <c r="C2" s="872"/>
      <c r="D2" s="872"/>
      <c r="E2" s="872"/>
      <c r="F2" s="872"/>
      <c r="G2" s="872"/>
      <c r="H2" s="872"/>
      <c r="I2" s="872"/>
    </row>
    <row r="3" spans="1:9" x14ac:dyDescent="0.25">
      <c r="A3" s="24"/>
      <c r="B3" s="24"/>
      <c r="C3" s="24"/>
      <c r="D3" s="24"/>
      <c r="E3" s="24"/>
      <c r="F3" s="24"/>
      <c r="G3" s="24"/>
      <c r="H3" s="24"/>
      <c r="I3" s="2"/>
    </row>
    <row r="4" spans="1:9" x14ac:dyDescent="0.25">
      <c r="A4" s="298" t="s">
        <v>98</v>
      </c>
      <c r="B4" s="323" t="s">
        <v>2204</v>
      </c>
      <c r="C4" s="323"/>
      <c r="D4" s="323"/>
      <c r="E4" s="323"/>
      <c r="F4" s="323"/>
      <c r="G4" s="323"/>
      <c r="H4" s="323"/>
      <c r="I4" s="323"/>
    </row>
    <row r="5" spans="1:9" x14ac:dyDescent="0.25">
      <c r="A5" s="298"/>
      <c r="B5" s="298" t="s">
        <v>3</v>
      </c>
      <c r="C5" s="323" t="s">
        <v>2205</v>
      </c>
      <c r="D5" s="323"/>
      <c r="E5" s="323"/>
      <c r="F5" s="323"/>
      <c r="G5" s="323"/>
      <c r="H5" s="323"/>
      <c r="I5" s="323"/>
    </row>
    <row r="6" spans="1:9" ht="30.6" x14ac:dyDescent="0.25">
      <c r="A6" s="298"/>
      <c r="B6" s="298"/>
      <c r="C6" s="644" t="s">
        <v>2206</v>
      </c>
      <c r="D6" s="644" t="s">
        <v>2207</v>
      </c>
      <c r="E6" s="644" t="s">
        <v>2208</v>
      </c>
      <c r="F6" s="644" t="s">
        <v>2209</v>
      </c>
      <c r="G6" s="644" t="s">
        <v>2210</v>
      </c>
      <c r="H6" s="644" t="s">
        <v>2211</v>
      </c>
      <c r="I6" s="644" t="s">
        <v>409</v>
      </c>
    </row>
    <row r="7" spans="1:9" x14ac:dyDescent="0.25">
      <c r="A7" s="669" t="s">
        <v>2214</v>
      </c>
      <c r="B7" s="655">
        <f>SUM(C7:I7)</f>
        <v>12112</v>
      </c>
      <c r="C7" s="643">
        <v>2575</v>
      </c>
      <c r="D7" s="643">
        <v>5896</v>
      </c>
      <c r="E7" s="643">
        <v>598</v>
      </c>
      <c r="F7" s="643">
        <v>878</v>
      </c>
      <c r="G7" s="643">
        <v>1589</v>
      </c>
      <c r="H7" s="643">
        <v>191</v>
      </c>
      <c r="I7" s="643">
        <v>385</v>
      </c>
    </row>
    <row r="8" spans="1:9" x14ac:dyDescent="0.25">
      <c r="A8" s="669">
        <v>2010</v>
      </c>
      <c r="B8" s="655">
        <f t="shared" ref="B8:B10" si="0">SUM(C8:I8)</f>
        <v>12978</v>
      </c>
      <c r="C8" s="643">
        <v>2581</v>
      </c>
      <c r="D8" s="643">
        <v>7009</v>
      </c>
      <c r="E8" s="643">
        <v>497</v>
      </c>
      <c r="F8" s="643">
        <v>896</v>
      </c>
      <c r="G8" s="643">
        <v>1469</v>
      </c>
      <c r="H8" s="643">
        <v>144</v>
      </c>
      <c r="I8" s="643">
        <v>382</v>
      </c>
    </row>
    <row r="9" spans="1:9" x14ac:dyDescent="0.25">
      <c r="A9" s="669" t="s">
        <v>2215</v>
      </c>
      <c r="B9" s="655">
        <f t="shared" si="0"/>
        <v>12511</v>
      </c>
      <c r="C9" s="643">
        <v>2778</v>
      </c>
      <c r="D9" s="643">
        <v>6204</v>
      </c>
      <c r="E9" s="643">
        <v>567</v>
      </c>
      <c r="F9" s="643">
        <v>883</v>
      </c>
      <c r="G9" s="643">
        <v>1430</v>
      </c>
      <c r="H9" s="643">
        <v>152</v>
      </c>
      <c r="I9" s="643">
        <v>497</v>
      </c>
    </row>
    <row r="10" spans="1:9" x14ac:dyDescent="0.25">
      <c r="A10" s="669" t="s">
        <v>2216</v>
      </c>
      <c r="B10" s="655">
        <f t="shared" si="0"/>
        <v>13950</v>
      </c>
      <c r="C10" s="643">
        <v>2690</v>
      </c>
      <c r="D10" s="643">
        <v>7215</v>
      </c>
      <c r="E10" s="643">
        <v>704</v>
      </c>
      <c r="F10" s="643">
        <v>1426</v>
      </c>
      <c r="G10" s="643">
        <v>1360</v>
      </c>
      <c r="H10" s="643">
        <v>153</v>
      </c>
      <c r="I10" s="643">
        <v>402</v>
      </c>
    </row>
    <row r="11" spans="1:9" x14ac:dyDescent="0.25">
      <c r="A11" s="669" t="s">
        <v>2217</v>
      </c>
      <c r="B11" s="655">
        <f>SUM(C11:I11)</f>
        <v>14214</v>
      </c>
      <c r="C11" s="643">
        <v>3082</v>
      </c>
      <c r="D11" s="643">
        <v>6415</v>
      </c>
      <c r="E11" s="643">
        <v>695</v>
      </c>
      <c r="F11" s="643">
        <v>1569</v>
      </c>
      <c r="G11" s="643">
        <v>1702</v>
      </c>
      <c r="H11" s="643">
        <v>153</v>
      </c>
      <c r="I11" s="643">
        <v>598</v>
      </c>
    </row>
    <row r="12" spans="1:9" x14ac:dyDescent="0.25">
      <c r="A12" s="669"/>
      <c r="B12" s="655"/>
      <c r="C12" s="643"/>
      <c r="D12" s="643"/>
      <c r="E12" s="643"/>
      <c r="F12" s="643"/>
      <c r="G12" s="643"/>
      <c r="H12" s="643"/>
      <c r="I12" s="643"/>
    </row>
    <row r="13" spans="1:9" ht="28.5" customHeight="1" x14ac:dyDescent="0.25">
      <c r="A13" s="879" t="s">
        <v>2212</v>
      </c>
      <c r="B13" s="879"/>
      <c r="C13" s="879"/>
      <c r="D13" s="879"/>
      <c r="E13" s="879"/>
      <c r="F13" s="879"/>
      <c r="G13" s="879"/>
      <c r="H13" s="879"/>
      <c r="I13" s="880"/>
    </row>
    <row r="14" spans="1:9" x14ac:dyDescent="0.25">
      <c r="A14" s="336" t="s">
        <v>2213</v>
      </c>
      <c r="B14" s="2"/>
      <c r="C14" s="2"/>
      <c r="D14" s="2"/>
      <c r="E14" s="2"/>
      <c r="F14" s="2"/>
      <c r="G14" s="2"/>
      <c r="H14" s="2"/>
      <c r="I14" s="2"/>
    </row>
  </sheetData>
  <mergeCells count="6">
    <mergeCell ref="A2:I2"/>
    <mergeCell ref="A4:A6"/>
    <mergeCell ref="B4:I4"/>
    <mergeCell ref="B5:B6"/>
    <mergeCell ref="C5:I5"/>
    <mergeCell ref="A13:I13"/>
  </mergeCells>
  <pageMargins left="0.70866141732283472" right="0.70866141732283472" top="0.74803149606299213" bottom="0.74803149606299213" header="0.31496062992125984" footer="0.31496062992125984"/>
  <pageSetup paperSize="14" scale="120" orientation="landscape"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06EADB-BE59-4C79-A376-8469A2B27899}">
  <sheetPr codeName="Hoja154"/>
  <dimension ref="A2:I26"/>
  <sheetViews>
    <sheetView zoomScaleNormal="100" workbookViewId="0">
      <selection activeCell="D40" sqref="D40"/>
    </sheetView>
  </sheetViews>
  <sheetFormatPr baseColWidth="10" defaultRowHeight="13.2" x14ac:dyDescent="0.25"/>
  <cols>
    <col min="1" max="1" width="22.44140625" customWidth="1"/>
    <col min="2" max="2" width="13.109375" customWidth="1"/>
  </cols>
  <sheetData>
    <row r="2" spans="1:9" ht="25.5" customHeight="1" x14ac:dyDescent="0.25">
      <c r="A2" s="872" t="s">
        <v>2169</v>
      </c>
      <c r="B2" s="872"/>
      <c r="C2" s="872"/>
      <c r="D2" s="872"/>
      <c r="E2" s="872"/>
      <c r="F2" s="872"/>
      <c r="G2" s="872"/>
      <c r="H2" s="872"/>
      <c r="I2" s="872"/>
    </row>
    <row r="4" spans="1:9" x14ac:dyDescent="0.25">
      <c r="A4" s="298" t="s">
        <v>0</v>
      </c>
      <c r="B4" s="685" t="s">
        <v>2218</v>
      </c>
      <c r="C4" s="685"/>
      <c r="D4" s="685"/>
      <c r="E4" s="685"/>
      <c r="F4" s="685"/>
      <c r="G4" s="685"/>
      <c r="H4" s="685"/>
      <c r="I4" s="685"/>
    </row>
    <row r="5" spans="1:9" x14ac:dyDescent="0.25">
      <c r="A5" s="298"/>
      <c r="B5" s="298" t="s">
        <v>3</v>
      </c>
      <c r="C5" s="298" t="s">
        <v>2205</v>
      </c>
      <c r="D5" s="298"/>
      <c r="E5" s="298"/>
      <c r="F5" s="298"/>
      <c r="G5" s="298"/>
      <c r="H5" s="298"/>
      <c r="I5" s="298"/>
    </row>
    <row r="6" spans="1:9" ht="40.799999999999997" x14ac:dyDescent="0.25">
      <c r="A6" s="298"/>
      <c r="B6" s="883"/>
      <c r="C6" s="644" t="s">
        <v>2206</v>
      </c>
      <c r="D6" s="644" t="s">
        <v>2207</v>
      </c>
      <c r="E6" s="644" t="s">
        <v>2208</v>
      </c>
      <c r="F6" s="644" t="s">
        <v>2209</v>
      </c>
      <c r="G6" s="644" t="s">
        <v>2210</v>
      </c>
      <c r="H6" s="644" t="s">
        <v>2211</v>
      </c>
      <c r="I6" s="644" t="s">
        <v>409</v>
      </c>
    </row>
    <row r="7" spans="1:9" x14ac:dyDescent="0.25">
      <c r="A7" s="884" t="s">
        <v>3</v>
      </c>
      <c r="B7" s="622">
        <f>SUM(B8:B22)</f>
        <v>1157583</v>
      </c>
      <c r="C7" s="622">
        <f>SUM(C8:C22)</f>
        <v>318096</v>
      </c>
      <c r="D7" s="622">
        <f t="shared" ref="D7:E7" si="0">SUM(D8:D22)</f>
        <v>451978</v>
      </c>
      <c r="E7" s="622">
        <f t="shared" si="0"/>
        <v>76964</v>
      </c>
      <c r="F7" s="622">
        <f>SUM(F8:F22)</f>
        <v>70894</v>
      </c>
      <c r="G7" s="622">
        <f>SUM(G8:G22)</f>
        <v>102719</v>
      </c>
      <c r="H7" s="622">
        <f t="shared" ref="H7:I7" si="1">SUM(H8:H22)</f>
        <v>53131</v>
      </c>
      <c r="I7" s="622">
        <f t="shared" si="1"/>
        <v>83801</v>
      </c>
    </row>
    <row r="8" spans="1:9" x14ac:dyDescent="0.25">
      <c r="A8" s="288" t="s">
        <v>4</v>
      </c>
      <c r="B8" s="622">
        <f>SUM(C8:I8)</f>
        <v>5687</v>
      </c>
      <c r="C8" s="315">
        <v>400</v>
      </c>
      <c r="D8" s="315">
        <v>943</v>
      </c>
      <c r="E8" s="315">
        <v>3801</v>
      </c>
      <c r="F8" s="315">
        <v>0</v>
      </c>
      <c r="G8" s="315">
        <v>543</v>
      </c>
      <c r="H8" s="315">
        <v>0</v>
      </c>
      <c r="I8" s="315">
        <v>0</v>
      </c>
    </row>
    <row r="9" spans="1:9" x14ac:dyDescent="0.25">
      <c r="A9" s="288" t="s">
        <v>5</v>
      </c>
      <c r="B9" s="622">
        <f t="shared" ref="B9:B22" si="2">SUM(C9:I9)</f>
        <v>9118</v>
      </c>
      <c r="C9" s="315">
        <v>57</v>
      </c>
      <c r="D9" s="315">
        <v>2661</v>
      </c>
      <c r="E9" s="315">
        <v>0</v>
      </c>
      <c r="F9" s="315">
        <v>0</v>
      </c>
      <c r="G9" s="315">
        <v>0</v>
      </c>
      <c r="H9" s="315">
        <v>0</v>
      </c>
      <c r="I9" s="315">
        <v>6400</v>
      </c>
    </row>
    <row r="10" spans="1:9" x14ac:dyDescent="0.25">
      <c r="A10" s="288" t="s">
        <v>6</v>
      </c>
      <c r="B10" s="622">
        <f t="shared" si="2"/>
        <v>25958</v>
      </c>
      <c r="C10" s="315">
        <v>5190</v>
      </c>
      <c r="D10" s="315">
        <v>7539</v>
      </c>
      <c r="E10" s="315">
        <v>2329</v>
      </c>
      <c r="F10" s="315">
        <v>300</v>
      </c>
      <c r="G10" s="315">
        <v>2500</v>
      </c>
      <c r="H10" s="315">
        <v>0</v>
      </c>
      <c r="I10" s="315">
        <v>8100</v>
      </c>
    </row>
    <row r="11" spans="1:9" x14ac:dyDescent="0.25">
      <c r="A11" s="288" t="s">
        <v>7</v>
      </c>
      <c r="B11" s="622">
        <f t="shared" si="2"/>
        <v>8100</v>
      </c>
      <c r="C11" s="315">
        <v>400</v>
      </c>
      <c r="D11" s="315">
        <v>0</v>
      </c>
      <c r="E11" s="315">
        <v>0</v>
      </c>
      <c r="F11" s="315">
        <v>600</v>
      </c>
      <c r="G11" s="315">
        <v>1100</v>
      </c>
      <c r="H11" s="315">
        <v>0</v>
      </c>
      <c r="I11" s="315">
        <v>6000</v>
      </c>
    </row>
    <row r="12" spans="1:9" x14ac:dyDescent="0.25">
      <c r="A12" s="288" t="s">
        <v>8</v>
      </c>
      <c r="B12" s="622">
        <f t="shared" si="2"/>
        <v>18565</v>
      </c>
      <c r="C12" s="315">
        <v>1350</v>
      </c>
      <c r="D12" s="315">
        <v>9845</v>
      </c>
      <c r="E12" s="315">
        <v>700</v>
      </c>
      <c r="F12" s="315">
        <v>5280</v>
      </c>
      <c r="G12" s="315">
        <v>1040</v>
      </c>
      <c r="H12" s="315">
        <v>0</v>
      </c>
      <c r="I12" s="315">
        <v>350</v>
      </c>
    </row>
    <row r="13" spans="1:9" x14ac:dyDescent="0.25">
      <c r="A13" s="288" t="s">
        <v>9</v>
      </c>
      <c r="B13" s="622">
        <f t="shared" si="2"/>
        <v>58728</v>
      </c>
      <c r="C13" s="315">
        <v>5358</v>
      </c>
      <c r="D13" s="315">
        <v>5805</v>
      </c>
      <c r="E13" s="315">
        <v>1980</v>
      </c>
      <c r="F13" s="315">
        <v>2520</v>
      </c>
      <c r="G13" s="315">
        <v>21510</v>
      </c>
      <c r="H13" s="315">
        <v>783</v>
      </c>
      <c r="I13" s="315">
        <v>20772</v>
      </c>
    </row>
    <row r="14" spans="1:9" x14ac:dyDescent="0.25">
      <c r="A14" s="288" t="s">
        <v>10</v>
      </c>
      <c r="B14" s="622">
        <f>SUM(C14:I14)</f>
        <v>833330</v>
      </c>
      <c r="C14" s="315">
        <v>272997</v>
      </c>
      <c r="D14" s="315">
        <v>360273</v>
      </c>
      <c r="E14" s="315">
        <v>56415</v>
      </c>
      <c r="F14" s="315">
        <v>38102</v>
      </c>
      <c r="G14" s="315">
        <v>42445</v>
      </c>
      <c r="H14" s="315">
        <v>42927</v>
      </c>
      <c r="I14" s="315">
        <v>20171</v>
      </c>
    </row>
    <row r="15" spans="1:9" x14ac:dyDescent="0.25">
      <c r="A15" s="288" t="s">
        <v>134</v>
      </c>
      <c r="B15" s="622">
        <f t="shared" si="2"/>
        <v>43449</v>
      </c>
      <c r="C15" s="315">
        <v>7530</v>
      </c>
      <c r="D15" s="315">
        <v>12459</v>
      </c>
      <c r="E15" s="315">
        <v>600</v>
      </c>
      <c r="F15" s="315">
        <v>3090</v>
      </c>
      <c r="G15" s="315">
        <v>13370</v>
      </c>
      <c r="H15" s="315">
        <v>0</v>
      </c>
      <c r="I15" s="315">
        <v>6400</v>
      </c>
    </row>
    <row r="16" spans="1:9" x14ac:dyDescent="0.25">
      <c r="A16" s="288" t="s">
        <v>12</v>
      </c>
      <c r="B16" s="622">
        <f>SUM(C16:I16)</f>
        <v>9542</v>
      </c>
      <c r="C16" s="315">
        <v>985</v>
      </c>
      <c r="D16" s="315">
        <v>4590</v>
      </c>
      <c r="E16" s="315">
        <v>177</v>
      </c>
      <c r="F16" s="315">
        <v>1726</v>
      </c>
      <c r="G16" s="315">
        <v>2002</v>
      </c>
      <c r="H16" s="315">
        <v>62</v>
      </c>
      <c r="I16" s="315">
        <v>0</v>
      </c>
    </row>
    <row r="17" spans="1:9" x14ac:dyDescent="0.25">
      <c r="A17" s="288" t="s">
        <v>13</v>
      </c>
      <c r="B17" s="622">
        <f t="shared" si="2"/>
        <v>53574</v>
      </c>
      <c r="C17" s="315">
        <v>9233</v>
      </c>
      <c r="D17" s="315">
        <v>24884</v>
      </c>
      <c r="E17" s="315">
        <v>4700</v>
      </c>
      <c r="F17" s="315">
        <v>3656</v>
      </c>
      <c r="G17" s="315">
        <v>1051</v>
      </c>
      <c r="H17" s="315">
        <v>8550</v>
      </c>
      <c r="I17" s="315">
        <v>1500</v>
      </c>
    </row>
    <row r="18" spans="1:9" x14ac:dyDescent="0.25">
      <c r="A18" s="288" t="s">
        <v>47</v>
      </c>
      <c r="B18" s="622">
        <f>SUM(C18:I18)</f>
        <v>29801</v>
      </c>
      <c r="C18" s="315">
        <v>2167</v>
      </c>
      <c r="D18" s="315">
        <v>8023</v>
      </c>
      <c r="E18" s="315">
        <v>2996</v>
      </c>
      <c r="F18" s="315">
        <v>3404</v>
      </c>
      <c r="G18" s="315">
        <v>10789</v>
      </c>
      <c r="H18" s="315">
        <v>392</v>
      </c>
      <c r="I18" s="315">
        <v>2030</v>
      </c>
    </row>
    <row r="19" spans="1:9" x14ac:dyDescent="0.25">
      <c r="A19" s="288" t="s">
        <v>135</v>
      </c>
      <c r="B19" s="622">
        <f t="shared" si="2"/>
        <v>13726</v>
      </c>
      <c r="C19" s="315">
        <v>1026</v>
      </c>
      <c r="D19" s="315">
        <v>5907</v>
      </c>
      <c r="E19" s="315">
        <v>0</v>
      </c>
      <c r="F19" s="315">
        <v>6393</v>
      </c>
      <c r="G19" s="315">
        <v>0</v>
      </c>
      <c r="H19" s="315">
        <v>0</v>
      </c>
      <c r="I19" s="315">
        <v>400</v>
      </c>
    </row>
    <row r="20" spans="1:9" x14ac:dyDescent="0.25">
      <c r="A20" s="288" t="s">
        <v>136</v>
      </c>
      <c r="B20" s="622">
        <f>SUM(C20:I20)</f>
        <v>46317</v>
      </c>
      <c r="C20" s="315">
        <v>11403</v>
      </c>
      <c r="D20" s="315">
        <v>9049</v>
      </c>
      <c r="E20" s="315">
        <v>3266</v>
      </c>
      <c r="F20" s="315">
        <v>5813</v>
      </c>
      <c r="G20" s="315">
        <v>6369</v>
      </c>
      <c r="H20" s="315">
        <v>417</v>
      </c>
      <c r="I20" s="315">
        <v>10000</v>
      </c>
    </row>
    <row r="21" spans="1:9" x14ac:dyDescent="0.25">
      <c r="A21" s="288" t="s">
        <v>17</v>
      </c>
      <c r="B21" s="622">
        <f t="shared" si="2"/>
        <v>340</v>
      </c>
      <c r="C21" s="315">
        <v>0</v>
      </c>
      <c r="D21" s="315">
        <v>0</v>
      </c>
      <c r="E21" s="315"/>
      <c r="F21" s="315">
        <v>10</v>
      </c>
      <c r="G21" s="315">
        <v>0</v>
      </c>
      <c r="H21" s="315">
        <v>0</v>
      </c>
      <c r="I21" s="315">
        <v>330</v>
      </c>
    </row>
    <row r="22" spans="1:9" x14ac:dyDescent="0.25">
      <c r="A22" s="284" t="s">
        <v>18</v>
      </c>
      <c r="B22" s="622">
        <f t="shared" si="2"/>
        <v>1348</v>
      </c>
      <c r="C22" s="315">
        <v>0</v>
      </c>
      <c r="D22" s="315">
        <v>0</v>
      </c>
      <c r="E22" s="315">
        <v>0</v>
      </c>
      <c r="F22" s="315">
        <v>0</v>
      </c>
      <c r="G22" s="315">
        <v>0</v>
      </c>
      <c r="H22" s="315"/>
      <c r="I22" s="315">
        <v>1348</v>
      </c>
    </row>
    <row r="23" spans="1:9" x14ac:dyDescent="0.25">
      <c r="A23" s="288"/>
      <c r="B23" s="655"/>
      <c r="C23" s="643"/>
      <c r="D23" s="643"/>
      <c r="E23" s="643"/>
      <c r="F23" s="643"/>
      <c r="G23" s="643"/>
      <c r="H23" s="643"/>
      <c r="I23" s="643"/>
    </row>
    <row r="24" spans="1:9" ht="25.5" customHeight="1" x14ac:dyDescent="0.25">
      <c r="A24" s="879" t="s">
        <v>2212</v>
      </c>
      <c r="B24" s="879"/>
      <c r="C24" s="879"/>
      <c r="D24" s="879"/>
      <c r="E24" s="879"/>
      <c r="F24" s="879"/>
      <c r="G24" s="879"/>
      <c r="H24" s="879"/>
      <c r="I24" s="880"/>
    </row>
    <row r="25" spans="1:9" x14ac:dyDescent="0.25">
      <c r="A25" s="881" t="s">
        <v>197</v>
      </c>
      <c r="B25" s="882"/>
      <c r="C25" s="882"/>
      <c r="D25" s="882"/>
      <c r="E25" s="882"/>
      <c r="F25" s="882"/>
      <c r="G25" s="882"/>
      <c r="H25" s="882"/>
      <c r="I25" s="701"/>
    </row>
    <row r="26" spans="1:9" x14ac:dyDescent="0.25">
      <c r="A26" s="336" t="s">
        <v>2213</v>
      </c>
      <c r="B26" s="633"/>
      <c r="C26" s="885"/>
      <c r="D26" s="885"/>
      <c r="E26" s="885"/>
      <c r="F26" s="885"/>
      <c r="G26" s="885"/>
      <c r="H26" s="885"/>
      <c r="I26" s="885"/>
    </row>
  </sheetData>
  <mergeCells count="6">
    <mergeCell ref="A2:I2"/>
    <mergeCell ref="A4:A6"/>
    <mergeCell ref="B4:I4"/>
    <mergeCell ref="B5:B6"/>
    <mergeCell ref="C5:I5"/>
    <mergeCell ref="A24:I24"/>
  </mergeCells>
  <pageMargins left="0.70866141732283472" right="0.70866141732283472" top="0.74803149606299213" bottom="0.74803149606299213" header="0.31496062992125984" footer="0.31496062992125984"/>
  <pageSetup paperSize="14" scale="110" orientation="landscape"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350F6-258C-4720-A9A8-D3D07B7C3D77}">
  <sheetPr codeName="Hoja155"/>
  <dimension ref="A2:I17"/>
  <sheetViews>
    <sheetView zoomScaleNormal="100" workbookViewId="0">
      <selection activeCell="D40" sqref="D40"/>
    </sheetView>
  </sheetViews>
  <sheetFormatPr baseColWidth="10" defaultRowHeight="13.2" x14ac:dyDescent="0.25"/>
  <cols>
    <col min="6" max="6" width="18" customWidth="1"/>
    <col min="7" max="7" width="16.5546875" customWidth="1"/>
  </cols>
  <sheetData>
    <row r="2" spans="1:9" ht="30.75" customHeight="1" x14ac:dyDescent="0.25">
      <c r="A2" s="886" t="s">
        <v>2170</v>
      </c>
      <c r="B2" s="886"/>
      <c r="C2" s="886"/>
      <c r="D2" s="886"/>
      <c r="E2" s="886"/>
      <c r="F2" s="886"/>
      <c r="G2" s="886"/>
      <c r="H2" s="886"/>
      <c r="I2" s="886"/>
    </row>
    <row r="3" spans="1:9" x14ac:dyDescent="0.25">
      <c r="A3" s="882"/>
      <c r="B3" s="2"/>
      <c r="C3" s="650"/>
      <c r="D3" s="650"/>
      <c r="E3" s="650"/>
      <c r="F3" s="650"/>
      <c r="G3" s="650"/>
      <c r="H3" s="650"/>
      <c r="I3" s="650"/>
    </row>
    <row r="4" spans="1:9" x14ac:dyDescent="0.25">
      <c r="A4" s="653" t="s">
        <v>98</v>
      </c>
      <c r="B4" s="323" t="s">
        <v>2218</v>
      </c>
      <c r="C4" s="323"/>
      <c r="D4" s="323"/>
      <c r="E4" s="323"/>
      <c r="F4" s="323"/>
      <c r="G4" s="323"/>
      <c r="H4" s="323"/>
      <c r="I4" s="323"/>
    </row>
    <row r="5" spans="1:9" x14ac:dyDescent="0.25">
      <c r="A5" s="887"/>
      <c r="B5" s="653" t="s">
        <v>3</v>
      </c>
      <c r="C5" s="323" t="s">
        <v>2205</v>
      </c>
      <c r="D5" s="323"/>
      <c r="E5" s="323"/>
      <c r="F5" s="323"/>
      <c r="G5" s="323"/>
      <c r="H5" s="323"/>
      <c r="I5" s="323"/>
    </row>
    <row r="6" spans="1:9" ht="30.6" x14ac:dyDescent="0.25">
      <c r="A6" s="654"/>
      <c r="B6" s="654"/>
      <c r="C6" s="644" t="s">
        <v>2206</v>
      </c>
      <c r="D6" s="644" t="s">
        <v>2207</v>
      </c>
      <c r="E6" s="644" t="s">
        <v>2208</v>
      </c>
      <c r="F6" s="644" t="s">
        <v>2209</v>
      </c>
      <c r="G6" s="644" t="s">
        <v>2210</v>
      </c>
      <c r="H6" s="644" t="s">
        <v>2211</v>
      </c>
      <c r="I6" s="644" t="s">
        <v>409</v>
      </c>
    </row>
    <row r="7" spans="1:9" x14ac:dyDescent="0.25">
      <c r="A7" s="669" t="s">
        <v>2214</v>
      </c>
      <c r="B7" s="655">
        <f>SUM(C7:I7)</f>
        <v>1286850</v>
      </c>
      <c r="C7" s="643">
        <v>388844</v>
      </c>
      <c r="D7" s="643">
        <v>430391</v>
      </c>
      <c r="E7" s="643">
        <v>86235</v>
      </c>
      <c r="F7" s="643">
        <v>78282</v>
      </c>
      <c r="G7" s="643">
        <v>205102</v>
      </c>
      <c r="H7" s="643">
        <v>61451</v>
      </c>
      <c r="I7" s="643">
        <v>36545</v>
      </c>
    </row>
    <row r="8" spans="1:9" x14ac:dyDescent="0.25">
      <c r="A8" s="669" t="s">
        <v>2219</v>
      </c>
      <c r="B8" s="655">
        <f t="shared" ref="B8:B10" si="0">SUM(C8:I8)</f>
        <v>1165357</v>
      </c>
      <c r="C8" s="643">
        <v>174716</v>
      </c>
      <c r="D8" s="643">
        <v>586900</v>
      </c>
      <c r="E8" s="643">
        <v>52449</v>
      </c>
      <c r="F8" s="643">
        <v>108229</v>
      </c>
      <c r="G8" s="643">
        <v>95805</v>
      </c>
      <c r="H8" s="643">
        <v>32066</v>
      </c>
      <c r="I8" s="643">
        <v>115192</v>
      </c>
    </row>
    <row r="9" spans="1:9" x14ac:dyDescent="0.25">
      <c r="A9" s="669" t="s">
        <v>2215</v>
      </c>
      <c r="B9" s="655">
        <f t="shared" si="0"/>
        <v>1439667</v>
      </c>
      <c r="C9" s="643">
        <v>488463</v>
      </c>
      <c r="D9" s="643">
        <v>504558</v>
      </c>
      <c r="E9" s="643">
        <v>51012</v>
      </c>
      <c r="F9" s="643">
        <v>66494</v>
      </c>
      <c r="G9" s="643">
        <v>81994</v>
      </c>
      <c r="H9" s="643">
        <v>54000</v>
      </c>
      <c r="I9" s="643">
        <v>193146</v>
      </c>
    </row>
    <row r="10" spans="1:9" x14ac:dyDescent="0.25">
      <c r="A10" s="669" t="s">
        <v>2216</v>
      </c>
      <c r="B10" s="655">
        <f t="shared" si="0"/>
        <v>1179363</v>
      </c>
      <c r="C10" s="643">
        <v>242098</v>
      </c>
      <c r="D10" s="643">
        <v>515005</v>
      </c>
      <c r="E10" s="643">
        <v>79622</v>
      </c>
      <c r="F10" s="643">
        <v>87881</v>
      </c>
      <c r="G10" s="643">
        <v>104062</v>
      </c>
      <c r="H10" s="643">
        <v>54846</v>
      </c>
      <c r="I10" s="643">
        <v>95849</v>
      </c>
    </row>
    <row r="11" spans="1:9" x14ac:dyDescent="0.25">
      <c r="A11" s="669" t="s">
        <v>2217</v>
      </c>
      <c r="B11" s="655">
        <f>SUM(C11:I11)</f>
        <v>1157583</v>
      </c>
      <c r="C11" s="643">
        <v>318096</v>
      </c>
      <c r="D11" s="643">
        <v>451978</v>
      </c>
      <c r="E11" s="643">
        <v>76964</v>
      </c>
      <c r="F11" s="643">
        <v>70894</v>
      </c>
      <c r="G11" s="643">
        <v>102719</v>
      </c>
      <c r="H11" s="643">
        <v>53131</v>
      </c>
      <c r="I11" s="643">
        <v>83801</v>
      </c>
    </row>
    <row r="12" spans="1:9" x14ac:dyDescent="0.25">
      <c r="A12" s="669"/>
      <c r="B12" s="655"/>
      <c r="C12" s="643"/>
      <c r="D12" s="643"/>
      <c r="E12" s="643"/>
      <c r="F12" s="643"/>
      <c r="G12" s="643"/>
      <c r="H12" s="643"/>
      <c r="I12" s="643"/>
    </row>
    <row r="13" spans="1:9" ht="30.75" customHeight="1" x14ac:dyDescent="0.25">
      <c r="A13" s="879" t="s">
        <v>2212</v>
      </c>
      <c r="B13" s="879"/>
      <c r="C13" s="879"/>
      <c r="D13" s="879"/>
      <c r="E13" s="879"/>
      <c r="F13" s="879"/>
      <c r="G13" s="879"/>
      <c r="H13" s="879"/>
      <c r="I13" s="880"/>
    </row>
    <row r="14" spans="1:9" x14ac:dyDescent="0.25">
      <c r="A14" s="336" t="s">
        <v>2213</v>
      </c>
      <c r="B14" s="633"/>
      <c r="C14" s="885"/>
      <c r="D14" s="885"/>
      <c r="E14" s="885"/>
      <c r="F14" s="885"/>
      <c r="G14" s="885"/>
      <c r="H14" s="885"/>
      <c r="I14" s="885"/>
    </row>
    <row r="16" spans="1:9" x14ac:dyDescent="0.25">
      <c r="A16" s="669"/>
      <c r="B16" s="643"/>
      <c r="C16" s="643"/>
      <c r="D16" s="643"/>
      <c r="E16" s="643"/>
      <c r="F16" s="643"/>
      <c r="G16" s="643"/>
      <c r="H16" s="643"/>
    </row>
    <row r="17" spans="1:8" x14ac:dyDescent="0.25">
      <c r="A17" s="669"/>
      <c r="B17" s="643"/>
      <c r="C17" s="643"/>
      <c r="D17" s="643"/>
      <c r="E17" s="643"/>
      <c r="F17" s="643"/>
      <c r="G17" s="643"/>
      <c r="H17" s="643"/>
    </row>
  </sheetData>
  <mergeCells count="6">
    <mergeCell ref="A2:I2"/>
    <mergeCell ref="A4:A6"/>
    <mergeCell ref="B4:I4"/>
    <mergeCell ref="B5:B6"/>
    <mergeCell ref="C5:I5"/>
    <mergeCell ref="A13:I13"/>
  </mergeCells>
  <pageMargins left="0.70866141732283472" right="0.70866141732283472" top="0.74803149606299213" bottom="0.74803149606299213" header="0.31496062992125984" footer="0.31496062992125984"/>
  <pageSetup paperSize="14" scale="115" orientation="landscape"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7162D-D68A-45ED-ADE8-B8EAEB6CF3F3}">
  <sheetPr codeName="Hoja156"/>
  <dimension ref="A2:I26"/>
  <sheetViews>
    <sheetView zoomScaleNormal="100" workbookViewId="0">
      <selection activeCell="D40" sqref="D40"/>
    </sheetView>
  </sheetViews>
  <sheetFormatPr baseColWidth="10" defaultRowHeight="13.2" x14ac:dyDescent="0.25"/>
  <cols>
    <col min="1" max="1" width="29" customWidth="1"/>
    <col min="2" max="2" width="12.6640625" customWidth="1"/>
    <col min="6" max="6" width="18.109375" customWidth="1"/>
    <col min="7" max="7" width="17.33203125" customWidth="1"/>
  </cols>
  <sheetData>
    <row r="2" spans="1:9" ht="30" customHeight="1" x14ac:dyDescent="0.25">
      <c r="A2" s="872" t="s">
        <v>2171</v>
      </c>
      <c r="B2" s="872"/>
      <c r="C2" s="872"/>
      <c r="D2" s="872"/>
      <c r="E2" s="872"/>
      <c r="F2" s="872"/>
      <c r="G2" s="872"/>
      <c r="H2" s="872"/>
      <c r="I2" s="872"/>
    </row>
    <row r="3" spans="1:9" x14ac:dyDescent="0.25">
      <c r="A3" s="888"/>
      <c r="B3" s="888"/>
      <c r="C3" s="888"/>
      <c r="D3" s="888"/>
      <c r="E3" s="888"/>
      <c r="F3" s="888"/>
      <c r="G3" s="888"/>
      <c r="H3" s="885"/>
      <c r="I3" s="885"/>
    </row>
    <row r="4" spans="1:9" x14ac:dyDescent="0.25">
      <c r="A4" s="653" t="s">
        <v>0</v>
      </c>
      <c r="B4" s="685" t="s">
        <v>2218</v>
      </c>
      <c r="C4" s="685"/>
      <c r="D4" s="685"/>
      <c r="E4" s="685"/>
      <c r="F4" s="685"/>
      <c r="G4" s="685"/>
      <c r="H4" s="685"/>
      <c r="I4" s="685"/>
    </row>
    <row r="5" spans="1:9" x14ac:dyDescent="0.25">
      <c r="A5" s="887"/>
      <c r="B5" s="298" t="s">
        <v>3</v>
      </c>
      <c r="C5" s="298" t="s">
        <v>2205</v>
      </c>
      <c r="D5" s="298"/>
      <c r="E5" s="298"/>
      <c r="F5" s="298"/>
      <c r="G5" s="298"/>
      <c r="H5" s="298"/>
      <c r="I5" s="298"/>
    </row>
    <row r="6" spans="1:9" ht="30.6" x14ac:dyDescent="0.25">
      <c r="A6" s="654"/>
      <c r="B6" s="298"/>
      <c r="C6" s="644" t="s">
        <v>2206</v>
      </c>
      <c r="D6" s="644" t="s">
        <v>2207</v>
      </c>
      <c r="E6" s="644" t="s">
        <v>2208</v>
      </c>
      <c r="F6" s="644" t="s">
        <v>2209</v>
      </c>
      <c r="G6" s="644" t="s">
        <v>2210</v>
      </c>
      <c r="H6" s="644" t="s">
        <v>2211</v>
      </c>
      <c r="I6" s="644" t="s">
        <v>409</v>
      </c>
    </row>
    <row r="7" spans="1:9" x14ac:dyDescent="0.25">
      <c r="A7" s="884" t="s">
        <v>3</v>
      </c>
      <c r="B7" s="622">
        <f>SUM(B8:B22)</f>
        <v>1953444</v>
      </c>
      <c r="C7" s="622">
        <f>SUM(C8:C22)</f>
        <v>370143</v>
      </c>
      <c r="D7" s="622">
        <f t="shared" ref="D7:I7" si="0">SUM(D8:D22)</f>
        <v>490686</v>
      </c>
      <c r="E7" s="622">
        <f t="shared" si="0"/>
        <v>131966</v>
      </c>
      <c r="F7" s="622">
        <f t="shared" si="0"/>
        <v>180785</v>
      </c>
      <c r="G7" s="622">
        <f t="shared" si="0"/>
        <v>573165</v>
      </c>
      <c r="H7" s="622">
        <f t="shared" si="0"/>
        <v>28091</v>
      </c>
      <c r="I7" s="622">
        <f t="shared" si="0"/>
        <v>178608</v>
      </c>
    </row>
    <row r="8" spans="1:9" ht="14.4" x14ac:dyDescent="0.25">
      <c r="A8" s="288" t="s">
        <v>4</v>
      </c>
      <c r="B8" s="622">
        <f>SUM(C8:I8)</f>
        <v>36247</v>
      </c>
      <c r="C8" s="877">
        <v>2400</v>
      </c>
      <c r="D8" s="877">
        <v>15531</v>
      </c>
      <c r="E8" s="877">
        <v>5386</v>
      </c>
      <c r="F8" s="877">
        <v>6472</v>
      </c>
      <c r="G8" s="877">
        <v>6458</v>
      </c>
      <c r="H8" s="877">
        <v>0</v>
      </c>
      <c r="I8" s="877">
        <v>0</v>
      </c>
    </row>
    <row r="9" spans="1:9" ht="14.4" x14ac:dyDescent="0.25">
      <c r="A9" s="288" t="s">
        <v>5</v>
      </c>
      <c r="B9" s="622">
        <f t="shared" ref="B9:B22" si="1">SUM(C9:I9)</f>
        <v>45834</v>
      </c>
      <c r="C9" s="877">
        <v>6791</v>
      </c>
      <c r="D9" s="877">
        <v>11723</v>
      </c>
      <c r="E9" s="877">
        <v>6698</v>
      </c>
      <c r="F9" s="877">
        <v>2507</v>
      </c>
      <c r="G9" s="877">
        <v>10693</v>
      </c>
      <c r="H9" s="877">
        <v>882</v>
      </c>
      <c r="I9" s="877">
        <v>6540</v>
      </c>
    </row>
    <row r="10" spans="1:9" ht="14.4" x14ac:dyDescent="0.25">
      <c r="A10" s="288" t="s">
        <v>6</v>
      </c>
      <c r="B10" s="622">
        <f t="shared" si="1"/>
        <v>57980</v>
      </c>
      <c r="C10" s="877">
        <v>11059</v>
      </c>
      <c r="D10" s="877">
        <v>18391</v>
      </c>
      <c r="E10" s="877">
        <v>5147</v>
      </c>
      <c r="F10" s="877">
        <v>7800</v>
      </c>
      <c r="G10" s="877">
        <v>10615</v>
      </c>
      <c r="H10" s="877">
        <v>2118</v>
      </c>
      <c r="I10" s="877">
        <v>2850</v>
      </c>
    </row>
    <row r="11" spans="1:9" ht="14.4" x14ac:dyDescent="0.25">
      <c r="A11" s="288" t="s">
        <v>7</v>
      </c>
      <c r="B11" s="622">
        <f t="shared" si="1"/>
        <v>85393</v>
      </c>
      <c r="C11" s="877">
        <v>19990</v>
      </c>
      <c r="D11" s="877">
        <v>22360</v>
      </c>
      <c r="E11" s="877">
        <v>3950</v>
      </c>
      <c r="F11" s="877">
        <v>9390</v>
      </c>
      <c r="G11" s="877">
        <v>24239</v>
      </c>
      <c r="H11" s="877">
        <v>1410</v>
      </c>
      <c r="I11" s="877">
        <v>4054</v>
      </c>
    </row>
    <row r="12" spans="1:9" ht="14.4" x14ac:dyDescent="0.25">
      <c r="A12" s="288" t="s">
        <v>8</v>
      </c>
      <c r="B12" s="622">
        <f t="shared" si="1"/>
        <v>91918</v>
      </c>
      <c r="C12" s="877">
        <v>17435</v>
      </c>
      <c r="D12" s="877">
        <v>12249</v>
      </c>
      <c r="E12" s="877">
        <v>10645</v>
      </c>
      <c r="F12" s="877">
        <v>11120</v>
      </c>
      <c r="G12" s="877">
        <v>25629</v>
      </c>
      <c r="H12" s="877">
        <v>4730</v>
      </c>
      <c r="I12" s="877">
        <v>10110</v>
      </c>
    </row>
    <row r="13" spans="1:9" ht="14.4" x14ac:dyDescent="0.25">
      <c r="A13" s="288" t="s">
        <v>9</v>
      </c>
      <c r="B13" s="622">
        <f t="shared" si="1"/>
        <v>179356</v>
      </c>
      <c r="C13" s="877">
        <v>29730</v>
      </c>
      <c r="D13" s="877">
        <v>25909</v>
      </c>
      <c r="E13" s="877">
        <v>16849</v>
      </c>
      <c r="F13" s="877">
        <v>11258</v>
      </c>
      <c r="G13" s="877">
        <v>68552</v>
      </c>
      <c r="H13" s="877">
        <v>2047</v>
      </c>
      <c r="I13" s="877">
        <v>25011</v>
      </c>
    </row>
    <row r="14" spans="1:9" ht="14.4" x14ac:dyDescent="0.25">
      <c r="A14" s="288" t="s">
        <v>10</v>
      </c>
      <c r="B14" s="622">
        <f t="shared" si="1"/>
        <v>598211</v>
      </c>
      <c r="C14" s="877">
        <v>120409</v>
      </c>
      <c r="D14" s="877">
        <v>175697</v>
      </c>
      <c r="E14" s="877">
        <v>24926</v>
      </c>
      <c r="F14" s="877">
        <v>32578</v>
      </c>
      <c r="G14" s="877">
        <v>147222</v>
      </c>
      <c r="H14" s="877">
        <v>13157</v>
      </c>
      <c r="I14" s="877">
        <v>84222</v>
      </c>
    </row>
    <row r="15" spans="1:9" ht="14.4" x14ac:dyDescent="0.25">
      <c r="A15" s="288" t="s">
        <v>134</v>
      </c>
      <c r="B15" s="622">
        <f t="shared" si="1"/>
        <v>119718</v>
      </c>
      <c r="C15" s="877">
        <v>26545</v>
      </c>
      <c r="D15" s="877">
        <v>16258</v>
      </c>
      <c r="E15" s="877">
        <v>10480</v>
      </c>
      <c r="F15" s="877">
        <v>9220</v>
      </c>
      <c r="G15" s="877">
        <v>47355</v>
      </c>
      <c r="H15" s="877">
        <v>0</v>
      </c>
      <c r="I15" s="877">
        <v>9860</v>
      </c>
    </row>
    <row r="16" spans="1:9" ht="14.4" x14ac:dyDescent="0.25">
      <c r="A16" s="288" t="s">
        <v>12</v>
      </c>
      <c r="B16" s="622">
        <f t="shared" si="1"/>
        <v>164974</v>
      </c>
      <c r="C16" s="877">
        <v>34342</v>
      </c>
      <c r="D16" s="877">
        <v>44239</v>
      </c>
      <c r="E16" s="877">
        <v>2313</v>
      </c>
      <c r="F16" s="877">
        <v>27412</v>
      </c>
      <c r="G16" s="877">
        <v>49082</v>
      </c>
      <c r="H16" s="877">
        <v>236</v>
      </c>
      <c r="I16" s="877">
        <v>7350</v>
      </c>
    </row>
    <row r="17" spans="1:9" ht="14.4" x14ac:dyDescent="0.25">
      <c r="A17" s="288" t="s">
        <v>13</v>
      </c>
      <c r="B17" s="622">
        <f t="shared" si="1"/>
        <v>190958</v>
      </c>
      <c r="C17" s="877">
        <v>36309</v>
      </c>
      <c r="D17" s="877">
        <v>45058</v>
      </c>
      <c r="E17" s="877">
        <v>12639</v>
      </c>
      <c r="F17" s="877">
        <v>27899</v>
      </c>
      <c r="G17" s="877">
        <v>63845</v>
      </c>
      <c r="H17" s="877">
        <v>1108</v>
      </c>
      <c r="I17" s="877">
        <v>4100</v>
      </c>
    </row>
    <row r="18" spans="1:9" ht="14.4" x14ac:dyDescent="0.25">
      <c r="A18" s="288" t="s">
        <v>47</v>
      </c>
      <c r="B18" s="622">
        <f t="shared" si="1"/>
        <v>189067</v>
      </c>
      <c r="C18" s="877">
        <v>37007</v>
      </c>
      <c r="D18" s="877">
        <v>53721</v>
      </c>
      <c r="E18" s="877">
        <v>16198</v>
      </c>
      <c r="F18" s="877">
        <v>11278</v>
      </c>
      <c r="G18" s="877">
        <v>65785</v>
      </c>
      <c r="H18" s="877">
        <v>1678</v>
      </c>
      <c r="I18" s="877">
        <v>3400</v>
      </c>
    </row>
    <row r="19" spans="1:9" ht="14.4" x14ac:dyDescent="0.25">
      <c r="A19" s="288" t="s">
        <v>135</v>
      </c>
      <c r="B19" s="622">
        <f t="shared" si="1"/>
        <v>31806</v>
      </c>
      <c r="C19" s="877">
        <v>6176</v>
      </c>
      <c r="D19" s="877">
        <v>4341</v>
      </c>
      <c r="E19" s="877">
        <v>715</v>
      </c>
      <c r="F19" s="877">
        <v>7629</v>
      </c>
      <c r="G19" s="877">
        <v>10525</v>
      </c>
      <c r="H19" s="877">
        <v>420</v>
      </c>
      <c r="I19" s="877">
        <v>2000</v>
      </c>
    </row>
    <row r="20" spans="1:9" ht="14.4" x14ac:dyDescent="0.25">
      <c r="A20" s="288" t="s">
        <v>136</v>
      </c>
      <c r="B20" s="622">
        <f t="shared" si="1"/>
        <v>128487</v>
      </c>
      <c r="C20" s="877">
        <v>18239</v>
      </c>
      <c r="D20" s="877">
        <v>33745</v>
      </c>
      <c r="E20" s="877">
        <v>10220</v>
      </c>
      <c r="F20" s="877">
        <v>14822</v>
      </c>
      <c r="G20" s="877">
        <v>34195</v>
      </c>
      <c r="H20" s="877">
        <v>105</v>
      </c>
      <c r="I20" s="877">
        <v>17161</v>
      </c>
    </row>
    <row r="21" spans="1:9" ht="14.4" x14ac:dyDescent="0.25">
      <c r="A21" s="288" t="s">
        <v>17</v>
      </c>
      <c r="B21" s="622">
        <f t="shared" si="1"/>
        <v>15100</v>
      </c>
      <c r="C21" s="877">
        <v>2381</v>
      </c>
      <c r="D21" s="877">
        <v>5064</v>
      </c>
      <c r="E21" s="877">
        <v>0</v>
      </c>
      <c r="F21" s="877">
        <v>1000</v>
      </c>
      <c r="G21" s="877">
        <v>4505</v>
      </c>
      <c r="H21" s="877">
        <v>200</v>
      </c>
      <c r="I21" s="877">
        <v>1950</v>
      </c>
    </row>
    <row r="22" spans="1:9" ht="14.4" x14ac:dyDescent="0.25">
      <c r="A22" s="284" t="s">
        <v>18</v>
      </c>
      <c r="B22" s="622">
        <f t="shared" si="1"/>
        <v>18395</v>
      </c>
      <c r="C22" s="877">
        <v>1330</v>
      </c>
      <c r="D22" s="877">
        <v>6400</v>
      </c>
      <c r="E22" s="877">
        <v>5800</v>
      </c>
      <c r="F22" s="877">
        <v>400</v>
      </c>
      <c r="G22" s="877">
        <v>4465</v>
      </c>
      <c r="H22" s="877">
        <v>0</v>
      </c>
      <c r="I22" s="877">
        <v>0</v>
      </c>
    </row>
    <row r="23" spans="1:9" ht="14.4" x14ac:dyDescent="0.25">
      <c r="A23" s="288"/>
      <c r="B23" s="655"/>
      <c r="C23" s="878"/>
      <c r="D23" s="878"/>
      <c r="E23" s="878"/>
      <c r="F23" s="878"/>
      <c r="G23" s="878"/>
      <c r="H23" s="878"/>
      <c r="I23" s="878"/>
    </row>
    <row r="24" spans="1:9" ht="26.25" customHeight="1" x14ac:dyDescent="0.25">
      <c r="A24" s="879" t="s">
        <v>2212</v>
      </c>
      <c r="B24" s="879"/>
      <c r="C24" s="879"/>
      <c r="D24" s="879"/>
      <c r="E24" s="879"/>
      <c r="F24" s="879"/>
      <c r="G24" s="879"/>
      <c r="H24" s="879"/>
      <c r="I24" s="880"/>
    </row>
    <row r="25" spans="1:9" x14ac:dyDescent="0.25">
      <c r="A25" s="881" t="s">
        <v>197</v>
      </c>
      <c r="B25" s="882"/>
      <c r="C25" s="882"/>
      <c r="D25" s="882"/>
      <c r="E25" s="882"/>
      <c r="F25" s="882"/>
      <c r="G25" s="882"/>
      <c r="H25" s="882"/>
      <c r="I25" s="701"/>
    </row>
    <row r="26" spans="1:9" x14ac:dyDescent="0.25">
      <c r="A26" s="336" t="s">
        <v>2213</v>
      </c>
      <c r="B26" s="633"/>
      <c r="C26" s="633"/>
      <c r="D26" s="633"/>
      <c r="E26" s="633"/>
      <c r="F26" s="633"/>
      <c r="G26" s="633"/>
      <c r="H26" s="633"/>
      <c r="I26" s="633"/>
    </row>
  </sheetData>
  <mergeCells count="6">
    <mergeCell ref="A2:I2"/>
    <mergeCell ref="A4:A6"/>
    <mergeCell ref="B4:I4"/>
    <mergeCell ref="B5:B6"/>
    <mergeCell ref="C5:I5"/>
    <mergeCell ref="A24:I24"/>
  </mergeCells>
  <pageMargins left="0.7" right="0.7" top="0.75" bottom="0.75" header="0.3" footer="0.3"/>
  <pageSetup paperSize="14" orientation="landscape"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2ED97-1B12-4E6E-AA3A-11FB4D9EC9D7}">
  <sheetPr codeName="Hoja157"/>
  <dimension ref="A2:I14"/>
  <sheetViews>
    <sheetView zoomScaleNormal="100" workbookViewId="0">
      <selection activeCell="D40" sqref="D40"/>
    </sheetView>
  </sheetViews>
  <sheetFormatPr baseColWidth="10" defaultRowHeight="13.2" x14ac:dyDescent="0.25"/>
  <cols>
    <col min="2" max="2" width="13.44140625" customWidth="1"/>
  </cols>
  <sheetData>
    <row r="2" spans="1:9" ht="30" customHeight="1" x14ac:dyDescent="0.25">
      <c r="A2" s="872" t="s">
        <v>2172</v>
      </c>
      <c r="B2" s="872"/>
      <c r="C2" s="872"/>
      <c r="D2" s="872"/>
      <c r="E2" s="872"/>
      <c r="F2" s="872"/>
      <c r="G2" s="872"/>
      <c r="H2" s="872"/>
      <c r="I2" s="872"/>
    </row>
    <row r="4" spans="1:9" x14ac:dyDescent="0.25">
      <c r="A4" s="298" t="s">
        <v>98</v>
      </c>
      <c r="B4" s="685" t="s">
        <v>2218</v>
      </c>
      <c r="C4" s="685"/>
      <c r="D4" s="685"/>
      <c r="E4" s="685"/>
      <c r="F4" s="685"/>
      <c r="G4" s="685"/>
      <c r="H4" s="685"/>
      <c r="I4" s="685"/>
    </row>
    <row r="5" spans="1:9" x14ac:dyDescent="0.25">
      <c r="A5" s="298"/>
      <c r="B5" s="653" t="s">
        <v>42</v>
      </c>
      <c r="C5" s="685" t="s">
        <v>2205</v>
      </c>
      <c r="D5" s="685"/>
      <c r="E5" s="685"/>
      <c r="F5" s="685"/>
      <c r="G5" s="685"/>
      <c r="H5" s="685"/>
      <c r="I5" s="685"/>
    </row>
    <row r="6" spans="1:9" ht="40.799999999999997" x14ac:dyDescent="0.25">
      <c r="A6" s="298"/>
      <c r="B6" s="654"/>
      <c r="C6" s="889" t="s">
        <v>2206</v>
      </c>
      <c r="D6" s="889" t="s">
        <v>2207</v>
      </c>
      <c r="E6" s="889" t="s">
        <v>2208</v>
      </c>
      <c r="F6" s="889" t="s">
        <v>2209</v>
      </c>
      <c r="G6" s="889" t="s">
        <v>2210</v>
      </c>
      <c r="H6" s="889" t="s">
        <v>2211</v>
      </c>
      <c r="I6" s="889" t="s">
        <v>409</v>
      </c>
    </row>
    <row r="7" spans="1:9" x14ac:dyDescent="0.25">
      <c r="A7" s="669" t="s">
        <v>2214</v>
      </c>
      <c r="B7" s="655">
        <f>SUM(C7:I7)</f>
        <v>1723476</v>
      </c>
      <c r="C7" s="643">
        <v>292468</v>
      </c>
      <c r="D7" s="643">
        <v>519495</v>
      </c>
      <c r="E7" s="643">
        <v>148858</v>
      </c>
      <c r="F7" s="643">
        <v>169549</v>
      </c>
      <c r="G7" s="643">
        <v>494322</v>
      </c>
      <c r="H7" s="643">
        <v>47024</v>
      </c>
      <c r="I7" s="643">
        <v>51760</v>
      </c>
    </row>
    <row r="8" spans="1:9" x14ac:dyDescent="0.25">
      <c r="A8" s="669">
        <v>2010</v>
      </c>
      <c r="B8" s="655">
        <f t="shared" ref="B8:B11" si="0">SUM(C8:I8)</f>
        <v>1686518</v>
      </c>
      <c r="C8" s="643">
        <v>217627</v>
      </c>
      <c r="D8" s="643">
        <v>606949</v>
      </c>
      <c r="E8" s="643">
        <v>130498</v>
      </c>
      <c r="F8" s="643">
        <v>161426</v>
      </c>
      <c r="G8" s="643">
        <v>472298</v>
      </c>
      <c r="H8" s="643">
        <v>45962</v>
      </c>
      <c r="I8" s="643">
        <v>51758</v>
      </c>
    </row>
    <row r="9" spans="1:9" x14ac:dyDescent="0.25">
      <c r="A9" s="669" t="s">
        <v>2215</v>
      </c>
      <c r="B9" s="655">
        <f t="shared" si="0"/>
        <v>1623296</v>
      </c>
      <c r="C9" s="643">
        <v>308307</v>
      </c>
      <c r="D9" s="643">
        <v>483651</v>
      </c>
      <c r="E9" s="643">
        <v>113838</v>
      </c>
      <c r="F9" s="643">
        <v>141478</v>
      </c>
      <c r="G9" s="643">
        <v>461006</v>
      </c>
      <c r="H9" s="643">
        <v>53083</v>
      </c>
      <c r="I9" s="643">
        <v>61933</v>
      </c>
    </row>
    <row r="10" spans="1:9" x14ac:dyDescent="0.25">
      <c r="A10" s="669" t="s">
        <v>2216</v>
      </c>
      <c r="B10" s="655">
        <f t="shared" si="0"/>
        <v>1901665</v>
      </c>
      <c r="C10" s="643">
        <v>356858</v>
      </c>
      <c r="D10" s="643">
        <v>601120</v>
      </c>
      <c r="E10" s="643">
        <v>136408</v>
      </c>
      <c r="F10" s="643">
        <v>184640</v>
      </c>
      <c r="G10" s="643">
        <v>413580</v>
      </c>
      <c r="H10" s="643">
        <v>58621</v>
      </c>
      <c r="I10" s="643">
        <v>150438</v>
      </c>
    </row>
    <row r="11" spans="1:9" x14ac:dyDescent="0.25">
      <c r="A11" s="669" t="s">
        <v>2217</v>
      </c>
      <c r="B11" s="655">
        <f t="shared" si="0"/>
        <v>1953444</v>
      </c>
      <c r="C11" s="643">
        <v>370143</v>
      </c>
      <c r="D11" s="643">
        <v>490686</v>
      </c>
      <c r="E11" s="643">
        <v>131966</v>
      </c>
      <c r="F11" s="643">
        <v>180785</v>
      </c>
      <c r="G11" s="643">
        <v>573165</v>
      </c>
      <c r="H11" s="643">
        <v>28091</v>
      </c>
      <c r="I11" s="643">
        <v>178608</v>
      </c>
    </row>
    <row r="12" spans="1:9" x14ac:dyDescent="0.25">
      <c r="A12" s="669"/>
      <c r="B12" s="655"/>
      <c r="C12" s="643"/>
      <c r="D12" s="643"/>
      <c r="E12" s="643"/>
      <c r="F12" s="643"/>
      <c r="G12" s="643"/>
      <c r="H12" s="643"/>
      <c r="I12" s="643"/>
    </row>
    <row r="13" spans="1:9" ht="26.25" customHeight="1" x14ac:dyDescent="0.25">
      <c r="A13" s="879" t="s">
        <v>2212</v>
      </c>
      <c r="B13" s="879"/>
      <c r="C13" s="879"/>
      <c r="D13" s="879"/>
      <c r="E13" s="879"/>
      <c r="F13" s="879"/>
      <c r="G13" s="879"/>
      <c r="H13" s="879"/>
      <c r="I13" s="880"/>
    </row>
    <row r="14" spans="1:9" x14ac:dyDescent="0.25">
      <c r="A14" s="336" t="s">
        <v>2213</v>
      </c>
      <c r="B14" s="633"/>
      <c r="C14" s="633"/>
      <c r="D14" s="633"/>
      <c r="E14" s="633"/>
      <c r="F14" s="633"/>
      <c r="G14" s="633"/>
      <c r="H14" s="633"/>
      <c r="I14" s="633"/>
    </row>
  </sheetData>
  <mergeCells count="6">
    <mergeCell ref="A2:I2"/>
    <mergeCell ref="A4:A6"/>
    <mergeCell ref="B4:I4"/>
    <mergeCell ref="B5:B6"/>
    <mergeCell ref="C5:I5"/>
    <mergeCell ref="A13:I13"/>
  </mergeCells>
  <pageMargins left="0.70866141732283472" right="0.70866141732283472" top="0.74803149606299213" bottom="0.74803149606299213" header="0.31496062992125984" footer="0.31496062992125984"/>
  <pageSetup paperSize="14" scale="115" orientation="landscape"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41C43-993B-4AE7-9943-2A8FBFCF70D5}">
  <sheetPr codeName="Hoja158"/>
  <dimension ref="A2:N25"/>
  <sheetViews>
    <sheetView zoomScaleNormal="100" workbookViewId="0"/>
  </sheetViews>
  <sheetFormatPr baseColWidth="10" defaultRowHeight="13.2" x14ac:dyDescent="0.25"/>
  <cols>
    <col min="1" max="1" width="19.6640625" customWidth="1"/>
    <col min="2" max="2" width="13.88671875" customWidth="1"/>
  </cols>
  <sheetData>
    <row r="2" spans="1:14" x14ac:dyDescent="0.25">
      <c r="A2" s="872" t="s">
        <v>2173</v>
      </c>
      <c r="B2" s="872"/>
      <c r="C2" s="872"/>
      <c r="D2" s="872"/>
      <c r="E2" s="872"/>
      <c r="F2" s="872"/>
      <c r="G2" s="872"/>
      <c r="H2" s="872"/>
      <c r="I2" s="872"/>
      <c r="J2" s="872"/>
      <c r="K2" s="872"/>
      <c r="L2" s="872"/>
      <c r="M2" s="872"/>
      <c r="N2" s="872"/>
    </row>
    <row r="4" spans="1:14" x14ac:dyDescent="0.25">
      <c r="A4" s="298" t="s">
        <v>0</v>
      </c>
      <c r="B4" s="685" t="s">
        <v>2220</v>
      </c>
      <c r="C4" s="685"/>
      <c r="D4" s="685"/>
      <c r="E4" s="685"/>
      <c r="F4" s="685"/>
      <c r="G4" s="685"/>
      <c r="H4" s="685"/>
      <c r="I4" s="685"/>
      <c r="J4" s="685"/>
      <c r="K4" s="685"/>
      <c r="L4" s="685"/>
      <c r="M4" s="685"/>
      <c r="N4" s="685"/>
    </row>
    <row r="5" spans="1:14" x14ac:dyDescent="0.25">
      <c r="A5" s="298"/>
      <c r="B5" s="644" t="s">
        <v>3</v>
      </c>
      <c r="C5" s="644" t="s">
        <v>2221</v>
      </c>
      <c r="D5" s="644" t="s">
        <v>2222</v>
      </c>
      <c r="E5" s="644" t="s">
        <v>2223</v>
      </c>
      <c r="F5" s="644" t="s">
        <v>2224</v>
      </c>
      <c r="G5" s="644" t="s">
        <v>2225</v>
      </c>
      <c r="H5" s="644" t="s">
        <v>2226</v>
      </c>
      <c r="I5" s="644" t="s">
        <v>2227</v>
      </c>
      <c r="J5" s="644" t="s">
        <v>2228</v>
      </c>
      <c r="K5" s="644" t="s">
        <v>2229</v>
      </c>
      <c r="L5" s="644" t="s">
        <v>2230</v>
      </c>
      <c r="M5" s="644" t="s">
        <v>2231</v>
      </c>
      <c r="N5" s="644" t="s">
        <v>2232</v>
      </c>
    </row>
    <row r="6" spans="1:14" x14ac:dyDescent="0.25">
      <c r="A6" s="884" t="s">
        <v>3</v>
      </c>
      <c r="B6" s="622">
        <f>SUM(B7:B21)</f>
        <v>3111027</v>
      </c>
      <c r="C6" s="622">
        <f>SUM(C7:C21)</f>
        <v>377709</v>
      </c>
      <c r="D6" s="622">
        <f t="shared" ref="D6:M6" si="0">SUM(D7:D21)</f>
        <v>108787</v>
      </c>
      <c r="E6" s="622">
        <f t="shared" si="0"/>
        <v>99554</v>
      </c>
      <c r="F6" s="622">
        <f>SUM(F7:F21)</f>
        <v>170706</v>
      </c>
      <c r="G6" s="622">
        <f t="shared" si="0"/>
        <v>189947</v>
      </c>
      <c r="H6" s="622">
        <f t="shared" si="0"/>
        <v>195177</v>
      </c>
      <c r="I6" s="622">
        <f t="shared" si="0"/>
        <v>255063</v>
      </c>
      <c r="J6" s="622">
        <f t="shared" si="0"/>
        <v>382338</v>
      </c>
      <c r="K6" s="622">
        <f t="shared" si="0"/>
        <v>387738</v>
      </c>
      <c r="L6" s="622">
        <f t="shared" si="0"/>
        <v>378585</v>
      </c>
      <c r="M6" s="622">
        <f t="shared" si="0"/>
        <v>331943</v>
      </c>
      <c r="N6" s="622">
        <f>SUM(N7:N21)</f>
        <v>233480</v>
      </c>
    </row>
    <row r="7" spans="1:14" ht="14.4" x14ac:dyDescent="0.25">
      <c r="A7" s="288" t="s">
        <v>4</v>
      </c>
      <c r="B7" s="622">
        <f>SUM(C7:N7)</f>
        <v>41934</v>
      </c>
      <c r="C7" s="877">
        <v>5786</v>
      </c>
      <c r="D7" s="877">
        <v>5099</v>
      </c>
      <c r="E7" s="877">
        <v>1612</v>
      </c>
      <c r="F7" s="877">
        <v>4972</v>
      </c>
      <c r="G7" s="877">
        <v>5745</v>
      </c>
      <c r="H7" s="877">
        <v>3965</v>
      </c>
      <c r="I7" s="877">
        <v>3625</v>
      </c>
      <c r="J7" s="877">
        <v>1866</v>
      </c>
      <c r="K7" s="877">
        <v>1576</v>
      </c>
      <c r="L7" s="877">
        <v>3103</v>
      </c>
      <c r="M7" s="877">
        <v>3052</v>
      </c>
      <c r="N7" s="877">
        <v>1533</v>
      </c>
    </row>
    <row r="8" spans="1:14" ht="14.4" x14ac:dyDescent="0.25">
      <c r="A8" s="288" t="s">
        <v>5</v>
      </c>
      <c r="B8" s="622">
        <f t="shared" ref="B8:B21" si="1">SUM(C8:N8)</f>
        <v>54952</v>
      </c>
      <c r="C8" s="877">
        <v>2598</v>
      </c>
      <c r="D8" s="877">
        <v>3300</v>
      </c>
      <c r="E8" s="877">
        <v>8369</v>
      </c>
      <c r="F8" s="877">
        <v>1969</v>
      </c>
      <c r="G8" s="877">
        <v>7555</v>
      </c>
      <c r="H8" s="877">
        <v>5176</v>
      </c>
      <c r="I8" s="877">
        <v>3269</v>
      </c>
      <c r="J8" s="877">
        <v>3377</v>
      </c>
      <c r="K8" s="877">
        <v>2871</v>
      </c>
      <c r="L8" s="877">
        <v>11429</v>
      </c>
      <c r="M8" s="877">
        <v>2662</v>
      </c>
      <c r="N8" s="877">
        <v>2377</v>
      </c>
    </row>
    <row r="9" spans="1:14" ht="14.4" x14ac:dyDescent="0.25">
      <c r="A9" s="288" t="s">
        <v>6</v>
      </c>
      <c r="B9" s="622">
        <f t="shared" si="1"/>
        <v>83938</v>
      </c>
      <c r="C9" s="877">
        <v>12530</v>
      </c>
      <c r="D9" s="877">
        <v>940</v>
      </c>
      <c r="E9" s="877">
        <v>1360</v>
      </c>
      <c r="F9" s="877">
        <v>2890</v>
      </c>
      <c r="G9" s="877">
        <v>3420</v>
      </c>
      <c r="H9" s="877">
        <v>5607</v>
      </c>
      <c r="I9" s="877">
        <v>7275</v>
      </c>
      <c r="J9" s="877">
        <v>14000</v>
      </c>
      <c r="K9" s="877">
        <v>7718</v>
      </c>
      <c r="L9" s="877">
        <v>17565</v>
      </c>
      <c r="M9" s="877">
        <v>6568</v>
      </c>
      <c r="N9" s="877">
        <v>4065</v>
      </c>
    </row>
    <row r="10" spans="1:14" ht="14.4" x14ac:dyDescent="0.25">
      <c r="A10" s="288" t="s">
        <v>7</v>
      </c>
      <c r="B10" s="622">
        <f t="shared" si="1"/>
        <v>93493</v>
      </c>
      <c r="C10" s="877">
        <v>22910</v>
      </c>
      <c r="D10" s="877">
        <v>2390</v>
      </c>
      <c r="E10" s="877">
        <v>2720</v>
      </c>
      <c r="F10" s="877">
        <v>5950</v>
      </c>
      <c r="G10" s="877">
        <v>3846</v>
      </c>
      <c r="H10" s="877">
        <v>3830</v>
      </c>
      <c r="I10" s="877">
        <v>5935</v>
      </c>
      <c r="J10" s="877">
        <v>11853</v>
      </c>
      <c r="K10" s="877">
        <v>12720</v>
      </c>
      <c r="L10" s="877">
        <v>11470</v>
      </c>
      <c r="M10" s="877">
        <v>3580</v>
      </c>
      <c r="N10" s="877">
        <v>6289</v>
      </c>
    </row>
    <row r="11" spans="1:14" ht="14.4" x14ac:dyDescent="0.25">
      <c r="A11" s="288" t="s">
        <v>8</v>
      </c>
      <c r="B11" s="622">
        <f>SUM(C11:N11)</f>
        <v>110483</v>
      </c>
      <c r="C11" s="877">
        <v>19950</v>
      </c>
      <c r="D11" s="877">
        <v>5045</v>
      </c>
      <c r="E11" s="877">
        <v>3671</v>
      </c>
      <c r="F11" s="877">
        <v>5545</v>
      </c>
      <c r="G11" s="877">
        <v>12325</v>
      </c>
      <c r="H11" s="877">
        <v>7616</v>
      </c>
      <c r="I11" s="877">
        <v>8020</v>
      </c>
      <c r="J11" s="877">
        <v>13305</v>
      </c>
      <c r="K11" s="877">
        <v>4445</v>
      </c>
      <c r="L11" s="877">
        <v>21825</v>
      </c>
      <c r="M11" s="877">
        <v>3316</v>
      </c>
      <c r="N11" s="877">
        <v>5420</v>
      </c>
    </row>
    <row r="12" spans="1:14" ht="14.4" x14ac:dyDescent="0.25">
      <c r="A12" s="288" t="s">
        <v>9</v>
      </c>
      <c r="B12" s="622">
        <f t="shared" si="1"/>
        <v>238084</v>
      </c>
      <c r="C12" s="877">
        <v>35182</v>
      </c>
      <c r="D12" s="877">
        <v>21668</v>
      </c>
      <c r="E12" s="877">
        <v>12645</v>
      </c>
      <c r="F12" s="877">
        <v>11237</v>
      </c>
      <c r="G12" s="877">
        <v>12663</v>
      </c>
      <c r="H12" s="877">
        <v>8854</v>
      </c>
      <c r="I12" s="877">
        <v>14567</v>
      </c>
      <c r="J12" s="877">
        <v>12126</v>
      </c>
      <c r="K12" s="877">
        <v>24739</v>
      </c>
      <c r="L12" s="877">
        <v>23104</v>
      </c>
      <c r="M12" s="877">
        <v>41797</v>
      </c>
      <c r="N12" s="877">
        <v>19502</v>
      </c>
    </row>
    <row r="13" spans="1:14" ht="14.4" x14ac:dyDescent="0.25">
      <c r="A13" s="288" t="s">
        <v>10</v>
      </c>
      <c r="B13" s="622">
        <f t="shared" si="1"/>
        <v>1431541</v>
      </c>
      <c r="C13" s="877">
        <v>166102</v>
      </c>
      <c r="D13" s="877">
        <v>20101</v>
      </c>
      <c r="E13" s="877">
        <v>40003</v>
      </c>
      <c r="F13" s="877">
        <v>75487</v>
      </c>
      <c r="G13" s="877">
        <v>87719</v>
      </c>
      <c r="H13" s="877">
        <v>95865</v>
      </c>
      <c r="I13" s="877">
        <v>93487</v>
      </c>
      <c r="J13" s="877">
        <v>216650</v>
      </c>
      <c r="K13" s="877">
        <v>201089</v>
      </c>
      <c r="L13" s="877">
        <v>180372</v>
      </c>
      <c r="M13" s="877">
        <v>166547</v>
      </c>
      <c r="N13" s="877">
        <v>88119</v>
      </c>
    </row>
    <row r="14" spans="1:14" ht="14.4" x14ac:dyDescent="0.25">
      <c r="A14" s="288" t="s">
        <v>134</v>
      </c>
      <c r="B14" s="622">
        <f t="shared" si="1"/>
        <v>163167</v>
      </c>
      <c r="C14" s="877">
        <v>15075</v>
      </c>
      <c r="D14" s="877">
        <v>11990</v>
      </c>
      <c r="E14" s="877">
        <v>3631</v>
      </c>
      <c r="F14" s="877">
        <v>9430</v>
      </c>
      <c r="G14" s="877">
        <v>7060</v>
      </c>
      <c r="H14" s="877">
        <v>6963</v>
      </c>
      <c r="I14" s="877">
        <v>9935</v>
      </c>
      <c r="J14" s="877">
        <v>13024</v>
      </c>
      <c r="K14" s="877">
        <v>25078</v>
      </c>
      <c r="L14" s="877">
        <v>17635</v>
      </c>
      <c r="M14" s="877">
        <v>19141</v>
      </c>
      <c r="N14" s="877">
        <v>24205</v>
      </c>
    </row>
    <row r="15" spans="1:14" ht="14.4" x14ac:dyDescent="0.25">
      <c r="A15" s="288" t="s">
        <v>12</v>
      </c>
      <c r="B15" s="622">
        <f>SUM(C15:N15)</f>
        <v>174516</v>
      </c>
      <c r="C15" s="877">
        <v>13895</v>
      </c>
      <c r="D15" s="877">
        <v>3720</v>
      </c>
      <c r="E15" s="877">
        <v>1111</v>
      </c>
      <c r="F15" s="877">
        <v>7739</v>
      </c>
      <c r="G15" s="877">
        <v>10266</v>
      </c>
      <c r="H15" s="877">
        <v>7006</v>
      </c>
      <c r="I15" s="877">
        <v>23959</v>
      </c>
      <c r="J15" s="877">
        <v>16689</v>
      </c>
      <c r="K15" s="877">
        <v>30053</v>
      </c>
      <c r="L15" s="877">
        <v>24554</v>
      </c>
      <c r="M15" s="877">
        <v>17514</v>
      </c>
      <c r="N15" s="877">
        <v>18010</v>
      </c>
    </row>
    <row r="16" spans="1:14" ht="14.4" x14ac:dyDescent="0.25">
      <c r="A16" s="288" t="s">
        <v>13</v>
      </c>
      <c r="B16" s="622">
        <f t="shared" si="1"/>
        <v>244532</v>
      </c>
      <c r="C16" s="877">
        <v>36157</v>
      </c>
      <c r="D16" s="877">
        <v>8507</v>
      </c>
      <c r="E16" s="877">
        <v>11016</v>
      </c>
      <c r="F16" s="877">
        <v>18153</v>
      </c>
      <c r="G16" s="877">
        <v>14691</v>
      </c>
      <c r="H16" s="877">
        <v>23884</v>
      </c>
      <c r="I16" s="877">
        <v>22974</v>
      </c>
      <c r="J16" s="877">
        <v>31669</v>
      </c>
      <c r="K16" s="877">
        <v>20559</v>
      </c>
      <c r="L16" s="877">
        <v>24137</v>
      </c>
      <c r="M16" s="877">
        <v>12845</v>
      </c>
      <c r="N16" s="877">
        <v>19940</v>
      </c>
    </row>
    <row r="17" spans="1:14" ht="14.4" x14ac:dyDescent="0.25">
      <c r="A17" s="288" t="s">
        <v>47</v>
      </c>
      <c r="B17" s="622">
        <f t="shared" si="1"/>
        <v>218868</v>
      </c>
      <c r="C17" s="877">
        <v>27003</v>
      </c>
      <c r="D17" s="877">
        <v>10474</v>
      </c>
      <c r="E17" s="877">
        <v>9167</v>
      </c>
      <c r="F17" s="877">
        <v>19523</v>
      </c>
      <c r="G17" s="877">
        <v>18489</v>
      </c>
      <c r="H17" s="877">
        <v>18132</v>
      </c>
      <c r="I17" s="877">
        <v>11768</v>
      </c>
      <c r="J17" s="877">
        <v>27434</v>
      </c>
      <c r="K17" s="877">
        <v>32770</v>
      </c>
      <c r="L17" s="877">
        <v>16453</v>
      </c>
      <c r="M17" s="877">
        <v>11265</v>
      </c>
      <c r="N17" s="877">
        <v>16390</v>
      </c>
    </row>
    <row r="18" spans="1:14" ht="14.4" x14ac:dyDescent="0.25">
      <c r="A18" s="288" t="s">
        <v>135</v>
      </c>
      <c r="B18" s="622">
        <f t="shared" si="1"/>
        <v>45532</v>
      </c>
      <c r="C18" s="877">
        <v>4351</v>
      </c>
      <c r="D18" s="877">
        <v>3305</v>
      </c>
      <c r="E18" s="877">
        <v>624</v>
      </c>
      <c r="F18" s="877">
        <v>2423</v>
      </c>
      <c r="G18" s="877">
        <v>1042</v>
      </c>
      <c r="H18" s="877">
        <v>4743</v>
      </c>
      <c r="I18" s="877">
        <v>9716</v>
      </c>
      <c r="J18" s="877">
        <v>3275</v>
      </c>
      <c r="K18" s="877">
        <v>5164</v>
      </c>
      <c r="L18" s="877">
        <v>1032</v>
      </c>
      <c r="M18" s="877">
        <v>3501</v>
      </c>
      <c r="N18" s="877">
        <v>6356</v>
      </c>
    </row>
    <row r="19" spans="1:14" ht="14.4" x14ac:dyDescent="0.25">
      <c r="A19" s="288" t="s">
        <v>136</v>
      </c>
      <c r="B19" s="622">
        <f t="shared" si="1"/>
        <v>174804</v>
      </c>
      <c r="C19" s="877">
        <v>9870</v>
      </c>
      <c r="D19" s="877">
        <v>9848</v>
      </c>
      <c r="E19" s="877">
        <v>2575</v>
      </c>
      <c r="F19" s="877">
        <v>4708</v>
      </c>
      <c r="G19" s="877">
        <v>4126</v>
      </c>
      <c r="H19" s="877">
        <v>3536</v>
      </c>
      <c r="I19" s="877">
        <v>39437</v>
      </c>
      <c r="J19" s="877">
        <v>14242</v>
      </c>
      <c r="K19" s="877">
        <v>13085</v>
      </c>
      <c r="L19" s="877">
        <v>23265</v>
      </c>
      <c r="M19" s="877">
        <v>36649</v>
      </c>
      <c r="N19" s="877">
        <v>13463</v>
      </c>
    </row>
    <row r="20" spans="1:14" ht="14.4" x14ac:dyDescent="0.25">
      <c r="A20" s="288" t="s">
        <v>17</v>
      </c>
      <c r="B20" s="622">
        <f t="shared" si="1"/>
        <v>15440</v>
      </c>
      <c r="C20" s="877">
        <v>2300</v>
      </c>
      <c r="D20" s="877">
        <v>2400</v>
      </c>
      <c r="E20" s="877">
        <v>250</v>
      </c>
      <c r="F20" s="877">
        <v>680</v>
      </c>
      <c r="G20" s="877">
        <v>200</v>
      </c>
      <c r="H20" s="877">
        <v>0</v>
      </c>
      <c r="I20" s="877">
        <v>696</v>
      </c>
      <c r="J20" s="877">
        <v>1150</v>
      </c>
      <c r="K20" s="877">
        <v>4315</v>
      </c>
      <c r="L20" s="877">
        <v>982</v>
      </c>
      <c r="M20" s="877">
        <v>1056</v>
      </c>
      <c r="N20" s="877">
        <v>1411</v>
      </c>
    </row>
    <row r="21" spans="1:14" ht="14.4" x14ac:dyDescent="0.25">
      <c r="A21" s="284" t="s">
        <v>18</v>
      </c>
      <c r="B21" s="622">
        <f t="shared" si="1"/>
        <v>19743</v>
      </c>
      <c r="C21" s="877">
        <v>4000</v>
      </c>
      <c r="D21" s="877">
        <v>0</v>
      </c>
      <c r="E21" s="877">
        <v>800</v>
      </c>
      <c r="F21" s="877">
        <v>0</v>
      </c>
      <c r="G21" s="877">
        <v>800</v>
      </c>
      <c r="H21" s="877">
        <v>0</v>
      </c>
      <c r="I21" s="877">
        <v>400</v>
      </c>
      <c r="J21" s="877">
        <v>1678</v>
      </c>
      <c r="K21" s="877">
        <v>1556</v>
      </c>
      <c r="L21" s="877">
        <v>1659</v>
      </c>
      <c r="M21" s="877">
        <v>2450</v>
      </c>
      <c r="N21" s="877">
        <v>6400</v>
      </c>
    </row>
    <row r="22" spans="1:14" ht="14.4" x14ac:dyDescent="0.25">
      <c r="A22" s="288"/>
      <c r="B22" s="655"/>
      <c r="C22" s="890"/>
      <c r="D22" s="890"/>
      <c r="E22" s="890"/>
      <c r="F22" s="890"/>
      <c r="G22" s="890"/>
      <c r="H22" s="890"/>
      <c r="I22" s="890"/>
      <c r="J22" s="890"/>
      <c r="K22" s="890"/>
      <c r="L22" s="890"/>
      <c r="M22" s="890"/>
      <c r="N22" s="890"/>
    </row>
    <row r="23" spans="1:14" ht="23.25" customHeight="1" x14ac:dyDescent="0.25">
      <c r="A23" s="879" t="s">
        <v>2233</v>
      </c>
      <c r="B23" s="879"/>
      <c r="C23" s="879"/>
      <c r="D23" s="879"/>
      <c r="E23" s="879"/>
      <c r="F23" s="879"/>
      <c r="G23" s="879"/>
      <c r="H23" s="879"/>
      <c r="I23" s="880"/>
      <c r="J23" s="880"/>
      <c r="K23" s="880"/>
      <c r="L23" s="880"/>
      <c r="M23" s="880"/>
      <c r="N23" s="880"/>
    </row>
    <row r="24" spans="1:14" x14ac:dyDescent="0.25">
      <c r="A24" s="881" t="s">
        <v>197</v>
      </c>
      <c r="B24" s="882"/>
      <c r="C24" s="882"/>
      <c r="D24" s="882"/>
      <c r="E24" s="882"/>
      <c r="F24" s="882"/>
      <c r="G24" s="882"/>
      <c r="H24" s="882"/>
      <c r="I24" s="701"/>
      <c r="J24" s="701"/>
      <c r="K24" s="701"/>
      <c r="L24" s="701"/>
      <c r="M24" s="701"/>
      <c r="N24" s="701"/>
    </row>
    <row r="25" spans="1:14" x14ac:dyDescent="0.25">
      <c r="A25" s="336" t="s">
        <v>2213</v>
      </c>
      <c r="B25" s="667"/>
      <c r="C25" s="667"/>
      <c r="D25" s="667"/>
      <c r="E25" s="667"/>
      <c r="F25" s="667"/>
      <c r="G25" s="667"/>
      <c r="H25" s="667"/>
      <c r="I25" s="667"/>
      <c r="J25" s="667"/>
      <c r="K25" s="667"/>
      <c r="L25" s="667"/>
      <c r="M25" s="667"/>
      <c r="N25" s="667"/>
    </row>
  </sheetData>
  <mergeCells count="4">
    <mergeCell ref="A2:N2"/>
    <mergeCell ref="A4:A5"/>
    <mergeCell ref="B4:N4"/>
    <mergeCell ref="A23:N23"/>
  </mergeCells>
  <pageMargins left="0.7" right="0.7" top="0.75" bottom="0.75" header="0.3" footer="0.3"/>
  <pageSetup paperSize="14" scale="86" orientation="landscape"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EA9BD6-CCEF-44C8-A077-008E5D7C08AA}">
  <sheetPr codeName="Hoja159">
    <tabColor theme="8"/>
  </sheetPr>
  <dimension ref="A2:A32"/>
  <sheetViews>
    <sheetView zoomScaleNormal="100" workbookViewId="0">
      <selection activeCell="A32" sqref="A32"/>
    </sheetView>
  </sheetViews>
  <sheetFormatPr baseColWidth="10" defaultColWidth="11.44140625" defaultRowHeight="10.199999999999999" x14ac:dyDescent="0.2"/>
  <cols>
    <col min="1" max="16384" width="11.44140625" style="2"/>
  </cols>
  <sheetData>
    <row r="2" spans="1:1" x14ac:dyDescent="0.2">
      <c r="A2" s="24" t="s">
        <v>2234</v>
      </c>
    </row>
    <row r="4" spans="1:1" x14ac:dyDescent="0.2">
      <c r="A4" s="182" t="s">
        <v>2235</v>
      </c>
    </row>
    <row r="5" spans="1:1" x14ac:dyDescent="0.2">
      <c r="A5" s="182" t="s">
        <v>2236</v>
      </c>
    </row>
    <row r="6" spans="1:1" x14ac:dyDescent="0.2">
      <c r="A6" s="182" t="s">
        <v>2237</v>
      </c>
    </row>
    <row r="7" spans="1:1" x14ac:dyDescent="0.2">
      <c r="A7" s="182" t="s">
        <v>2238</v>
      </c>
    </row>
    <row r="8" spans="1:1" x14ac:dyDescent="0.2">
      <c r="A8" s="182" t="s">
        <v>2239</v>
      </c>
    </row>
    <row r="9" spans="1:1" x14ac:dyDescent="0.2">
      <c r="A9" s="182" t="s">
        <v>2240</v>
      </c>
    </row>
    <row r="10" spans="1:1" x14ac:dyDescent="0.2">
      <c r="A10" s="182" t="s">
        <v>2241</v>
      </c>
    </row>
    <row r="11" spans="1:1" x14ac:dyDescent="0.2">
      <c r="A11" s="182" t="s">
        <v>2242</v>
      </c>
    </row>
    <row r="12" spans="1:1" x14ac:dyDescent="0.2">
      <c r="A12" s="182" t="s">
        <v>2243</v>
      </c>
    </row>
    <row r="13" spans="1:1" x14ac:dyDescent="0.2">
      <c r="A13" s="182" t="s">
        <v>2244</v>
      </c>
    </row>
    <row r="14" spans="1:1" x14ac:dyDescent="0.2">
      <c r="A14" s="182" t="s">
        <v>2245</v>
      </c>
    </row>
    <row r="15" spans="1:1" x14ac:dyDescent="0.2">
      <c r="A15" s="182" t="s">
        <v>2246</v>
      </c>
    </row>
    <row r="16" spans="1:1" x14ac:dyDescent="0.2">
      <c r="A16" s="182" t="s">
        <v>2247</v>
      </c>
    </row>
    <row r="17" spans="1:1" x14ac:dyDescent="0.2">
      <c r="A17" s="182" t="s">
        <v>2248</v>
      </c>
    </row>
    <row r="18" spans="1:1" x14ac:dyDescent="0.2">
      <c r="A18" s="182" t="s">
        <v>2249</v>
      </c>
    </row>
    <row r="19" spans="1:1" x14ac:dyDescent="0.2">
      <c r="A19" s="182" t="s">
        <v>2250</v>
      </c>
    </row>
    <row r="20" spans="1:1" x14ac:dyDescent="0.2">
      <c r="A20" s="182" t="s">
        <v>2251</v>
      </c>
    </row>
    <row r="21" spans="1:1" x14ac:dyDescent="0.2">
      <c r="A21" s="182" t="s">
        <v>2252</v>
      </c>
    </row>
    <row r="22" spans="1:1" x14ac:dyDescent="0.2">
      <c r="A22" s="182" t="s">
        <v>2253</v>
      </c>
    </row>
    <row r="23" spans="1:1" x14ac:dyDescent="0.2">
      <c r="A23" s="182" t="s">
        <v>2254</v>
      </c>
    </row>
    <row r="24" spans="1:1" x14ac:dyDescent="0.2">
      <c r="A24" s="182" t="s">
        <v>2255</v>
      </c>
    </row>
    <row r="25" spans="1:1" x14ac:dyDescent="0.2">
      <c r="A25" s="182" t="s">
        <v>2256</v>
      </c>
    </row>
    <row r="26" spans="1:1" x14ac:dyDescent="0.2">
      <c r="A26" s="182" t="s">
        <v>2257</v>
      </c>
    </row>
    <row r="27" spans="1:1" x14ac:dyDescent="0.2">
      <c r="A27" s="182" t="s">
        <v>2258</v>
      </c>
    </row>
    <row r="28" spans="1:1" x14ac:dyDescent="0.2">
      <c r="A28" s="182" t="s">
        <v>2259</v>
      </c>
    </row>
    <row r="29" spans="1:1" x14ac:dyDescent="0.2">
      <c r="A29" s="182" t="s">
        <v>2260</v>
      </c>
    </row>
    <row r="30" spans="1:1" x14ac:dyDescent="0.2">
      <c r="A30" s="182" t="s">
        <v>2261</v>
      </c>
    </row>
    <row r="31" spans="1:1" x14ac:dyDescent="0.2">
      <c r="A31" s="182" t="s">
        <v>2262</v>
      </c>
    </row>
    <row r="32" spans="1:1" x14ac:dyDescent="0.2">
      <c r="A32" s="182" t="s">
        <v>2263</v>
      </c>
    </row>
  </sheetData>
  <hyperlinks>
    <hyperlink ref="A4" location="'3.5-01'!A1" display="CUADRO 3.5-01: NÚMERO DE SELLOS DE GRABACIÓN. 2013" xr:uid="{DA98FC09-69CE-42BB-BB22-1ABAE522BBA4}"/>
    <hyperlink ref="A5" location="'3.5-02'!A1" display="CUADRO 3.5-02: NÚMERO DE ASOCIADOS EN LA ASOCIACIÓN GREMIAL DE PRODUCTORES FONOGRÁFICOS DE CHILE (IFPI) POR AÑO. 2011-2013" xr:uid="{70E9A787-CF49-42FE-9D34-F20BFCEB28BC}"/>
    <hyperlink ref="A6" location="'3.5-03'!A1" display="CUADRO 3.5-03: NÚMERO DE TRABAJADORES EN SELLOS DISCOGRÁFICOS. 2011-2013" xr:uid="{F8E6BFD9-A148-4E43-AA43-24AFA4D5DB19}"/>
    <hyperlink ref="A7" location="'3.5-04'!A1" display="CUADRO 3.5-04: NÚMERO Y PORCENTAJE DE AUTORES ASOCIADOS A LA SOCIEDAD CHILENA DEL DERECHO DE AUTOR (SCD), POR SEXO, SEGÚN REGIÓN. 2013" xr:uid="{E1CFDFC8-2705-4E9F-B36A-86A83DB0D15F}"/>
    <hyperlink ref="A8" location="'3.5-05'!A1" display="CUADRO 3.5-05: NÚMERO DE OBRAS NACIONALES INSCRITAS EN LA SOCIEDAD CHILENA DEL DERECHO DE AUTOR (SCD). 2013" xr:uid="{F47C35FE-3B23-4AA0-BFEF-40300F662950}"/>
    <hyperlink ref="A9" location="'3.5-06'!A1" display="CUADRO 3.5-06: NÚMERO DE AUTORES ASOCIADOS A LA SOCIEDAD CHILENA DEL DERECHO DE AUTOR (SCD) Y NÚMERO DE AUTORES GENERADORES DE DERECHOS POR SEXO. 2013" xr:uid="{06F48EDB-9922-48A4-A7C0-4CF2CD3B8E54}"/>
    <hyperlink ref="A10" location="'3.5-07'!A1" display="CUADRO 3.5-07 NÚMERO Y PORCENTAJE DE ASOCIADOS (PERSONAS NATURALES) A LA SOCIEDAD CHILENA DEL DERECHO DE AUTOR (SCD), SEGÚN REGIÓN. 2013" xr:uid="{694E834E-5012-440A-800B-321BCCC5A2FD}"/>
    <hyperlink ref="A11" location="'3.5-08'!A1" display="CUADRO 3.5-08: NÚMERO Y PORCENTAJE DE ASOCIADOS A LA SOCIEDAD CHILENA DEL DERECHO DE AUTOR (SCD), SEGÚN TIPO DE ARTISTA. 2013" xr:uid="{D3FA7ACB-11ED-4B77-9AED-4932E390786D}"/>
    <hyperlink ref="A12" location="'3.5-09'!A1" display="CUADRO 3.5-09: NÚMERO DE SOCIOS QUE CUENTAN CON BENEFICIOS SOCIALES DE LA SOCIEDAD CHILENA DEL DERECHO DE AUTOR (SCD) POR AÑO Y TIPO DE BENEFICIO. 2013" xr:uid="{447C07F6-95B5-43CF-A123-C1CB304BAFBE}"/>
    <hyperlink ref="A13" location="'3.5-10'!A1" display="CUADRO 3.5-10: NÚMERO Y PORCENTAJE DE DISCOS NACIONALES POR AÑO, SEGÚN TIPO DE PRODUCCIÓN, GÉNERO, APOYO DEL FONDO DE LA MÚSICA, MES DE PRODUCCIÓN, FORMATO, TIPO DE DISCO, REPERTORIO Y TRAYECTORIA. 2012-2013" xr:uid="{69E43A3B-1FA6-4E6E-80B9-436EFA816266}"/>
    <hyperlink ref="A14" location="'3.5-11'!A1" display="CUADRO 3.5-11: MONTOS DE RECAUDACIÓN DE DERECHOS DE EJECUCIÓN AUTOR POR LA SOCIEDAD CHILENA DEL DERECHO DE AUTOR (SCD), SEGÚN MEDIO DE EMISIÓN. 2009-2013" xr:uid="{19CEE501-F2A2-4A7D-9826-1430CF133FCE}"/>
    <hyperlink ref="A15" location="'3.5-12'!A1" display="CUADRO 3.5-12: MONTOS DE DISTRIBUCIÓN DE DERECHOS DE EJECUCIÓN AUTOR POR LA SOCIEDAD CHILENA DEL DERECHO DE AUTOR (SCD). 2009-2013" xr:uid="{9FB34B44-304C-4EA6-A032-959F43BEB45E}"/>
    <hyperlink ref="A16" location="'3.5-13'!A1" display="CUADRO 3.5-13: MONTOS DE RECAUDACIÓN Y DISTRIBUCIÓN DE DERECHOS FONOMECÁNICOS POR LA SOCIEDAD CHILENA DEL DERECHO DE AUTOR (SCD). 2010-2013" xr:uid="{0AF132CB-EABD-4064-B5B3-CDF39960A312}"/>
    <hyperlink ref="A17" location="'3.5-14'!A1" display="CUADRO 3.5-14: MONTOS DE RECAUDACIÓN DE DERECHOS DE EJECUCIÓN CONEXOS POR LA SOCIEDAD CHILENA DEL DERECHO DE AUTOR (SCD), SEGÚN MEDIO DE EMISIÓN. 2009-2013" xr:uid="{4AC8805F-F3B5-47F3-A5D2-FCB5AFE8D49D}"/>
    <hyperlink ref="A18" location="'3.5-15'!A1" display="CUADRO 3.5-15: MONTOS DE DISTRIBUCIÓN DE DERECHOS DE EJECUCIÓN CONEXOS, POR LA SOCIEDAD CHILENA DEL DERECHO DE AUTOR (SCD). 2009-2013" xr:uid="{335594C9-77B0-4459-89A9-462567F80B82}"/>
    <hyperlink ref="A19" location="'3.5-16'!A1" display="CUADRO 3.5-16: DERECHOS CONEXOS DE EJECUCIÓN DE LA SOCIEDAD DE PRODUCTORES FONOGRÁFICOS DE CHILE A.G. (PROFOVI): RECAUDACIÓN Y DISTRIBUCIÓN, SEGÚN RUBRO Y SELLO. 2012-2013" xr:uid="{C541FEDC-DC23-4B4E-B63B-1308F1CCFF30}"/>
    <hyperlink ref="A20" location="'3.5-17'!A1" display="CUADRO 3.5-17: DERECHOS DE REPRODUCCIÓN DE LA SOCIEDAD DE PRODUCTORES FONOGRÁFICOS DE CHILE A.G. (PROFOVI): RECAUDACIÓN Y DISTRIBUCIÓN, SEGÚN SELLO. 2012-2013" xr:uid="{9F5F6F4A-1EC8-4454-8854-87C7BF5D3A9A}"/>
    <hyperlink ref="A21" location="'3.5-18'!A1" display="CUADRO 3.5-18: VENTAS DE MATERIAL DISCOGRÁFICO Y UNIDADES VENDIDAS, SEGÚN FORMATO. 2009-2013" xr:uid="{E894AB33-9281-4743-945B-869226ACCD0A}"/>
    <hyperlink ref="A22" location="'3.5-19'!A1" display="CUADRO 3.5-19 VENTAS DE MATERIAL DISCOGRÁFICO Y UNIDADES VENDIDAS, SEGÚN REPERTORIO. 2009-2013" xr:uid="{FFAA9A65-7F64-4B92-8141-18F5F4E9457C}"/>
    <hyperlink ref="A23" location="'3.5-20'!A1" display="CUADRO 3.5-20: NÚMERO DE FUNCIONES DE ESPECTÁCULOS MUSICALES, POR TIPO DE ESPECTÁCULO, SEGÚN REGIÓN. 2013" xr:uid="{EFB8848E-E025-4D51-B24B-75EA372080BF}"/>
    <hyperlink ref="A24" location="'3.5-21'!A1" display="CUADRO 3.5-21: NÚMERO DE FUNCIONES DE ESPECTÁCULOS MUSICALES, POR TIPO DE ESPECTÁCULO. 2009-2013" xr:uid="{8F96DF0F-3492-4641-BD98-5365406AFBBF}"/>
    <hyperlink ref="A25" location="'3.5-22'!A1" display="CUADRO 3.5-22: NÚMERO DE ESPECTÁCULOS EMPADRONADOS POR LA SOCIEDAD CHILENA DEL DERECHO DE AUTOR (SCD), SEGÚN MODALIDAD DE ACCESO. 2013/a" xr:uid="{92531F6D-2321-4D02-BF6D-417FE37C7B11}"/>
    <hyperlink ref="A26" location="'3.5-23'!A1" display="CUADRO 3.5-23: NÚMERO DE USUARIOS SEGÚN TIPO DE ESTABLECIMIENTO. 2013/1" xr:uid="{BE189E29-359F-40A4-8A8F-63C59E109196}"/>
    <hyperlink ref="A27" location="'3.5-24'!A1" display="CUADRO 3.5-24: NÚMERO DE ASISTENTES A ESPECTÁCULOS MUSICALES, PAGANDO ENTRADA POR TIPO DE ESPECTÁCULO, SEGÚN REGIÓN. 2013" xr:uid="{06935799-A371-4A4A-A34F-54D6AD5F2279}"/>
    <hyperlink ref="A28" location="'3.5-25'!A1" display="CUADRO 3.5-25: NÚMERO DE ASISTENTES A ESPECTÁCULOS MUSICALES, PAGANDO ENTRADA POR TIPO DE ESPECTÁCULO. 2009-2013" xr:uid="{3C853A5E-F3DC-4926-A873-D054B3C72A78}"/>
    <hyperlink ref="A29" location="'3.5-26'!A1" display="CUADRO 3.5-26: NÚMERO DE ASISTENTES A ESPECTÁCULOS MUSICALES CON ENTRADA GRATUITA POR TIPO DE ESPECTÁCULO, SEGÚN REGIÓN. 2013" xr:uid="{37C0003D-2D47-482D-BBE6-DD77D5A960BC}"/>
    <hyperlink ref="A30" location="'3.5-27'!A1" display="CUADRO 3.5-27: NÚMERO DE ASISTENTES A ESPECTÁCULOS MUSICALES CON ENTRADA GRATUITA, POR TIPO DE ESPECTÁCULO. 2009-2013" xr:uid="{84B79DA6-13D6-4D8F-83EF-25D5E49F7158}"/>
    <hyperlink ref="A31" location="'3.5-28'!A1" display="CUADRO 3.5-28: NÚMERO DE ASISTENTES A ESPECTÁCULOS MUSICALES, CON ENTRADA GRATUITA Y PAGADA POR MES, SEGÚN REGIÓN. 2013" xr:uid="{FA6E8973-3D2C-4231-9111-5E024B7D0D82}"/>
    <hyperlink ref="A32" location="'3.5-29'!A1" display="CUADRO 3.5-29: LISTADO DE CANCIONES NACIONALES MÁS ESCUCHADAS, SEGÚN REGISTROS DE LA SOCIEDAD CHILENA DEL DERECHO DE AUTOR (SCD). 2013" xr:uid="{2627FB21-EA08-42F6-965A-49AE7691EA77}"/>
  </hyperlinks>
  <pageMargins left="0.7" right="0.7" top="0.75" bottom="0.75" header="0.3" footer="0.3"/>
  <pageSetup paperSize="14"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48E73-38F8-4929-96AD-FE449A95E4E0}">
  <sheetPr codeName="Hoja16"/>
  <dimension ref="A2:E60"/>
  <sheetViews>
    <sheetView zoomScale="120" zoomScaleNormal="120" workbookViewId="0">
      <selection activeCell="G22" sqref="G22"/>
    </sheetView>
  </sheetViews>
  <sheetFormatPr baseColWidth="10" defaultColWidth="11.44140625" defaultRowHeight="10.199999999999999" x14ac:dyDescent="0.2"/>
  <cols>
    <col min="1" max="1" width="17.44140625" style="62" customWidth="1"/>
    <col min="2" max="2" width="14.109375" style="62" customWidth="1"/>
    <col min="3" max="3" width="20.6640625" style="62" customWidth="1"/>
    <col min="4" max="4" width="19" style="62" customWidth="1"/>
    <col min="5" max="5" width="11.33203125" style="62" customWidth="1"/>
    <col min="6" max="16384" width="11.44140625" style="62"/>
  </cols>
  <sheetData>
    <row r="2" spans="1:4" ht="25.5" customHeight="1" x14ac:dyDescent="0.2">
      <c r="A2" s="157" t="s">
        <v>202</v>
      </c>
      <c r="B2" s="157"/>
      <c r="C2" s="157"/>
      <c r="D2" s="157"/>
    </row>
    <row r="3" spans="1:4" x14ac:dyDescent="0.2">
      <c r="A3" s="178"/>
      <c r="B3" s="178"/>
      <c r="C3" s="178"/>
      <c r="D3" s="178"/>
    </row>
    <row r="4" spans="1:4" ht="50.25" customHeight="1" x14ac:dyDescent="0.2">
      <c r="A4" s="72" t="s">
        <v>0</v>
      </c>
      <c r="B4" s="170" t="s">
        <v>287</v>
      </c>
      <c r="C4" s="170" t="s">
        <v>288</v>
      </c>
      <c r="D4" s="170" t="s">
        <v>289</v>
      </c>
    </row>
    <row r="5" spans="1:4" x14ac:dyDescent="0.2">
      <c r="A5" s="87" t="s">
        <v>3</v>
      </c>
      <c r="B5" s="179">
        <f>SUM(B6:B20)</f>
        <v>13723</v>
      </c>
      <c r="C5" s="179">
        <f>SUM(C6:C20)</f>
        <v>115772.33333333305</v>
      </c>
      <c r="D5" s="179">
        <v>531892.87941914203</v>
      </c>
    </row>
    <row r="6" spans="1:4" x14ac:dyDescent="0.2">
      <c r="A6" s="180" t="s">
        <v>4</v>
      </c>
      <c r="B6" s="181">
        <v>140</v>
      </c>
      <c r="C6" s="181">
        <v>266.9166666666668</v>
      </c>
      <c r="D6" s="181">
        <v>276843.0090144907</v>
      </c>
    </row>
    <row r="7" spans="1:4" x14ac:dyDescent="0.2">
      <c r="A7" s="180" t="s">
        <v>5</v>
      </c>
      <c r="B7" s="181">
        <v>187</v>
      </c>
      <c r="C7" s="181">
        <v>472.24999999999994</v>
      </c>
      <c r="D7" s="181">
        <v>398930.16684601974</v>
      </c>
    </row>
    <row r="8" spans="1:4" x14ac:dyDescent="0.2">
      <c r="A8" s="180" t="s">
        <v>6</v>
      </c>
      <c r="B8" s="181">
        <v>299</v>
      </c>
      <c r="C8" s="181">
        <v>1222.1666666666667</v>
      </c>
      <c r="D8" s="181">
        <v>542546.44226548553</v>
      </c>
    </row>
    <row r="9" spans="1:4" x14ac:dyDescent="0.2">
      <c r="A9" s="180" t="s">
        <v>7</v>
      </c>
      <c r="B9" s="181">
        <v>148</v>
      </c>
      <c r="C9" s="181">
        <v>314.25</v>
      </c>
      <c r="D9" s="181">
        <v>373267.40075294237</v>
      </c>
    </row>
    <row r="10" spans="1:4" x14ac:dyDescent="0.2">
      <c r="A10" s="180" t="s">
        <v>8</v>
      </c>
      <c r="B10" s="181">
        <v>332</v>
      </c>
      <c r="C10" s="181">
        <v>1127.9166666666672</v>
      </c>
      <c r="D10" s="181">
        <v>496871.45673177193</v>
      </c>
    </row>
    <row r="11" spans="1:4" x14ac:dyDescent="0.2">
      <c r="A11" s="180" t="s">
        <v>9</v>
      </c>
      <c r="B11" s="181">
        <v>1088</v>
      </c>
      <c r="C11" s="181">
        <v>3428.0000000000032</v>
      </c>
      <c r="D11" s="181">
        <v>405719.41087429231</v>
      </c>
    </row>
    <row r="12" spans="1:4" x14ac:dyDescent="0.2">
      <c r="A12" s="180" t="s">
        <v>10</v>
      </c>
      <c r="B12" s="181">
        <v>8361</v>
      </c>
      <c r="C12" s="181">
        <v>97779.66666666638</v>
      </c>
      <c r="D12" s="181">
        <v>554507.32525450492</v>
      </c>
    </row>
    <row r="13" spans="1:4" x14ac:dyDescent="0.2">
      <c r="A13" s="180" t="s">
        <v>11</v>
      </c>
      <c r="B13" s="181">
        <v>437</v>
      </c>
      <c r="C13" s="181">
        <v>1215.0833333333328</v>
      </c>
      <c r="D13" s="181">
        <v>392114.05140928278</v>
      </c>
    </row>
    <row r="14" spans="1:4" x14ac:dyDescent="0.2">
      <c r="A14" s="180" t="s">
        <v>12</v>
      </c>
      <c r="B14" s="181">
        <v>491</v>
      </c>
      <c r="C14" s="181">
        <v>1363.1666666666681</v>
      </c>
      <c r="D14" s="181">
        <v>333853.62035071407</v>
      </c>
    </row>
    <row r="15" spans="1:4" x14ac:dyDescent="0.2">
      <c r="A15" s="180" t="s">
        <v>13</v>
      </c>
      <c r="B15" s="181">
        <v>919</v>
      </c>
      <c r="C15" s="181">
        <v>4440.0833333333294</v>
      </c>
      <c r="D15" s="181">
        <v>404744.03477789136</v>
      </c>
    </row>
    <row r="16" spans="1:4" x14ac:dyDescent="0.2">
      <c r="A16" s="180" t="s">
        <v>14</v>
      </c>
      <c r="B16" s="181">
        <v>504</v>
      </c>
      <c r="C16" s="181">
        <v>1642.9166666666654</v>
      </c>
      <c r="D16" s="181">
        <v>385860.23010008095</v>
      </c>
    </row>
    <row r="17" spans="1:5" x14ac:dyDescent="0.2">
      <c r="A17" s="180" t="s">
        <v>15</v>
      </c>
      <c r="B17" s="181">
        <v>173</v>
      </c>
      <c r="C17" s="181">
        <v>602.16666666666652</v>
      </c>
      <c r="D17" s="181">
        <v>362788.12215346028</v>
      </c>
    </row>
    <row r="18" spans="1:5" x14ac:dyDescent="0.2">
      <c r="A18" s="180" t="s">
        <v>16</v>
      </c>
      <c r="B18" s="181">
        <v>428</v>
      </c>
      <c r="C18" s="181">
        <v>1138.7499999999998</v>
      </c>
      <c r="D18" s="181">
        <v>366966.04079321388</v>
      </c>
    </row>
    <row r="19" spans="1:5" x14ac:dyDescent="0.2">
      <c r="A19" s="180" t="s">
        <v>17</v>
      </c>
      <c r="B19" s="181">
        <v>65</v>
      </c>
      <c r="C19" s="181">
        <v>162.16666666666671</v>
      </c>
      <c r="D19" s="181">
        <v>340227.11914689024</v>
      </c>
    </row>
    <row r="20" spans="1:5" x14ac:dyDescent="0.2">
      <c r="A20" s="180" t="s">
        <v>18</v>
      </c>
      <c r="B20" s="181">
        <v>151</v>
      </c>
      <c r="C20" s="181">
        <v>596.83333333333314</v>
      </c>
      <c r="D20" s="181">
        <v>520973.77357751376</v>
      </c>
    </row>
    <row r="22" spans="1:5" ht="75.75" customHeight="1" x14ac:dyDescent="0.2">
      <c r="A22" s="174" t="s">
        <v>290</v>
      </c>
      <c r="B22" s="174"/>
      <c r="C22" s="174"/>
      <c r="D22" s="174"/>
      <c r="E22" s="94"/>
    </row>
    <row r="23" spans="1:5" ht="65.25" customHeight="1" x14ac:dyDescent="0.2">
      <c r="A23" s="174" t="s">
        <v>291</v>
      </c>
      <c r="B23" s="174"/>
      <c r="C23" s="174"/>
      <c r="D23" s="174"/>
      <c r="E23" s="94"/>
    </row>
    <row r="24" spans="1:5" ht="45" customHeight="1" x14ac:dyDescent="0.2">
      <c r="A24" s="174" t="s">
        <v>292</v>
      </c>
      <c r="B24" s="174"/>
      <c r="C24" s="174"/>
      <c r="D24" s="174"/>
    </row>
    <row r="45" spans="1:1" x14ac:dyDescent="0.2">
      <c r="A45" s="78"/>
    </row>
    <row r="46" spans="1:1" x14ac:dyDescent="0.2">
      <c r="A46" s="78"/>
    </row>
    <row r="47" spans="1:1" x14ac:dyDescent="0.2">
      <c r="A47" s="78"/>
    </row>
    <row r="48" spans="1:1" x14ac:dyDescent="0.2">
      <c r="A48" s="78"/>
    </row>
    <row r="49" spans="1:1" x14ac:dyDescent="0.2">
      <c r="A49" s="78"/>
    </row>
    <row r="50" spans="1:1" x14ac:dyDescent="0.2">
      <c r="A50" s="78"/>
    </row>
    <row r="51" spans="1:1" x14ac:dyDescent="0.2">
      <c r="A51" s="78"/>
    </row>
    <row r="52" spans="1:1" x14ac:dyDescent="0.2">
      <c r="A52" s="78"/>
    </row>
    <row r="54" spans="1:1" x14ac:dyDescent="0.2">
      <c r="A54" s="78"/>
    </row>
    <row r="55" spans="1:1" x14ac:dyDescent="0.2">
      <c r="A55" s="78"/>
    </row>
    <row r="56" spans="1:1" x14ac:dyDescent="0.2">
      <c r="A56" s="78"/>
    </row>
    <row r="57" spans="1:1" x14ac:dyDescent="0.2">
      <c r="A57" s="78"/>
    </row>
    <row r="58" spans="1:1" x14ac:dyDescent="0.2">
      <c r="A58" s="78"/>
    </row>
    <row r="59" spans="1:1" x14ac:dyDescent="0.2">
      <c r="A59" s="78"/>
    </row>
    <row r="60" spans="1:1" x14ac:dyDescent="0.2">
      <c r="A60" s="78"/>
    </row>
  </sheetData>
  <mergeCells count="4">
    <mergeCell ref="A2:D2"/>
    <mergeCell ref="A22:D22"/>
    <mergeCell ref="A23:D23"/>
    <mergeCell ref="A24:D24"/>
  </mergeCells>
  <pageMargins left="0.70866141732283472" right="0.70866141732283472" top="0.74803149606299213" bottom="0.74803149606299213" header="0.31496062992125984" footer="0.31496062992125984"/>
  <pageSetup paperSize="14" orientation="portrait" verticalDpi="599"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E35B1F-03A9-40CC-90FE-5B1728F89D6E}">
  <sheetPr codeName="Hoja160"/>
  <dimension ref="A1:F7"/>
  <sheetViews>
    <sheetView zoomScaleNormal="100" workbookViewId="0">
      <selection activeCell="D42" sqref="D42"/>
    </sheetView>
  </sheetViews>
  <sheetFormatPr baseColWidth="10" defaultRowHeight="13.2" x14ac:dyDescent="0.25"/>
  <cols>
    <col min="1" max="2" width="20" customWidth="1"/>
  </cols>
  <sheetData>
    <row r="1" spans="1:6" s="2" customFormat="1" ht="10.199999999999999" x14ac:dyDescent="0.2">
      <c r="A1" s="691"/>
    </row>
    <row r="2" spans="1:6" s="2" customFormat="1" ht="24" customHeight="1" x14ac:dyDescent="0.2">
      <c r="A2" s="891" t="s">
        <v>2235</v>
      </c>
      <c r="B2" s="891"/>
    </row>
    <row r="3" spans="1:6" s="2" customFormat="1" ht="10.199999999999999" x14ac:dyDescent="0.2"/>
    <row r="4" spans="1:6" s="692" customFormat="1" ht="18" customHeight="1" x14ac:dyDescent="0.25">
      <c r="A4" s="621" t="s">
        <v>2264</v>
      </c>
      <c r="B4" s="621">
        <v>2013</v>
      </c>
    </row>
    <row r="5" spans="1:6" s="2" customFormat="1" ht="10.199999999999999" x14ac:dyDescent="0.2">
      <c r="A5" s="624" t="s">
        <v>3</v>
      </c>
      <c r="B5" s="2">
        <v>136</v>
      </c>
      <c r="D5" s="892"/>
      <c r="E5" s="13"/>
      <c r="F5" s="13"/>
    </row>
    <row r="6" spans="1:6" s="2" customFormat="1" ht="10.199999999999999" x14ac:dyDescent="0.2">
      <c r="A6" s="309"/>
      <c r="D6" s="13"/>
      <c r="E6" s="13"/>
      <c r="F6" s="13"/>
    </row>
    <row r="7" spans="1:6" s="2" customFormat="1" ht="10.199999999999999" x14ac:dyDescent="0.2">
      <c r="A7" s="652" t="s">
        <v>2265</v>
      </c>
      <c r="B7" s="652"/>
      <c r="D7" s="24"/>
      <c r="E7" s="24"/>
    </row>
  </sheetData>
  <mergeCells count="2">
    <mergeCell ref="A2:B2"/>
    <mergeCell ref="A7:B7"/>
  </mergeCells>
  <pageMargins left="0.7" right="0.7" top="0.75" bottom="0.75" header="0.3" footer="0.3"/>
  <pageSetup paperSize="14" orientation="portrait"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2744A3-DA7B-471C-983D-1A35052F6B7B}">
  <sheetPr codeName="Hoja161"/>
  <dimension ref="A1:G9"/>
  <sheetViews>
    <sheetView zoomScaleNormal="100" workbookViewId="0">
      <selection activeCell="D42" sqref="D42"/>
    </sheetView>
  </sheetViews>
  <sheetFormatPr baseColWidth="10" defaultRowHeight="13.2" x14ac:dyDescent="0.25"/>
  <cols>
    <col min="1" max="1" width="19.33203125" customWidth="1"/>
    <col min="4" max="4" width="14.44140625" customWidth="1"/>
  </cols>
  <sheetData>
    <row r="1" spans="1:7" ht="15.6" x14ac:dyDescent="0.25">
      <c r="A1" s="687"/>
    </row>
    <row r="2" spans="1:7" ht="41.25" customHeight="1" x14ac:dyDescent="0.25">
      <c r="A2" s="747" t="s">
        <v>2236</v>
      </c>
      <c r="B2" s="747"/>
      <c r="C2" s="747"/>
      <c r="D2" s="747"/>
      <c r="E2" s="893"/>
      <c r="F2" s="893"/>
      <c r="G2" s="141"/>
    </row>
    <row r="3" spans="1:7" x14ac:dyDescent="0.25">
      <c r="A3" s="141"/>
      <c r="B3" s="141"/>
      <c r="C3" s="894"/>
      <c r="D3" s="894"/>
      <c r="E3" s="141"/>
      <c r="F3" s="141"/>
      <c r="G3" s="141"/>
    </row>
    <row r="4" spans="1:7" x14ac:dyDescent="0.25">
      <c r="A4" s="114" t="s">
        <v>2266</v>
      </c>
      <c r="B4" s="895" t="s">
        <v>98</v>
      </c>
      <c r="C4" s="896"/>
      <c r="D4" s="897"/>
      <c r="E4" s="141"/>
      <c r="F4" s="141"/>
      <c r="G4" s="141"/>
    </row>
    <row r="5" spans="1:7" x14ac:dyDescent="0.25">
      <c r="A5" s="115"/>
      <c r="B5" s="453">
        <v>2011</v>
      </c>
      <c r="C5" s="453">
        <v>2012</v>
      </c>
      <c r="D5" s="453">
        <v>2013</v>
      </c>
      <c r="E5" s="141"/>
      <c r="F5" s="141"/>
      <c r="G5" s="141"/>
    </row>
    <row r="6" spans="1:7" x14ac:dyDescent="0.25">
      <c r="A6" s="898" t="s">
        <v>3</v>
      </c>
      <c r="B6" s="453">
        <v>7</v>
      </c>
      <c r="C6" s="453">
        <v>8</v>
      </c>
      <c r="D6" s="453">
        <v>7</v>
      </c>
      <c r="E6" s="141"/>
      <c r="F6" s="141"/>
      <c r="G6" s="141"/>
    </row>
    <row r="7" spans="1:7" x14ac:dyDescent="0.25">
      <c r="A7" s="141"/>
      <c r="B7" s="141"/>
      <c r="C7" s="894"/>
      <c r="D7" s="894"/>
      <c r="E7" s="141"/>
      <c r="F7" s="141"/>
      <c r="G7" s="141"/>
    </row>
    <row r="8" spans="1:7" ht="23.25" customHeight="1" x14ac:dyDescent="0.25">
      <c r="A8" s="461" t="s">
        <v>2267</v>
      </c>
      <c r="B8" s="461"/>
      <c r="C8" s="461"/>
      <c r="D8" s="461"/>
      <c r="E8" s="722"/>
      <c r="F8" s="722"/>
      <c r="G8" s="141"/>
    </row>
    <row r="9" spans="1:7" x14ac:dyDescent="0.25">
      <c r="A9" s="899"/>
      <c r="B9" s="899"/>
      <c r="C9" s="899"/>
      <c r="D9" s="899"/>
      <c r="E9" s="899"/>
      <c r="F9" s="899"/>
      <c r="G9" s="141"/>
    </row>
  </sheetData>
  <mergeCells count="4">
    <mergeCell ref="A2:D2"/>
    <mergeCell ref="A4:A5"/>
    <mergeCell ref="B4:D4"/>
    <mergeCell ref="A8:D8"/>
  </mergeCells>
  <pageMargins left="0.70866141732283472" right="0.70866141732283472" top="0.74803149606299213" bottom="0.74803149606299213" header="0.31496062992125984" footer="0.31496062992125984"/>
  <pageSetup paperSize="14" scale="95" orientation="landscape"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C1204-5BAA-4A8A-BC12-CAB0449CCAAB}">
  <sheetPr codeName="Hoja162"/>
  <dimension ref="A1:G9"/>
  <sheetViews>
    <sheetView zoomScaleNormal="100" workbookViewId="0">
      <selection activeCell="D42" sqref="D42"/>
    </sheetView>
  </sheetViews>
  <sheetFormatPr baseColWidth="10" defaultRowHeight="13.2" x14ac:dyDescent="0.25"/>
  <cols>
    <col min="1" max="1" width="24.88671875" customWidth="1"/>
  </cols>
  <sheetData>
    <row r="1" spans="1:7" ht="15.6" x14ac:dyDescent="0.25">
      <c r="A1" s="687"/>
    </row>
    <row r="2" spans="1:7" ht="25.5" customHeight="1" x14ac:dyDescent="0.25">
      <c r="A2" s="900" t="s">
        <v>2237</v>
      </c>
      <c r="B2" s="900"/>
      <c r="C2" s="900"/>
      <c r="D2" s="900"/>
      <c r="E2" s="736"/>
      <c r="F2" s="736"/>
      <c r="G2" s="141"/>
    </row>
    <row r="3" spans="1:7" x14ac:dyDescent="0.25">
      <c r="A3" s="141"/>
      <c r="B3" s="141"/>
      <c r="C3" s="141"/>
      <c r="D3" s="141"/>
      <c r="E3" s="141"/>
      <c r="F3" s="141"/>
      <c r="G3" s="141"/>
    </row>
    <row r="4" spans="1:7" x14ac:dyDescent="0.25">
      <c r="A4" s="114" t="s">
        <v>2266</v>
      </c>
      <c r="B4" s="768" t="s">
        <v>98</v>
      </c>
      <c r="C4" s="852"/>
      <c r="D4" s="769"/>
      <c r="E4" s="141"/>
      <c r="F4" s="141"/>
      <c r="G4" s="141"/>
    </row>
    <row r="5" spans="1:7" x14ac:dyDescent="0.25">
      <c r="A5" s="115"/>
      <c r="B5" s="453">
        <v>2011</v>
      </c>
      <c r="C5" s="453">
        <v>2012</v>
      </c>
      <c r="D5" s="453">
        <v>2013</v>
      </c>
      <c r="E5" s="141"/>
      <c r="F5" s="141"/>
      <c r="G5" s="141"/>
    </row>
    <row r="6" spans="1:7" x14ac:dyDescent="0.25">
      <c r="A6" s="454" t="s">
        <v>3</v>
      </c>
      <c r="B6" s="453">
        <v>140</v>
      </c>
      <c r="C6" s="453">
        <v>125</v>
      </c>
      <c r="D6" s="453">
        <v>115</v>
      </c>
      <c r="E6" s="141"/>
      <c r="F6" s="141"/>
      <c r="G6" s="141"/>
    </row>
    <row r="7" spans="1:7" x14ac:dyDescent="0.25">
      <c r="A7" s="141"/>
      <c r="B7" s="141"/>
      <c r="C7" s="141"/>
      <c r="D7" s="141"/>
      <c r="E7" s="141"/>
      <c r="F7" s="141"/>
      <c r="G7" s="141"/>
    </row>
    <row r="8" spans="1:7" ht="22.5" customHeight="1" x14ac:dyDescent="0.25">
      <c r="A8" s="462" t="s">
        <v>2267</v>
      </c>
      <c r="B8" s="462"/>
      <c r="C8" s="462"/>
      <c r="D8" s="462"/>
      <c r="E8" s="722"/>
      <c r="F8" s="722"/>
      <c r="G8" s="141"/>
    </row>
    <row r="9" spans="1:7" x14ac:dyDescent="0.25">
      <c r="A9" s="141"/>
      <c r="B9" s="141"/>
      <c r="C9" s="141"/>
      <c r="D9" s="141"/>
      <c r="E9" s="141"/>
      <c r="F9" s="141"/>
      <c r="G9" s="141"/>
    </row>
  </sheetData>
  <mergeCells count="4">
    <mergeCell ref="A2:D2"/>
    <mergeCell ref="A4:A5"/>
    <mergeCell ref="B4:D4"/>
    <mergeCell ref="A8:D8"/>
  </mergeCells>
  <pageMargins left="0.7" right="0.7" top="0.75" bottom="0.75" header="0.3" footer="0.3"/>
  <pageSetup paperSize="14" orientation="portrait"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4ED0A-52CF-4264-AB56-022E7BAC6D24}">
  <sheetPr codeName="Hoja163"/>
  <dimension ref="A1:N30"/>
  <sheetViews>
    <sheetView workbookViewId="0">
      <selection activeCell="D42" sqref="D42"/>
    </sheetView>
  </sheetViews>
  <sheetFormatPr baseColWidth="10" defaultRowHeight="13.2" x14ac:dyDescent="0.25"/>
  <cols>
    <col min="1" max="1" width="19.44140625" customWidth="1"/>
  </cols>
  <sheetData>
    <row r="1" spans="1:14" ht="15.6" x14ac:dyDescent="0.25">
      <c r="A1" s="687"/>
    </row>
    <row r="2" spans="1:14" s="141" customFormat="1" ht="30.75" customHeight="1" x14ac:dyDescent="0.2">
      <c r="A2" s="747" t="s">
        <v>2238</v>
      </c>
      <c r="B2" s="747"/>
      <c r="C2" s="747"/>
      <c r="D2" s="747"/>
      <c r="E2" s="747"/>
      <c r="F2" s="747"/>
      <c r="G2" s="747"/>
      <c r="J2" s="722"/>
      <c r="K2" s="722"/>
      <c r="L2" s="722"/>
      <c r="M2" s="722"/>
    </row>
    <row r="3" spans="1:14" s="141" customFormat="1" ht="10.199999999999999" x14ac:dyDescent="0.2">
      <c r="A3" s="706"/>
      <c r="J3" s="901"/>
      <c r="K3" s="901"/>
      <c r="L3" s="901"/>
      <c r="M3" s="901"/>
    </row>
    <row r="4" spans="1:14" s="141" customFormat="1" ht="10.199999999999999" x14ac:dyDescent="0.2">
      <c r="A4" s="706"/>
      <c r="J4" s="901"/>
      <c r="K4" s="901"/>
      <c r="L4" s="901"/>
      <c r="M4" s="901"/>
    </row>
    <row r="5" spans="1:14" s="141" customFormat="1" ht="24" customHeight="1" x14ac:dyDescent="0.2">
      <c r="A5" s="454" t="s">
        <v>0</v>
      </c>
      <c r="B5" s="454" t="s">
        <v>42</v>
      </c>
      <c r="C5" s="454" t="s">
        <v>801</v>
      </c>
      <c r="D5" s="454" t="s">
        <v>122</v>
      </c>
      <c r="E5" s="454" t="s">
        <v>801</v>
      </c>
      <c r="F5" s="454" t="s">
        <v>123</v>
      </c>
      <c r="G5" s="454" t="s">
        <v>801</v>
      </c>
      <c r="J5" s="722"/>
      <c r="M5" s="722"/>
      <c r="N5" s="722"/>
    </row>
    <row r="6" spans="1:14" s="141" customFormat="1" ht="10.199999999999999" x14ac:dyDescent="0.2">
      <c r="A6" s="712" t="s">
        <v>3</v>
      </c>
      <c r="B6" s="811">
        <f>SUM(B7:B22)</f>
        <v>7876</v>
      </c>
      <c r="C6" s="902">
        <f t="shared" ref="C6:G6" si="0">SUM(C7:C22)</f>
        <v>1.0000000000000002</v>
      </c>
      <c r="D6" s="753">
        <f>SUM(D7:D22)</f>
        <v>6514</v>
      </c>
      <c r="E6" s="902">
        <f t="shared" si="0"/>
        <v>1</v>
      </c>
      <c r="F6" s="753">
        <f>SUM(F7:F22)</f>
        <v>981</v>
      </c>
      <c r="G6" s="902">
        <f t="shared" si="0"/>
        <v>0.99999999999999989</v>
      </c>
      <c r="I6" s="288"/>
      <c r="J6" s="903"/>
      <c r="K6" s="903"/>
      <c r="L6" s="903"/>
      <c r="M6" s="904"/>
    </row>
    <row r="7" spans="1:14" s="141" customFormat="1" ht="12" x14ac:dyDescent="0.2">
      <c r="A7" s="905" t="s">
        <v>2268</v>
      </c>
      <c r="B7" s="134" t="s">
        <v>193</v>
      </c>
      <c r="C7" s="134" t="s">
        <v>193</v>
      </c>
      <c r="D7" s="134" t="s">
        <v>193</v>
      </c>
      <c r="E7" s="134" t="s">
        <v>193</v>
      </c>
      <c r="F7" s="134" t="s">
        <v>193</v>
      </c>
      <c r="G7" s="134" t="s">
        <v>193</v>
      </c>
      <c r="I7" s="288"/>
      <c r="J7" s="903"/>
      <c r="K7" s="903"/>
      <c r="L7" s="903"/>
      <c r="M7" s="904"/>
    </row>
    <row r="8" spans="1:14" s="141" customFormat="1" ht="10.199999999999999" x14ac:dyDescent="0.2">
      <c r="A8" s="905" t="s">
        <v>5</v>
      </c>
      <c r="B8" s="131">
        <f t="shared" ref="B8:B17" si="1">+D8+F8</f>
        <v>79</v>
      </c>
      <c r="C8" s="906">
        <f t="shared" ref="C8:C17" si="2">+B8/$B$6</f>
        <v>1.0030472320975115E-2</v>
      </c>
      <c r="D8" s="903">
        <v>74</v>
      </c>
      <c r="E8" s="906">
        <f t="shared" ref="E8:E17" si="3">+D8/$D$6</f>
        <v>1.1360147374884864E-2</v>
      </c>
      <c r="F8" s="903">
        <v>5</v>
      </c>
      <c r="G8" s="906">
        <f t="shared" ref="G8:G17" si="4">+F8/$F$6</f>
        <v>5.0968399592252805E-3</v>
      </c>
      <c r="I8" s="288"/>
      <c r="J8" s="903"/>
      <c r="K8" s="903"/>
      <c r="L8" s="903"/>
      <c r="M8" s="904"/>
    </row>
    <row r="9" spans="1:14" s="141" customFormat="1" ht="10.199999999999999" x14ac:dyDescent="0.2">
      <c r="A9" s="905" t="s">
        <v>6</v>
      </c>
      <c r="B9" s="131">
        <f t="shared" si="1"/>
        <v>40</v>
      </c>
      <c r="C9" s="906">
        <f t="shared" si="2"/>
        <v>5.0787201625190452E-3</v>
      </c>
      <c r="D9" s="903">
        <v>35</v>
      </c>
      <c r="E9" s="906">
        <f t="shared" si="3"/>
        <v>5.373042677310408E-3</v>
      </c>
      <c r="F9" s="903">
        <v>5</v>
      </c>
      <c r="G9" s="906">
        <f t="shared" si="4"/>
        <v>5.0968399592252805E-3</v>
      </c>
      <c r="I9" s="288"/>
      <c r="J9" s="903"/>
      <c r="K9" s="903"/>
      <c r="L9" s="903"/>
      <c r="M9" s="904"/>
    </row>
    <row r="10" spans="1:14" s="141" customFormat="1" ht="10.199999999999999" x14ac:dyDescent="0.2">
      <c r="A10" s="905" t="s">
        <v>7</v>
      </c>
      <c r="B10" s="131">
        <f t="shared" si="1"/>
        <v>21</v>
      </c>
      <c r="C10" s="906">
        <f t="shared" si="2"/>
        <v>2.6663280853224986E-3</v>
      </c>
      <c r="D10" s="903">
        <v>21</v>
      </c>
      <c r="E10" s="906">
        <f t="shared" si="3"/>
        <v>3.2238256063862451E-3</v>
      </c>
      <c r="F10" s="131">
        <v>0</v>
      </c>
      <c r="G10" s="906">
        <f t="shared" si="4"/>
        <v>0</v>
      </c>
      <c r="I10" s="288"/>
      <c r="J10" s="903"/>
      <c r="K10" s="903"/>
      <c r="L10" s="903"/>
      <c r="M10" s="904"/>
    </row>
    <row r="11" spans="1:14" s="141" customFormat="1" ht="10.199999999999999" x14ac:dyDescent="0.2">
      <c r="A11" s="905" t="s">
        <v>8</v>
      </c>
      <c r="B11" s="131">
        <f t="shared" si="1"/>
        <v>164</v>
      </c>
      <c r="C11" s="906">
        <f t="shared" si="2"/>
        <v>2.0822752666328086E-2</v>
      </c>
      <c r="D11" s="903">
        <v>151</v>
      </c>
      <c r="E11" s="906">
        <f t="shared" si="3"/>
        <v>2.318084126496776E-2</v>
      </c>
      <c r="F11" s="903">
        <v>13</v>
      </c>
      <c r="G11" s="906">
        <f t="shared" si="4"/>
        <v>1.3251783893985729E-2</v>
      </c>
      <c r="I11" s="288"/>
      <c r="J11" s="903"/>
      <c r="K11" s="903"/>
      <c r="L11" s="903"/>
      <c r="M11" s="904"/>
    </row>
    <row r="12" spans="1:14" s="141" customFormat="1" ht="10.199999999999999" x14ac:dyDescent="0.2">
      <c r="A12" s="905" t="s">
        <v>9</v>
      </c>
      <c r="B12" s="131">
        <f t="shared" si="1"/>
        <v>535</v>
      </c>
      <c r="C12" s="906">
        <f t="shared" si="2"/>
        <v>6.7927882173692236E-2</v>
      </c>
      <c r="D12" s="903">
        <v>477</v>
      </c>
      <c r="E12" s="906">
        <f t="shared" si="3"/>
        <v>7.3226895916487567E-2</v>
      </c>
      <c r="F12" s="903">
        <v>58</v>
      </c>
      <c r="G12" s="906">
        <f t="shared" si="4"/>
        <v>5.9123343527013254E-2</v>
      </c>
      <c r="I12" s="288"/>
      <c r="J12" s="903"/>
      <c r="K12" s="903"/>
      <c r="L12" s="903"/>
      <c r="M12" s="904"/>
    </row>
    <row r="13" spans="1:14" s="141" customFormat="1" ht="10.199999999999999" x14ac:dyDescent="0.2">
      <c r="A13" s="905" t="s">
        <v>10</v>
      </c>
      <c r="B13" s="131">
        <f t="shared" si="1"/>
        <v>5983</v>
      </c>
      <c r="C13" s="906">
        <f t="shared" si="2"/>
        <v>0.75964956830878616</v>
      </c>
      <c r="D13" s="903">
        <v>5162</v>
      </c>
      <c r="E13" s="906">
        <f t="shared" si="3"/>
        <v>0.79244703715075226</v>
      </c>
      <c r="F13" s="903">
        <v>821</v>
      </c>
      <c r="G13" s="906">
        <f t="shared" si="4"/>
        <v>0.836901121304791</v>
      </c>
      <c r="I13" s="288"/>
      <c r="J13" s="903"/>
      <c r="K13" s="903"/>
      <c r="L13" s="903"/>
      <c r="M13" s="904"/>
    </row>
    <row r="14" spans="1:14" s="141" customFormat="1" ht="10.199999999999999" x14ac:dyDescent="0.2">
      <c r="A14" s="905" t="s">
        <v>134</v>
      </c>
      <c r="B14" s="131">
        <f t="shared" si="1"/>
        <v>136</v>
      </c>
      <c r="C14" s="906">
        <f t="shared" si="2"/>
        <v>1.7267648552564754E-2</v>
      </c>
      <c r="D14" s="903">
        <v>116</v>
      </c>
      <c r="E14" s="906">
        <f t="shared" si="3"/>
        <v>1.7807798587657353E-2</v>
      </c>
      <c r="F14" s="903">
        <v>20</v>
      </c>
      <c r="G14" s="906">
        <f t="shared" si="4"/>
        <v>2.0387359836901122E-2</v>
      </c>
      <c r="I14" s="288"/>
      <c r="J14" s="903"/>
      <c r="K14" s="903"/>
      <c r="L14" s="903"/>
      <c r="M14" s="904"/>
    </row>
    <row r="15" spans="1:14" s="141" customFormat="1" ht="10.199999999999999" x14ac:dyDescent="0.2">
      <c r="A15" s="905" t="s">
        <v>12</v>
      </c>
      <c r="B15" s="131">
        <f t="shared" si="1"/>
        <v>115</v>
      </c>
      <c r="C15" s="906">
        <f t="shared" si="2"/>
        <v>1.4601320467242255E-2</v>
      </c>
      <c r="D15" s="903">
        <v>103</v>
      </c>
      <c r="E15" s="906">
        <f t="shared" si="3"/>
        <v>1.5812097021799202E-2</v>
      </c>
      <c r="F15" s="903">
        <v>12</v>
      </c>
      <c r="G15" s="906">
        <f t="shared" si="4"/>
        <v>1.2232415902140673E-2</v>
      </c>
      <c r="I15" s="288"/>
      <c r="J15" s="903"/>
      <c r="K15" s="903"/>
      <c r="L15" s="903"/>
      <c r="M15" s="904"/>
    </row>
    <row r="16" spans="1:14" s="141" customFormat="1" ht="10.199999999999999" x14ac:dyDescent="0.2">
      <c r="A16" s="905" t="s">
        <v>13</v>
      </c>
      <c r="B16" s="131">
        <f t="shared" si="1"/>
        <v>115</v>
      </c>
      <c r="C16" s="906">
        <f t="shared" si="2"/>
        <v>1.4601320467242255E-2</v>
      </c>
      <c r="D16" s="903">
        <v>103</v>
      </c>
      <c r="E16" s="906">
        <f t="shared" si="3"/>
        <v>1.5812097021799202E-2</v>
      </c>
      <c r="F16" s="903">
        <v>12</v>
      </c>
      <c r="G16" s="906">
        <f t="shared" si="4"/>
        <v>1.2232415902140673E-2</v>
      </c>
      <c r="I16" s="288"/>
      <c r="J16" s="903"/>
      <c r="K16" s="903"/>
      <c r="L16" s="903"/>
      <c r="M16" s="904"/>
    </row>
    <row r="17" spans="1:13" s="141" customFormat="1" ht="10.199999999999999" x14ac:dyDescent="0.2">
      <c r="A17" s="905" t="s">
        <v>47</v>
      </c>
      <c r="B17" s="131">
        <f t="shared" si="1"/>
        <v>116</v>
      </c>
      <c r="C17" s="906">
        <f t="shared" si="2"/>
        <v>1.4728288471305232E-2</v>
      </c>
      <c r="D17" s="903">
        <v>102</v>
      </c>
      <c r="E17" s="906">
        <f t="shared" si="3"/>
        <v>1.5658581516733189E-2</v>
      </c>
      <c r="F17" s="903">
        <v>14</v>
      </c>
      <c r="G17" s="906">
        <f t="shared" si="4"/>
        <v>1.4271151885830785E-2</v>
      </c>
      <c r="I17" s="288"/>
      <c r="J17" s="903"/>
      <c r="K17" s="903"/>
      <c r="L17" s="903"/>
      <c r="M17" s="904"/>
    </row>
    <row r="18" spans="1:13" s="141" customFormat="1" ht="12" x14ac:dyDescent="0.2">
      <c r="A18" s="905" t="s">
        <v>2269</v>
      </c>
      <c r="B18" s="134" t="s">
        <v>193</v>
      </c>
      <c r="C18" s="134" t="s">
        <v>193</v>
      </c>
      <c r="D18" s="134" t="s">
        <v>193</v>
      </c>
      <c r="E18" s="134" t="s">
        <v>193</v>
      </c>
      <c r="F18" s="134" t="s">
        <v>193</v>
      </c>
      <c r="G18" s="134" t="s">
        <v>193</v>
      </c>
      <c r="I18" s="288"/>
      <c r="J18" s="903"/>
      <c r="K18" s="903"/>
      <c r="L18" s="903"/>
      <c r="M18" s="904"/>
    </row>
    <row r="19" spans="1:13" s="141" customFormat="1" ht="10.199999999999999" x14ac:dyDescent="0.2">
      <c r="A19" s="905" t="s">
        <v>136</v>
      </c>
      <c r="B19" s="131">
        <f>+D19+F19</f>
        <v>138</v>
      </c>
      <c r="C19" s="906">
        <f>+B19/$B$6</f>
        <v>1.7521584560690705E-2</v>
      </c>
      <c r="D19" s="903">
        <v>122</v>
      </c>
      <c r="E19" s="906">
        <f>+D19/$D$6</f>
        <v>1.8728891618053422E-2</v>
      </c>
      <c r="F19" s="903">
        <v>16</v>
      </c>
      <c r="G19" s="906">
        <f>+F19/$F$6</f>
        <v>1.6309887869520898E-2</v>
      </c>
      <c r="I19" s="288"/>
      <c r="J19" s="903"/>
      <c r="K19" s="903"/>
      <c r="L19" s="903"/>
      <c r="M19" s="904"/>
    </row>
    <row r="20" spans="1:13" s="141" customFormat="1" ht="10.199999999999999" x14ac:dyDescent="0.2">
      <c r="A20" s="905" t="s">
        <v>17</v>
      </c>
      <c r="B20" s="131">
        <f>+D20+F20</f>
        <v>31</v>
      </c>
      <c r="C20" s="906">
        <f>+B20/$B$6</f>
        <v>3.9360081259522603E-3</v>
      </c>
      <c r="D20" s="903">
        <v>29</v>
      </c>
      <c r="E20" s="906">
        <f>+D20/$D$6</f>
        <v>4.4519496469143383E-3</v>
      </c>
      <c r="F20" s="903">
        <v>2</v>
      </c>
      <c r="G20" s="906">
        <f>+F20/$F$6</f>
        <v>2.0387359836901123E-3</v>
      </c>
      <c r="I20" s="288"/>
      <c r="J20" s="903"/>
      <c r="K20" s="903"/>
      <c r="L20" s="903"/>
      <c r="M20" s="904"/>
    </row>
    <row r="21" spans="1:13" s="141" customFormat="1" ht="10.199999999999999" x14ac:dyDescent="0.2">
      <c r="A21" s="905" t="s">
        <v>18</v>
      </c>
      <c r="B21" s="131">
        <f>+D21+F21</f>
        <v>22</v>
      </c>
      <c r="C21" s="906">
        <f>+B21/$B$6</f>
        <v>2.7932960893854749E-3</v>
      </c>
      <c r="D21" s="903">
        <v>19</v>
      </c>
      <c r="E21" s="906">
        <f>+D21/$D$6</f>
        <v>2.9167945962542217E-3</v>
      </c>
      <c r="F21" s="903">
        <v>3</v>
      </c>
      <c r="G21" s="906">
        <f>+F21/$F$6</f>
        <v>3.0581039755351682E-3</v>
      </c>
      <c r="I21" s="288"/>
      <c r="J21" s="903"/>
      <c r="K21" s="903"/>
      <c r="L21" s="903"/>
      <c r="M21" s="904"/>
    </row>
    <row r="22" spans="1:13" s="141" customFormat="1" ht="12" x14ac:dyDescent="0.2">
      <c r="A22" s="288" t="s">
        <v>2270</v>
      </c>
      <c r="B22" s="131">
        <v>381</v>
      </c>
      <c r="C22" s="906">
        <f>+B22/$B$6</f>
        <v>4.8374809547993905E-2</v>
      </c>
      <c r="D22" s="131">
        <v>0</v>
      </c>
      <c r="E22" s="906">
        <f>+D22/$D$6</f>
        <v>0</v>
      </c>
      <c r="F22" s="131">
        <v>0</v>
      </c>
      <c r="G22" s="906">
        <f>+F22/$F$6</f>
        <v>0</v>
      </c>
      <c r="I22" s="288"/>
      <c r="J22" s="903"/>
      <c r="K22" s="903"/>
      <c r="L22" s="903"/>
      <c r="M22" s="904"/>
    </row>
    <row r="23" spans="1:13" s="141" customFormat="1" ht="6.75" customHeight="1" x14ac:dyDescent="0.2">
      <c r="A23" s="288"/>
      <c r="B23" s="903"/>
      <c r="C23" s="906"/>
      <c r="D23" s="131"/>
      <c r="E23" s="906"/>
      <c r="F23" s="131"/>
      <c r="G23" s="906"/>
      <c r="I23" s="288"/>
      <c r="J23" s="903"/>
      <c r="K23" s="903"/>
      <c r="L23" s="903"/>
      <c r="M23" s="904"/>
    </row>
    <row r="24" spans="1:13" s="722" customFormat="1" ht="36" customHeight="1" x14ac:dyDescent="0.2">
      <c r="A24" s="462" t="s">
        <v>2271</v>
      </c>
      <c r="B24" s="462"/>
      <c r="C24" s="462"/>
      <c r="D24" s="462"/>
      <c r="E24" s="462"/>
      <c r="F24" s="462"/>
      <c r="G24" s="462"/>
      <c r="J24" s="907"/>
      <c r="K24" s="907"/>
      <c r="L24" s="907"/>
      <c r="M24" s="908"/>
    </row>
    <row r="25" spans="1:13" s="141" customFormat="1" ht="11.25" customHeight="1" x14ac:dyDescent="0.2">
      <c r="A25" s="461" t="s">
        <v>2272</v>
      </c>
      <c r="B25" s="461"/>
      <c r="C25" s="461"/>
      <c r="D25" s="461"/>
      <c r="E25" s="461"/>
      <c r="F25" s="461"/>
      <c r="G25" s="461"/>
      <c r="I25" s="706"/>
    </row>
    <row r="26" spans="1:13" s="141" customFormat="1" ht="10.199999999999999" x14ac:dyDescent="0.2">
      <c r="A26" s="745" t="s">
        <v>1185</v>
      </c>
      <c r="B26" s="745"/>
      <c r="C26" s="745"/>
      <c r="D26" s="745"/>
      <c r="E26" s="745"/>
      <c r="F26" s="745"/>
      <c r="G26" s="745"/>
      <c r="I26" s="706"/>
    </row>
    <row r="27" spans="1:13" s="141" customFormat="1" ht="10.199999999999999" x14ac:dyDescent="0.2">
      <c r="A27" s="296" t="s">
        <v>2100</v>
      </c>
      <c r="B27" s="296"/>
      <c r="C27" s="296"/>
      <c r="D27" s="296"/>
      <c r="E27" s="296"/>
      <c r="F27" s="296"/>
      <c r="G27" s="296"/>
      <c r="I27" s="706"/>
    </row>
    <row r="28" spans="1:13" s="141" customFormat="1" ht="10.199999999999999" x14ac:dyDescent="0.2">
      <c r="A28" s="715" t="s">
        <v>2273</v>
      </c>
      <c r="B28" s="715"/>
      <c r="C28" s="715"/>
      <c r="D28" s="715"/>
      <c r="E28" s="715"/>
      <c r="F28" s="715"/>
      <c r="G28" s="715"/>
    </row>
    <row r="29" spans="1:13" s="141" customFormat="1" ht="10.199999999999999" x14ac:dyDescent="0.2">
      <c r="A29" s="718"/>
      <c r="B29" s="718"/>
      <c r="C29" s="718"/>
      <c r="D29" s="718"/>
      <c r="E29" s="718"/>
      <c r="F29" s="718"/>
      <c r="G29" s="718"/>
    </row>
    <row r="30" spans="1:13" s="141" customFormat="1" ht="10.199999999999999" x14ac:dyDescent="0.2">
      <c r="A30" s="706"/>
      <c r="I30" s="706"/>
    </row>
  </sheetData>
  <mergeCells count="6">
    <mergeCell ref="A2:G2"/>
    <mergeCell ref="A24:G24"/>
    <mergeCell ref="A25:G25"/>
    <mergeCell ref="A26:G26"/>
    <mergeCell ref="A27:G27"/>
    <mergeCell ref="A28:G28"/>
  </mergeCells>
  <pageMargins left="0.7" right="0.7" top="0.75" bottom="0.75" header="0.3" footer="0.3"/>
  <pageSetup paperSize="14" orientation="portrait"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CA7BB2-8329-4FBC-A099-6BE1D8445E54}">
  <sheetPr codeName="Hoja164"/>
  <dimension ref="A1:I9"/>
  <sheetViews>
    <sheetView workbookViewId="0">
      <selection activeCell="D42" sqref="D42"/>
    </sheetView>
  </sheetViews>
  <sheetFormatPr baseColWidth="10" defaultRowHeight="13.2" x14ac:dyDescent="0.25"/>
  <cols>
    <col min="1" max="1" width="21.33203125" customWidth="1"/>
  </cols>
  <sheetData>
    <row r="1" spans="1:9" s="141" customFormat="1" ht="10.199999999999999" x14ac:dyDescent="0.2">
      <c r="A1" s="691"/>
      <c r="I1" s="706"/>
    </row>
    <row r="2" spans="1:9" s="141" customFormat="1" ht="25.5" customHeight="1" x14ac:dyDescent="0.2">
      <c r="A2" s="45" t="s">
        <v>2239</v>
      </c>
      <c r="B2" s="45"/>
      <c r="C2" s="45"/>
      <c r="D2" s="45"/>
      <c r="E2" s="45"/>
      <c r="F2" s="45"/>
      <c r="G2" s="624"/>
      <c r="I2" s="706"/>
    </row>
    <row r="3" spans="1:9" s="141" customFormat="1" ht="13.5" customHeight="1" x14ac:dyDescent="0.2">
      <c r="A3" s="24"/>
      <c r="I3" s="706"/>
    </row>
    <row r="4" spans="1:9" s="717" customFormat="1" ht="18" customHeight="1" x14ac:dyDescent="0.25">
      <c r="A4" s="653" t="s">
        <v>2274</v>
      </c>
      <c r="B4" s="768" t="s">
        <v>98</v>
      </c>
      <c r="C4" s="852"/>
      <c r="D4" s="852"/>
      <c r="E4" s="852"/>
      <c r="F4" s="769"/>
      <c r="I4" s="711"/>
    </row>
    <row r="5" spans="1:9" s="717" customFormat="1" ht="18" customHeight="1" x14ac:dyDescent="0.25">
      <c r="A5" s="654"/>
      <c r="B5" s="453">
        <v>2009</v>
      </c>
      <c r="C5" s="453">
        <v>2010</v>
      </c>
      <c r="D5" s="453">
        <v>2011</v>
      </c>
      <c r="E5" s="453">
        <v>2012</v>
      </c>
      <c r="F5" s="453">
        <v>2013</v>
      </c>
      <c r="I5" s="711"/>
    </row>
    <row r="6" spans="1:9" s="141" customFormat="1" ht="10.199999999999999" x14ac:dyDescent="0.2">
      <c r="A6" s="321" t="s">
        <v>3</v>
      </c>
      <c r="B6" s="909">
        <v>5985</v>
      </c>
      <c r="C6" s="909">
        <v>6023</v>
      </c>
      <c r="D6" s="909">
        <v>6654</v>
      </c>
      <c r="E6" s="909">
        <v>5543</v>
      </c>
      <c r="F6" s="909">
        <v>6358</v>
      </c>
      <c r="I6" s="706"/>
    </row>
    <row r="7" spans="1:9" s="141" customFormat="1" ht="10.199999999999999" x14ac:dyDescent="0.2">
      <c r="I7" s="706"/>
    </row>
    <row r="8" spans="1:9" s="141" customFormat="1" ht="10.199999999999999" x14ac:dyDescent="0.2">
      <c r="A8" s="141" t="s">
        <v>2273</v>
      </c>
      <c r="I8" s="706"/>
    </row>
    <row r="9" spans="1:9" s="141" customFormat="1" ht="10.199999999999999" x14ac:dyDescent="0.2">
      <c r="A9" s="706"/>
      <c r="I9" s="2"/>
    </row>
  </sheetData>
  <mergeCells count="3">
    <mergeCell ref="A2:F2"/>
    <mergeCell ref="A4:A5"/>
    <mergeCell ref="B4:F4"/>
  </mergeCells>
  <pageMargins left="0.7" right="0.7" top="0.75" bottom="0.75" header="0.3" footer="0.3"/>
  <pageSetup paperSize="14" orientation="portrait"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EEDF5-B41E-4897-BB9E-61243566B620}">
  <sheetPr codeName="Hoja165"/>
  <dimension ref="A1:N11"/>
  <sheetViews>
    <sheetView workbookViewId="0">
      <selection activeCell="D42" sqref="D42"/>
    </sheetView>
  </sheetViews>
  <sheetFormatPr baseColWidth="10" defaultRowHeight="13.2" x14ac:dyDescent="0.25"/>
  <cols>
    <col min="1" max="1" width="28.109375" customWidth="1"/>
    <col min="5" max="5" width="13.6640625" customWidth="1"/>
  </cols>
  <sheetData>
    <row r="1" spans="1:14" ht="15.6" x14ac:dyDescent="0.25">
      <c r="A1" s="687"/>
    </row>
    <row r="2" spans="1:14" s="141" customFormat="1" ht="39" customHeight="1" x14ac:dyDescent="0.25">
      <c r="A2" s="463" t="s">
        <v>2240</v>
      </c>
      <c r="B2" s="463"/>
      <c r="C2" s="463"/>
      <c r="D2" s="463"/>
      <c r="E2" s="463"/>
      <c r="G2" s="338"/>
      <c r="H2" s="338"/>
    </row>
    <row r="3" spans="1:14" s="141" customFormat="1" ht="15" customHeight="1" x14ac:dyDescent="0.25">
      <c r="A3" s="910"/>
      <c r="B3" s="910"/>
      <c r="C3" s="910"/>
      <c r="D3" s="910"/>
      <c r="E3" s="910"/>
      <c r="G3" s="338"/>
      <c r="H3" s="338"/>
      <c r="I3" s="338"/>
      <c r="K3" s="911"/>
      <c r="L3" s="909"/>
      <c r="M3" s="909"/>
      <c r="N3" s="909"/>
    </row>
    <row r="4" spans="1:14" s="141" customFormat="1" ht="15" customHeight="1" x14ac:dyDescent="0.25">
      <c r="A4" s="793" t="s">
        <v>2275</v>
      </c>
      <c r="B4" s="298" t="s">
        <v>42</v>
      </c>
      <c r="C4" s="912" t="s">
        <v>2065</v>
      </c>
      <c r="D4" s="912"/>
      <c r="E4" s="912"/>
      <c r="G4" s="338"/>
      <c r="H4" s="646"/>
      <c r="I4" s="646"/>
    </row>
    <row r="5" spans="1:14" s="141" customFormat="1" ht="27.75" customHeight="1" x14ac:dyDescent="0.2">
      <c r="A5" s="793"/>
      <c r="B5" s="298"/>
      <c r="C5" s="644" t="s">
        <v>122</v>
      </c>
      <c r="D5" s="644" t="s">
        <v>123</v>
      </c>
      <c r="E5" s="454" t="s">
        <v>2276</v>
      </c>
      <c r="G5" s="646"/>
      <c r="H5" s="903"/>
      <c r="I5" s="903"/>
    </row>
    <row r="6" spans="1:14" s="141" customFormat="1" ht="21.75" customHeight="1" x14ac:dyDescent="0.2">
      <c r="A6" s="722" t="s">
        <v>2277</v>
      </c>
      <c r="B6" s="913">
        <f>SUM(C6:E6)</f>
        <v>7876</v>
      </c>
      <c r="C6" s="134">
        <v>6514</v>
      </c>
      <c r="D6" s="134">
        <v>981</v>
      </c>
      <c r="E6" s="134">
        <v>381</v>
      </c>
      <c r="G6" s="903"/>
      <c r="H6" s="903"/>
      <c r="I6" s="903"/>
    </row>
    <row r="7" spans="1:14" s="141" customFormat="1" ht="20.399999999999999" x14ac:dyDescent="0.2">
      <c r="A7" s="722" t="s">
        <v>2278</v>
      </c>
      <c r="B7" s="913">
        <f>SUM(C7:E7)</f>
        <v>6058</v>
      </c>
      <c r="C7" s="134">
        <v>5284</v>
      </c>
      <c r="D7" s="134">
        <v>774</v>
      </c>
      <c r="E7" s="134">
        <v>0</v>
      </c>
      <c r="G7" s="903"/>
      <c r="H7" s="903"/>
      <c r="I7" s="903"/>
    </row>
    <row r="8" spans="1:14" s="141" customFormat="1" ht="10.199999999999999" x14ac:dyDescent="0.2">
      <c r="A8" s="722"/>
      <c r="B8" s="753"/>
      <c r="C8" s="903"/>
      <c r="D8" s="903"/>
      <c r="G8" s="903"/>
      <c r="H8" s="903"/>
      <c r="I8" s="903"/>
    </row>
    <row r="9" spans="1:14" s="141" customFormat="1" ht="21.75" customHeight="1" x14ac:dyDescent="0.2">
      <c r="A9" s="466" t="s">
        <v>2279</v>
      </c>
      <c r="B9" s="466"/>
      <c r="C9" s="466"/>
      <c r="D9" s="466"/>
      <c r="E9" s="466"/>
      <c r="G9" s="903"/>
      <c r="H9" s="903"/>
      <c r="I9" s="903"/>
    </row>
    <row r="10" spans="1:14" s="141" customFormat="1" ht="10.199999999999999" x14ac:dyDescent="0.2">
      <c r="A10" s="141" t="s">
        <v>2273</v>
      </c>
      <c r="B10" s="903"/>
      <c r="C10" s="903"/>
      <c r="D10" s="903"/>
      <c r="G10" s="903"/>
    </row>
    <row r="11" spans="1:14" s="141" customFormat="1" ht="16.5" customHeight="1" x14ac:dyDescent="0.25">
      <c r="I11" s="338"/>
      <c r="J11" s="338"/>
      <c r="K11" s="338"/>
    </row>
  </sheetData>
  <mergeCells count="5">
    <mergeCell ref="A2:E2"/>
    <mergeCell ref="A4:A5"/>
    <mergeCell ref="B4:B5"/>
    <mergeCell ref="C4:E4"/>
    <mergeCell ref="A9:E9"/>
  </mergeCells>
  <pageMargins left="0.7" right="0.7" top="0.75" bottom="0.75" header="0.3" footer="0.3"/>
  <pageSetup paperSize="14" orientation="portrait"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F7F42-9C0E-4F6A-A060-759D5184FF8E}">
  <sheetPr codeName="Hoja166"/>
  <dimension ref="A1:J28"/>
  <sheetViews>
    <sheetView workbookViewId="0">
      <selection activeCell="D42" sqref="D42"/>
    </sheetView>
  </sheetViews>
  <sheetFormatPr baseColWidth="10" defaultColWidth="41.109375" defaultRowHeight="13.2" x14ac:dyDescent="0.25"/>
  <cols>
    <col min="3" max="3" width="31" customWidth="1"/>
  </cols>
  <sheetData>
    <row r="1" spans="1:8" ht="15.6" x14ac:dyDescent="0.25">
      <c r="A1" s="687"/>
    </row>
    <row r="2" spans="1:8" ht="23.25" customHeight="1" x14ac:dyDescent="0.25">
      <c r="A2" s="463" t="s">
        <v>2241</v>
      </c>
      <c r="B2" s="463"/>
      <c r="C2" s="463"/>
      <c r="D2" s="893"/>
      <c r="E2" s="893"/>
      <c r="H2" s="338"/>
    </row>
    <row r="3" spans="1:8" x14ac:dyDescent="0.25">
      <c r="A3" s="651"/>
      <c r="B3" s="799"/>
      <c r="C3" s="799"/>
    </row>
    <row r="4" spans="1:8" ht="27" customHeight="1" x14ac:dyDescent="0.25">
      <c r="A4" s="914" t="s">
        <v>0</v>
      </c>
      <c r="B4" s="914" t="s">
        <v>2280</v>
      </c>
      <c r="C4" s="914" t="s">
        <v>801</v>
      </c>
    </row>
    <row r="5" spans="1:8" x14ac:dyDescent="0.25">
      <c r="A5" s="915" t="s">
        <v>3</v>
      </c>
      <c r="B5" s="916">
        <f>SUM(B6:B22)</f>
        <v>7876</v>
      </c>
      <c r="C5" s="917">
        <f>B5/B5</f>
        <v>1</v>
      </c>
      <c r="D5" s="918"/>
    </row>
    <row r="6" spans="1:8" x14ac:dyDescent="0.25">
      <c r="A6" s="695" t="s">
        <v>4</v>
      </c>
      <c r="B6" s="134" t="s">
        <v>193</v>
      </c>
      <c r="C6" s="919" t="s">
        <v>193</v>
      </c>
      <c r="D6" s="918"/>
      <c r="E6" s="920"/>
    </row>
    <row r="7" spans="1:8" x14ac:dyDescent="0.25">
      <c r="A7" s="695" t="s">
        <v>5</v>
      </c>
      <c r="B7" s="903">
        <v>79</v>
      </c>
      <c r="C7" s="921">
        <f t="shared" ref="C7:C16" si="0">+(B7/$B$5)*100</f>
        <v>1.0030472320975115</v>
      </c>
      <c r="D7" s="918"/>
      <c r="E7" s="920"/>
    </row>
    <row r="8" spans="1:8" x14ac:dyDescent="0.25">
      <c r="A8" s="695" t="s">
        <v>6</v>
      </c>
      <c r="B8" s="903">
        <v>40</v>
      </c>
      <c r="C8" s="921">
        <f t="shared" si="0"/>
        <v>0.50787201625190448</v>
      </c>
      <c r="D8" s="918"/>
      <c r="E8" s="920"/>
    </row>
    <row r="9" spans="1:8" x14ac:dyDescent="0.25">
      <c r="A9" s="695" t="s">
        <v>7</v>
      </c>
      <c r="B9" s="903">
        <v>21</v>
      </c>
      <c r="C9" s="921">
        <f t="shared" si="0"/>
        <v>0.26663280853224985</v>
      </c>
      <c r="D9" s="918"/>
      <c r="E9" s="920"/>
    </row>
    <row r="10" spans="1:8" x14ac:dyDescent="0.25">
      <c r="A10" s="695" t="s">
        <v>8</v>
      </c>
      <c r="B10" s="903">
        <v>164</v>
      </c>
      <c r="C10" s="921">
        <f t="shared" si="0"/>
        <v>2.0822752666328088</v>
      </c>
      <c r="D10" s="918"/>
      <c r="E10" s="920"/>
    </row>
    <row r="11" spans="1:8" x14ac:dyDescent="0.25">
      <c r="A11" s="695" t="s">
        <v>9</v>
      </c>
      <c r="B11" s="903">
        <v>535</v>
      </c>
      <c r="C11" s="921">
        <f t="shared" si="0"/>
        <v>6.7927882173692238</v>
      </c>
      <c r="D11" s="918"/>
      <c r="E11" s="920"/>
    </row>
    <row r="12" spans="1:8" x14ac:dyDescent="0.25">
      <c r="A12" s="695" t="s">
        <v>10</v>
      </c>
      <c r="B12" s="903">
        <v>5983</v>
      </c>
      <c r="C12" s="921">
        <f t="shared" si="0"/>
        <v>75.96495683087862</v>
      </c>
      <c r="D12" s="918"/>
      <c r="E12" s="920"/>
    </row>
    <row r="13" spans="1:8" x14ac:dyDescent="0.25">
      <c r="A13" s="695" t="s">
        <v>134</v>
      </c>
      <c r="B13" s="903">
        <v>136</v>
      </c>
      <c r="C13" s="921">
        <f t="shared" si="0"/>
        <v>1.7267648552564754</v>
      </c>
      <c r="D13" s="918"/>
      <c r="E13" s="920"/>
    </row>
    <row r="14" spans="1:8" x14ac:dyDescent="0.25">
      <c r="A14" s="695" t="s">
        <v>12</v>
      </c>
      <c r="B14" s="903">
        <v>115</v>
      </c>
      <c r="C14" s="921">
        <f t="shared" si="0"/>
        <v>1.4601320467242254</v>
      </c>
      <c r="D14" s="918"/>
      <c r="E14" s="920"/>
    </row>
    <row r="15" spans="1:8" x14ac:dyDescent="0.25">
      <c r="A15" s="695" t="s">
        <v>13</v>
      </c>
      <c r="B15" s="903">
        <v>115</v>
      </c>
      <c r="C15" s="921">
        <f t="shared" si="0"/>
        <v>1.4601320467242254</v>
      </c>
      <c r="D15" s="918"/>
      <c r="E15" s="920"/>
    </row>
    <row r="16" spans="1:8" x14ac:dyDescent="0.25">
      <c r="A16" s="695" t="s">
        <v>47</v>
      </c>
      <c r="B16" s="903">
        <v>116</v>
      </c>
      <c r="C16" s="921">
        <f t="shared" si="0"/>
        <v>1.4728288471305231</v>
      </c>
      <c r="D16" s="918"/>
      <c r="E16" s="920"/>
    </row>
    <row r="17" spans="1:10" x14ac:dyDescent="0.25">
      <c r="A17" s="695" t="s">
        <v>135</v>
      </c>
      <c r="B17" s="134" t="s">
        <v>193</v>
      </c>
      <c r="C17" s="134" t="s">
        <v>193</v>
      </c>
      <c r="D17" s="918"/>
      <c r="E17" s="920"/>
    </row>
    <row r="18" spans="1:10" x14ac:dyDescent="0.25">
      <c r="A18" s="695" t="s">
        <v>136</v>
      </c>
      <c r="B18" s="903">
        <v>138</v>
      </c>
      <c r="C18" s="921">
        <f>+(B18/$B$5)*100</f>
        <v>1.7521584560690706</v>
      </c>
      <c r="D18" s="918"/>
      <c r="E18" s="920"/>
    </row>
    <row r="19" spans="1:10" x14ac:dyDescent="0.25">
      <c r="A19" s="695" t="s">
        <v>17</v>
      </c>
      <c r="B19" s="903">
        <v>31</v>
      </c>
      <c r="C19" s="921">
        <f>+(B19/$B$5)*100</f>
        <v>0.39360081259522606</v>
      </c>
      <c r="D19" s="918"/>
      <c r="E19" s="920"/>
    </row>
    <row r="20" spans="1:10" x14ac:dyDescent="0.25">
      <c r="A20" s="695" t="s">
        <v>18</v>
      </c>
      <c r="B20" s="903">
        <v>22</v>
      </c>
      <c r="C20" s="921">
        <f>+(B20/$B$5)*100</f>
        <v>0.27932960893854747</v>
      </c>
      <c r="D20" s="918"/>
      <c r="E20" s="920"/>
    </row>
    <row r="21" spans="1:10" x14ac:dyDescent="0.25">
      <c r="A21" s="775" t="s">
        <v>2281</v>
      </c>
      <c r="B21" s="922">
        <v>355</v>
      </c>
      <c r="C21" s="921">
        <f>+(B21/$B$5)*100</f>
        <v>4.5073641442356527</v>
      </c>
      <c r="D21" s="918"/>
      <c r="E21" s="920"/>
    </row>
    <row r="22" spans="1:10" x14ac:dyDescent="0.25">
      <c r="A22" s="775" t="s">
        <v>2282</v>
      </c>
      <c r="B22" s="922">
        <v>26</v>
      </c>
      <c r="C22" s="921">
        <f>+(B22/$B$5)*100</f>
        <v>0.33011681056373793</v>
      </c>
      <c r="D22" s="918"/>
      <c r="E22" s="920"/>
    </row>
    <row r="23" spans="1:10" ht="8.25" customHeight="1" x14ac:dyDescent="0.25">
      <c r="A23" s="775"/>
      <c r="B23" s="922"/>
      <c r="C23" s="923"/>
      <c r="D23" s="918"/>
      <c r="E23" s="920"/>
    </row>
    <row r="24" spans="1:10" ht="24.75" customHeight="1" x14ac:dyDescent="0.25">
      <c r="A24" s="462" t="s">
        <v>2271</v>
      </c>
      <c r="B24" s="462"/>
      <c r="C24" s="462"/>
      <c r="D24" s="722"/>
      <c r="E24" s="722"/>
      <c r="F24" s="722"/>
      <c r="G24" s="722"/>
    </row>
    <row r="25" spans="1:10" x14ac:dyDescent="0.25">
      <c r="A25" s="460" t="s">
        <v>2283</v>
      </c>
      <c r="B25" s="460"/>
      <c r="C25" s="460"/>
      <c r="D25" s="722"/>
      <c r="E25" s="722"/>
      <c r="F25" s="722"/>
      <c r="G25" s="722"/>
    </row>
    <row r="26" spans="1:10" s="724" customFormat="1" ht="12" customHeight="1" x14ac:dyDescent="0.25">
      <c r="A26" s="296" t="s">
        <v>2100</v>
      </c>
      <c r="B26" s="296"/>
      <c r="C26" s="296"/>
      <c r="D26" s="682"/>
      <c r="E26" s="682"/>
      <c r="F26" s="682"/>
      <c r="G26" s="682"/>
      <c r="H26" s="682"/>
      <c r="J26" s="324"/>
    </row>
    <row r="27" spans="1:10" x14ac:dyDescent="0.25">
      <c r="A27" s="715" t="s">
        <v>2273</v>
      </c>
      <c r="B27" s="715"/>
      <c r="C27" s="715"/>
    </row>
    <row r="28" spans="1:10" x14ac:dyDescent="0.25">
      <c r="A28" s="915"/>
      <c r="B28" s="924"/>
      <c r="C28" s="925"/>
    </row>
  </sheetData>
  <mergeCells count="5">
    <mergeCell ref="A2:C2"/>
    <mergeCell ref="A24:C24"/>
    <mergeCell ref="A25:C25"/>
    <mergeCell ref="A26:C26"/>
    <mergeCell ref="A27:C27"/>
  </mergeCells>
  <pageMargins left="0.7" right="0.7" top="0.75" bottom="0.75" header="0.3" footer="0.3"/>
  <pageSetup paperSize="14" orientation="landscape"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04BF2-612D-4452-BF65-E2AF3DCFB883}">
  <sheetPr codeName="Hoja167"/>
  <dimension ref="A1:K12"/>
  <sheetViews>
    <sheetView workbookViewId="0">
      <selection activeCell="D42" sqref="D42"/>
    </sheetView>
  </sheetViews>
  <sheetFormatPr baseColWidth="10" defaultRowHeight="13.2" x14ac:dyDescent="0.25"/>
  <cols>
    <col min="1" max="1" width="41.109375" customWidth="1"/>
    <col min="3" max="3" width="16.6640625" customWidth="1"/>
  </cols>
  <sheetData>
    <row r="1" spans="1:11" ht="15.6" x14ac:dyDescent="0.25">
      <c r="A1" s="687"/>
    </row>
    <row r="2" spans="1:11" s="926" customFormat="1" ht="25.5" customHeight="1" x14ac:dyDescent="0.25">
      <c r="A2" s="757" t="s">
        <v>2242</v>
      </c>
      <c r="B2" s="757"/>
      <c r="C2" s="757"/>
      <c r="F2" s="927"/>
      <c r="G2" s="928"/>
      <c r="H2" s="929"/>
      <c r="I2" s="929"/>
      <c r="J2" s="929"/>
      <c r="K2" s="929"/>
    </row>
    <row r="3" spans="1:11" x14ac:dyDescent="0.25">
      <c r="A3" s="651"/>
      <c r="B3" s="799"/>
      <c r="C3" s="799"/>
    </row>
    <row r="4" spans="1:11" ht="17.25" customHeight="1" x14ac:dyDescent="0.25">
      <c r="A4" s="914" t="s">
        <v>2284</v>
      </c>
      <c r="B4" s="914" t="s">
        <v>2280</v>
      </c>
      <c r="C4" s="914" t="s">
        <v>801</v>
      </c>
    </row>
    <row r="5" spans="1:11" x14ac:dyDescent="0.25">
      <c r="A5" s="915" t="s">
        <v>3</v>
      </c>
      <c r="B5" s="916">
        <f>SUM(B6:B8)</f>
        <v>7876</v>
      </c>
      <c r="C5" s="930">
        <f>SUM(C6:C8)</f>
        <v>1</v>
      </c>
    </row>
    <row r="6" spans="1:11" x14ac:dyDescent="0.25">
      <c r="A6" s="775" t="s">
        <v>2285</v>
      </c>
      <c r="B6" s="931">
        <f>44+52+174</f>
        <v>270</v>
      </c>
      <c r="C6" s="918">
        <f>+(B6/$B$5)</f>
        <v>3.4281361097003554E-2</v>
      </c>
    </row>
    <row r="7" spans="1:11" x14ac:dyDescent="0.25">
      <c r="A7" s="775" t="s">
        <v>2286</v>
      </c>
      <c r="B7" s="931">
        <v>1661</v>
      </c>
      <c r="C7" s="918">
        <f t="shared" ref="C7:C8" si="0">+(B7/$B$5)</f>
        <v>0.21089385474860337</v>
      </c>
    </row>
    <row r="8" spans="1:11" x14ac:dyDescent="0.25">
      <c r="A8" s="324" t="s">
        <v>2287</v>
      </c>
      <c r="B8" s="932">
        <f>4811+966+168</f>
        <v>5945</v>
      </c>
      <c r="C8" s="918">
        <f t="shared" si="0"/>
        <v>0.75482478415439314</v>
      </c>
    </row>
    <row r="9" spans="1:11" ht="5.25" customHeight="1" x14ac:dyDescent="0.25">
      <c r="A9" s="324"/>
      <c r="B9" s="932"/>
      <c r="C9" s="918"/>
    </row>
    <row r="10" spans="1:11" x14ac:dyDescent="0.25">
      <c r="A10" s="715" t="s">
        <v>2273</v>
      </c>
      <c r="B10" s="715"/>
      <c r="C10" s="715"/>
    </row>
    <row r="11" spans="1:11" x14ac:dyDescent="0.25">
      <c r="A11" s="2"/>
      <c r="B11" s="646"/>
      <c r="C11" s="646"/>
    </row>
    <row r="12" spans="1:11" x14ac:dyDescent="0.25">
      <c r="A12" s="2"/>
      <c r="B12" s="646"/>
      <c r="C12" s="646"/>
    </row>
  </sheetData>
  <mergeCells count="2">
    <mergeCell ref="A2:C2"/>
    <mergeCell ref="A10:C10"/>
  </mergeCells>
  <pageMargins left="0.7" right="0.7" top="0.75" bottom="0.75" header="0.3" footer="0.3"/>
  <pageSetup paperSize="14" orientation="portrait"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2D202-03D0-4FEB-BE08-833BEB2A0315}">
  <sheetPr codeName="Hoja168"/>
  <dimension ref="A1:B8"/>
  <sheetViews>
    <sheetView workbookViewId="0">
      <selection activeCell="D42" sqref="D42"/>
    </sheetView>
  </sheetViews>
  <sheetFormatPr baseColWidth="10" defaultRowHeight="13.2" x14ac:dyDescent="0.25"/>
  <cols>
    <col min="1" max="1" width="38.88671875" customWidth="1"/>
  </cols>
  <sheetData>
    <row r="1" spans="1:2" ht="15.6" x14ac:dyDescent="0.25">
      <c r="A1" s="700"/>
    </row>
    <row r="2" spans="1:2" s="2" customFormat="1" ht="44.25" customHeight="1" x14ac:dyDescent="0.2">
      <c r="A2" s="933" t="s">
        <v>2243</v>
      </c>
      <c r="B2" s="933"/>
    </row>
    <row r="3" spans="1:2" s="2" customFormat="1" ht="13.5" customHeight="1" x14ac:dyDescent="0.2">
      <c r="A3" s="24"/>
      <c r="B3" s="24"/>
    </row>
    <row r="4" spans="1:2" s="2" customFormat="1" ht="18" customHeight="1" x14ac:dyDescent="0.2">
      <c r="A4" s="644" t="s">
        <v>2288</v>
      </c>
      <c r="B4" s="621">
        <v>2013</v>
      </c>
    </row>
    <row r="5" spans="1:2" s="2" customFormat="1" ht="10.199999999999999" x14ac:dyDescent="0.2">
      <c r="A5" s="24" t="s">
        <v>3</v>
      </c>
      <c r="B5" s="934">
        <v>5823</v>
      </c>
    </row>
    <row r="6" spans="1:2" s="2" customFormat="1" ht="7.5" customHeight="1" x14ac:dyDescent="0.2"/>
    <row r="7" spans="1:2" s="2" customFormat="1" ht="10.199999999999999" x14ac:dyDescent="0.2">
      <c r="A7" s="715" t="s">
        <v>2273</v>
      </c>
      <c r="B7" s="715"/>
    </row>
    <row r="8" spans="1:2" s="2" customFormat="1" ht="10.199999999999999" x14ac:dyDescent="0.2">
      <c r="A8" s="718"/>
      <c r="B8" s="718"/>
    </row>
  </sheetData>
  <mergeCells count="2">
    <mergeCell ref="A2:B2"/>
    <mergeCell ref="A7:B7"/>
  </mergeCells>
  <pageMargins left="0.7" right="0.7" top="0.75" bottom="0.75" header="0.3" footer="0.3"/>
  <pageSetup paperSize="14" orientation="portrait"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06FBE-9973-4CEE-88BE-00A69D2239CB}">
  <sheetPr codeName="Hoja169"/>
  <dimension ref="A2:E51"/>
  <sheetViews>
    <sheetView zoomScaleNormal="100" workbookViewId="0">
      <selection activeCell="D42" sqref="D42"/>
    </sheetView>
  </sheetViews>
  <sheetFormatPr baseColWidth="10" defaultRowHeight="13.2" x14ac:dyDescent="0.25"/>
  <cols>
    <col min="1" max="1" width="45.109375" customWidth="1"/>
    <col min="2" max="2" width="19.44140625" customWidth="1"/>
    <col min="3" max="3" width="15.44140625" customWidth="1"/>
  </cols>
  <sheetData>
    <row r="2" spans="1:5" s="2" customFormat="1" ht="33.75" customHeight="1" x14ac:dyDescent="0.2">
      <c r="A2" s="872" t="s">
        <v>2244</v>
      </c>
      <c r="B2" s="872"/>
      <c r="C2" s="872"/>
      <c r="D2" s="872"/>
      <c r="E2" s="872"/>
    </row>
    <row r="3" spans="1:5" x14ac:dyDescent="0.25">
      <c r="A3" s="935"/>
      <c r="B3" s="935"/>
      <c r="C3" s="935"/>
      <c r="D3" s="935"/>
      <c r="E3" s="935"/>
    </row>
    <row r="4" spans="1:5" x14ac:dyDescent="0.25">
      <c r="A4" s="653" t="s">
        <v>2289</v>
      </c>
      <c r="B4" s="936">
        <v>2012</v>
      </c>
      <c r="C4" s="937"/>
      <c r="D4" s="938">
        <v>2013</v>
      </c>
      <c r="E4" s="938"/>
    </row>
    <row r="5" spans="1:5" x14ac:dyDescent="0.25">
      <c r="A5" s="654"/>
      <c r="B5" s="939" t="s">
        <v>2290</v>
      </c>
      <c r="C5" s="939" t="s">
        <v>801</v>
      </c>
      <c r="D5" s="939" t="s">
        <v>2290</v>
      </c>
      <c r="E5" s="939" t="s">
        <v>801</v>
      </c>
    </row>
    <row r="6" spans="1:5" x14ac:dyDescent="0.25">
      <c r="A6" s="720" t="s">
        <v>2291</v>
      </c>
      <c r="B6" s="940">
        <f>SUM(B7:B9)</f>
        <v>642</v>
      </c>
      <c r="C6" s="941">
        <f>SUM(C7:C9)</f>
        <v>100.00000000000001</v>
      </c>
      <c r="D6" s="940">
        <f>SUM(D7:D9)</f>
        <v>1017</v>
      </c>
      <c r="E6" s="941">
        <f>SUM(E7:E9)</f>
        <v>100</v>
      </c>
    </row>
    <row r="7" spans="1:5" x14ac:dyDescent="0.25">
      <c r="A7" s="942" t="s">
        <v>2292</v>
      </c>
      <c r="B7" s="943">
        <v>150</v>
      </c>
      <c r="C7" s="944">
        <f>B7*100/B6</f>
        <v>23.364485981308412</v>
      </c>
      <c r="D7" s="943">
        <v>310</v>
      </c>
      <c r="E7" s="944">
        <f>D7*100/D6</f>
        <v>30.48180924287119</v>
      </c>
    </row>
    <row r="8" spans="1:5" x14ac:dyDescent="0.25">
      <c r="A8" s="942" t="s">
        <v>2293</v>
      </c>
      <c r="B8" s="943">
        <v>395</v>
      </c>
      <c r="C8" s="944">
        <f>B8*100/B6</f>
        <v>61.526479750778819</v>
      </c>
      <c r="D8" s="943">
        <v>637</v>
      </c>
      <c r="E8" s="944">
        <f>D8*100/D6</f>
        <v>62.635201573254669</v>
      </c>
    </row>
    <row r="9" spans="1:5" x14ac:dyDescent="0.25">
      <c r="A9" s="942" t="s">
        <v>2294</v>
      </c>
      <c r="B9" s="943">
        <v>97</v>
      </c>
      <c r="C9" s="944">
        <f>B9*100/B6</f>
        <v>15.109034267912772</v>
      </c>
      <c r="D9" s="943">
        <v>70</v>
      </c>
      <c r="E9" s="944">
        <f>D9*100/D6</f>
        <v>6.8829891838741393</v>
      </c>
    </row>
    <row r="10" spans="1:5" x14ac:dyDescent="0.25">
      <c r="A10" s="720" t="s">
        <v>2295</v>
      </c>
      <c r="B10" s="940">
        <f>SUM(B11:B13)</f>
        <v>643</v>
      </c>
      <c r="C10" s="945">
        <f>SUM(C11:C13)</f>
        <v>1</v>
      </c>
      <c r="D10" s="940">
        <f>SUM(D11:D13)</f>
        <v>1015</v>
      </c>
      <c r="E10" s="945">
        <f>SUM(E11:E13)</f>
        <v>1</v>
      </c>
    </row>
    <row r="11" spans="1:5" x14ac:dyDescent="0.25">
      <c r="A11" s="942" t="s">
        <v>2296</v>
      </c>
      <c r="B11" s="943">
        <v>568</v>
      </c>
      <c r="C11" s="946">
        <f>B11/$B$10</f>
        <v>0.8833592534992224</v>
      </c>
      <c r="D11" s="943">
        <v>929</v>
      </c>
      <c r="E11" s="946">
        <f>D11/$D$10</f>
        <v>0.91527093596059117</v>
      </c>
    </row>
    <row r="12" spans="1:5" x14ac:dyDescent="0.25">
      <c r="A12" s="942" t="s">
        <v>2297</v>
      </c>
      <c r="B12" s="943">
        <v>61</v>
      </c>
      <c r="C12" s="946">
        <f t="shared" ref="C12:C13" si="0">B12/$B$10</f>
        <v>9.4867807153965783E-2</v>
      </c>
      <c r="D12" s="943">
        <v>72</v>
      </c>
      <c r="E12" s="946">
        <f t="shared" ref="E12:E13" si="1">D12/$D$10</f>
        <v>7.093596059113301E-2</v>
      </c>
    </row>
    <row r="13" spans="1:5" x14ac:dyDescent="0.25">
      <c r="A13" s="942" t="s">
        <v>2298</v>
      </c>
      <c r="B13" s="943">
        <v>14</v>
      </c>
      <c r="C13" s="946">
        <f t="shared" si="0"/>
        <v>2.177293934681182E-2</v>
      </c>
      <c r="D13" s="943">
        <v>14</v>
      </c>
      <c r="E13" s="946">
        <f t="shared" si="1"/>
        <v>1.3793103448275862E-2</v>
      </c>
    </row>
    <row r="14" spans="1:5" x14ac:dyDescent="0.25">
      <c r="A14" s="720" t="s">
        <v>2299</v>
      </c>
      <c r="B14" s="940">
        <f>SUM(B15:B16)</f>
        <v>640</v>
      </c>
      <c r="C14" s="945">
        <f>SUM(C15:C16)</f>
        <v>1</v>
      </c>
      <c r="D14" s="940">
        <f>SUM(D15:D16)</f>
        <v>1017</v>
      </c>
      <c r="E14" s="945">
        <f>SUM(E15:E16)</f>
        <v>1</v>
      </c>
    </row>
    <row r="15" spans="1:5" x14ac:dyDescent="0.25">
      <c r="A15" s="942" t="s">
        <v>2300</v>
      </c>
      <c r="B15" s="943">
        <v>73</v>
      </c>
      <c r="C15" s="946">
        <f>B15/$B$14</f>
        <v>0.1140625</v>
      </c>
      <c r="D15" s="943">
        <v>53</v>
      </c>
      <c r="E15" s="946">
        <f>D15/$D$14</f>
        <v>5.2114060963618487E-2</v>
      </c>
    </row>
    <row r="16" spans="1:5" x14ac:dyDescent="0.25">
      <c r="A16" s="942" t="s">
        <v>2301</v>
      </c>
      <c r="B16" s="943">
        <v>567</v>
      </c>
      <c r="C16" s="946">
        <f>B16/$B$14</f>
        <v>0.88593750000000004</v>
      </c>
      <c r="D16" s="943">
        <v>964</v>
      </c>
      <c r="E16" s="946">
        <f>D16/$D$14</f>
        <v>0.94788593903638152</v>
      </c>
    </row>
    <row r="17" spans="1:5" x14ac:dyDescent="0.25">
      <c r="A17" s="720" t="s">
        <v>2302</v>
      </c>
      <c r="B17" s="940">
        <f>SUM(B18:B29)</f>
        <v>595</v>
      </c>
      <c r="C17" s="945">
        <f>SUM(C18:C29)</f>
        <v>1</v>
      </c>
      <c r="D17" s="940">
        <f>SUM(D18:D29)</f>
        <v>1017</v>
      </c>
      <c r="E17" s="945">
        <f>SUM(E18:E29)</f>
        <v>0.99999999999999989</v>
      </c>
    </row>
    <row r="18" spans="1:5" x14ac:dyDescent="0.25">
      <c r="A18" s="942" t="s">
        <v>2221</v>
      </c>
      <c r="B18" s="943">
        <v>33</v>
      </c>
      <c r="C18" s="946">
        <f>B18/$B$17</f>
        <v>5.5462184873949577E-2</v>
      </c>
      <c r="D18" s="943">
        <v>50</v>
      </c>
      <c r="E18" s="946">
        <f>D18/$D$17</f>
        <v>4.9164208456243856E-2</v>
      </c>
    </row>
    <row r="19" spans="1:5" x14ac:dyDescent="0.25">
      <c r="A19" s="942" t="s">
        <v>2222</v>
      </c>
      <c r="B19" s="943">
        <v>13</v>
      </c>
      <c r="C19" s="946">
        <f t="shared" ref="C19:C29" si="2">B19/$B$17</f>
        <v>2.1848739495798318E-2</v>
      </c>
      <c r="D19" s="943">
        <v>27</v>
      </c>
      <c r="E19" s="946">
        <f t="shared" ref="E19:E29" si="3">D19/$D$17</f>
        <v>2.6548672566371681E-2</v>
      </c>
    </row>
    <row r="20" spans="1:5" x14ac:dyDescent="0.25">
      <c r="A20" s="942" t="s">
        <v>2223</v>
      </c>
      <c r="B20" s="943">
        <v>38</v>
      </c>
      <c r="C20" s="946">
        <f t="shared" si="2"/>
        <v>6.386554621848739E-2</v>
      </c>
      <c r="D20" s="943">
        <v>51</v>
      </c>
      <c r="E20" s="946">
        <f t="shared" si="3"/>
        <v>5.0147492625368731E-2</v>
      </c>
    </row>
    <row r="21" spans="1:5" x14ac:dyDescent="0.25">
      <c r="A21" s="942" t="s">
        <v>2224</v>
      </c>
      <c r="B21" s="943">
        <v>42</v>
      </c>
      <c r="C21" s="946">
        <f t="shared" si="2"/>
        <v>7.0588235294117646E-2</v>
      </c>
      <c r="D21" s="943">
        <v>74</v>
      </c>
      <c r="E21" s="946">
        <f t="shared" si="3"/>
        <v>7.2763028515240899E-2</v>
      </c>
    </row>
    <row r="22" spans="1:5" x14ac:dyDescent="0.25">
      <c r="A22" s="942" t="s">
        <v>2225</v>
      </c>
      <c r="B22" s="943">
        <v>55</v>
      </c>
      <c r="C22" s="946">
        <f t="shared" si="2"/>
        <v>9.2436974789915971E-2</v>
      </c>
      <c r="D22" s="943">
        <v>67</v>
      </c>
      <c r="E22" s="946">
        <f t="shared" si="3"/>
        <v>6.5880039331366769E-2</v>
      </c>
    </row>
    <row r="23" spans="1:5" x14ac:dyDescent="0.25">
      <c r="A23" s="942" t="s">
        <v>2226</v>
      </c>
      <c r="B23" s="943">
        <v>44</v>
      </c>
      <c r="C23" s="946">
        <f t="shared" si="2"/>
        <v>7.3949579831932774E-2</v>
      </c>
      <c r="D23" s="943">
        <v>83</v>
      </c>
      <c r="E23" s="946">
        <f t="shared" si="3"/>
        <v>8.1612586037364793E-2</v>
      </c>
    </row>
    <row r="24" spans="1:5" x14ac:dyDescent="0.25">
      <c r="A24" s="942" t="s">
        <v>2227</v>
      </c>
      <c r="B24" s="943">
        <v>57</v>
      </c>
      <c r="C24" s="946">
        <f t="shared" si="2"/>
        <v>9.5798319327731099E-2</v>
      </c>
      <c r="D24" s="943">
        <v>70</v>
      </c>
      <c r="E24" s="946">
        <f t="shared" si="3"/>
        <v>6.88298918387414E-2</v>
      </c>
    </row>
    <row r="25" spans="1:5" x14ac:dyDescent="0.25">
      <c r="A25" s="942" t="s">
        <v>2228</v>
      </c>
      <c r="B25" s="943">
        <v>52</v>
      </c>
      <c r="C25" s="946">
        <f t="shared" si="2"/>
        <v>8.7394957983193272E-2</v>
      </c>
      <c r="D25" s="943">
        <v>100</v>
      </c>
      <c r="E25" s="946">
        <f t="shared" si="3"/>
        <v>9.8328416912487712E-2</v>
      </c>
    </row>
    <row r="26" spans="1:5" x14ac:dyDescent="0.25">
      <c r="A26" s="942" t="s">
        <v>2229</v>
      </c>
      <c r="B26" s="943">
        <v>52</v>
      </c>
      <c r="C26" s="946">
        <f t="shared" si="2"/>
        <v>8.7394957983193272E-2</v>
      </c>
      <c r="D26" s="943">
        <v>79</v>
      </c>
      <c r="E26" s="946">
        <f t="shared" si="3"/>
        <v>7.7679449360865294E-2</v>
      </c>
    </row>
    <row r="27" spans="1:5" x14ac:dyDescent="0.25">
      <c r="A27" s="942" t="s">
        <v>2230</v>
      </c>
      <c r="B27" s="943">
        <v>68</v>
      </c>
      <c r="C27" s="946">
        <f t="shared" si="2"/>
        <v>0.11428571428571428</v>
      </c>
      <c r="D27" s="943">
        <v>85</v>
      </c>
      <c r="E27" s="946">
        <f t="shared" si="3"/>
        <v>8.3579154375614556E-2</v>
      </c>
    </row>
    <row r="28" spans="1:5" x14ac:dyDescent="0.25">
      <c r="A28" s="942" t="s">
        <v>2231</v>
      </c>
      <c r="B28" s="943">
        <v>60</v>
      </c>
      <c r="C28" s="946">
        <f t="shared" si="2"/>
        <v>0.10084033613445378</v>
      </c>
      <c r="D28" s="943">
        <v>231</v>
      </c>
      <c r="E28" s="946">
        <f t="shared" si="3"/>
        <v>0.22713864306784662</v>
      </c>
    </row>
    <row r="29" spans="1:5" x14ac:dyDescent="0.25">
      <c r="A29" s="942" t="s">
        <v>2232</v>
      </c>
      <c r="B29" s="943">
        <v>81</v>
      </c>
      <c r="C29" s="946">
        <f t="shared" si="2"/>
        <v>0.13613445378151259</v>
      </c>
      <c r="D29" s="943">
        <v>100</v>
      </c>
      <c r="E29" s="946">
        <f t="shared" si="3"/>
        <v>9.8328416912487712E-2</v>
      </c>
    </row>
    <row r="30" spans="1:5" x14ac:dyDescent="0.25">
      <c r="A30" s="720" t="s">
        <v>2303</v>
      </c>
      <c r="B30" s="940">
        <f>SUM(B31:B34)</f>
        <v>567</v>
      </c>
      <c r="C30" s="945">
        <f t="shared" ref="C30:C33" si="4">B30/$B$30</f>
        <v>1</v>
      </c>
      <c r="D30" s="940">
        <f>SUM(D31:D34)</f>
        <v>1044</v>
      </c>
      <c r="E30" s="945">
        <f>D30/$D$30</f>
        <v>1</v>
      </c>
    </row>
    <row r="31" spans="1:5" x14ac:dyDescent="0.25">
      <c r="A31" s="942" t="s">
        <v>2304</v>
      </c>
      <c r="B31" s="943">
        <v>277</v>
      </c>
      <c r="C31" s="946">
        <f t="shared" si="4"/>
        <v>0.48853615520282184</v>
      </c>
      <c r="D31" s="943">
        <v>437</v>
      </c>
      <c r="E31" s="946">
        <f>D31/$D$30</f>
        <v>0.41858237547892718</v>
      </c>
    </row>
    <row r="32" spans="1:5" x14ac:dyDescent="0.25">
      <c r="A32" s="942" t="s">
        <v>2305</v>
      </c>
      <c r="B32" s="943">
        <v>248</v>
      </c>
      <c r="C32" s="946">
        <f t="shared" si="4"/>
        <v>0.43738977072310403</v>
      </c>
      <c r="D32" s="943">
        <v>566</v>
      </c>
      <c r="E32" s="946">
        <f>D32/$D$30</f>
        <v>0.54214559386973182</v>
      </c>
    </row>
    <row r="33" spans="1:5" x14ac:dyDescent="0.25">
      <c r="A33" s="942" t="s">
        <v>2306</v>
      </c>
      <c r="B33" s="943">
        <v>28</v>
      </c>
      <c r="C33" s="946">
        <f t="shared" si="4"/>
        <v>4.9382716049382713E-2</v>
      </c>
      <c r="D33" s="943">
        <v>24</v>
      </c>
      <c r="E33" s="946">
        <f>D33/$D$30</f>
        <v>2.2988505747126436E-2</v>
      </c>
    </row>
    <row r="34" spans="1:5" x14ac:dyDescent="0.25">
      <c r="A34" s="942" t="s">
        <v>2307</v>
      </c>
      <c r="B34" s="943">
        <v>14</v>
      </c>
      <c r="C34" s="946">
        <f>B34/$B$30</f>
        <v>2.4691358024691357E-2</v>
      </c>
      <c r="D34" s="943">
        <v>17</v>
      </c>
      <c r="E34" s="946">
        <f>D34/$D$30</f>
        <v>1.6283524904214558E-2</v>
      </c>
    </row>
    <row r="35" spans="1:5" x14ac:dyDescent="0.25">
      <c r="A35" s="720" t="s">
        <v>2308</v>
      </c>
      <c r="B35" s="940">
        <f>SUM(B36:B37)</f>
        <v>378</v>
      </c>
      <c r="C35" s="945">
        <f>SUM(C36:C37)</f>
        <v>1</v>
      </c>
      <c r="D35" s="940">
        <f>SUM(D36:D37)</f>
        <v>1017</v>
      </c>
      <c r="E35" s="945">
        <f>SUM(E36:E37)</f>
        <v>1</v>
      </c>
    </row>
    <row r="36" spans="1:5" x14ac:dyDescent="0.25">
      <c r="A36" s="942" t="s">
        <v>2309</v>
      </c>
      <c r="B36" s="943">
        <v>305</v>
      </c>
      <c r="C36" s="946">
        <f>B36/$B$35</f>
        <v>0.80687830687830686</v>
      </c>
      <c r="D36" s="943">
        <v>911</v>
      </c>
      <c r="E36" s="946">
        <f>D36/$D$35</f>
        <v>0.89577187807276304</v>
      </c>
    </row>
    <row r="37" spans="1:5" x14ac:dyDescent="0.25">
      <c r="A37" s="942" t="s">
        <v>2310</v>
      </c>
      <c r="B37" s="943">
        <v>73</v>
      </c>
      <c r="C37" s="946">
        <f>B37/$B$35</f>
        <v>0.19312169312169311</v>
      </c>
      <c r="D37" s="943">
        <v>106</v>
      </c>
      <c r="E37" s="946">
        <f>D37/$D$35</f>
        <v>0.10422812192723697</v>
      </c>
    </row>
    <row r="38" spans="1:5" x14ac:dyDescent="0.25">
      <c r="A38" s="720" t="s">
        <v>2311</v>
      </c>
      <c r="B38" s="940">
        <f>SUM(B39:B44)</f>
        <v>391</v>
      </c>
      <c r="C38" s="945">
        <f>SUM(C39:C44)</f>
        <v>1</v>
      </c>
      <c r="D38" s="940">
        <f>SUM(D39:D44)</f>
        <v>1015</v>
      </c>
      <c r="E38" s="945">
        <f>SUM(E39:E44)</f>
        <v>1</v>
      </c>
    </row>
    <row r="39" spans="1:5" x14ac:dyDescent="0.25">
      <c r="A39" s="942" t="s">
        <v>2312</v>
      </c>
      <c r="B39" s="943">
        <v>72</v>
      </c>
      <c r="C39" s="946">
        <f>B39/$B$38</f>
        <v>0.18414322250639387</v>
      </c>
      <c r="D39" s="943">
        <v>133</v>
      </c>
      <c r="E39" s="946">
        <f>SUM(D39)/$D$38</f>
        <v>0.1310344827586207</v>
      </c>
    </row>
    <row r="40" spans="1:5" x14ac:dyDescent="0.25">
      <c r="A40" s="942" t="s">
        <v>2313</v>
      </c>
      <c r="B40" s="943">
        <v>18</v>
      </c>
      <c r="C40" s="946">
        <f t="shared" ref="C40:C44" si="5">B40/$B$38</f>
        <v>4.6035805626598467E-2</v>
      </c>
      <c r="D40" s="943">
        <v>30</v>
      </c>
      <c r="E40" s="946">
        <f t="shared" ref="E40:E44" si="6">SUM(D40)/$D$38</f>
        <v>2.9556650246305417E-2</v>
      </c>
    </row>
    <row r="41" spans="1:5" x14ac:dyDescent="0.25">
      <c r="A41" s="942" t="s">
        <v>2314</v>
      </c>
      <c r="B41" s="943">
        <v>268</v>
      </c>
      <c r="C41" s="946">
        <f t="shared" si="5"/>
        <v>0.68542199488491051</v>
      </c>
      <c r="D41" s="943">
        <v>806</v>
      </c>
      <c r="E41" s="946">
        <f t="shared" si="6"/>
        <v>0.7940886699507389</v>
      </c>
    </row>
    <row r="42" spans="1:5" x14ac:dyDescent="0.25">
      <c r="A42" s="942" t="s">
        <v>2315</v>
      </c>
      <c r="B42" s="943">
        <v>28</v>
      </c>
      <c r="C42" s="946">
        <f t="shared" si="5"/>
        <v>7.1611253196930943E-2</v>
      </c>
      <c r="D42" s="943">
        <v>30</v>
      </c>
      <c r="E42" s="946">
        <f t="shared" si="6"/>
        <v>2.9556650246305417E-2</v>
      </c>
    </row>
    <row r="43" spans="1:5" x14ac:dyDescent="0.25">
      <c r="A43" s="942" t="s">
        <v>2316</v>
      </c>
      <c r="B43" s="943">
        <v>0</v>
      </c>
      <c r="C43" s="946">
        <f t="shared" si="5"/>
        <v>0</v>
      </c>
      <c r="D43" s="943">
        <v>16</v>
      </c>
      <c r="E43" s="946">
        <f t="shared" si="6"/>
        <v>1.5763546798029555E-2</v>
      </c>
    </row>
    <row r="44" spans="1:5" x14ac:dyDescent="0.25">
      <c r="A44" s="942" t="s">
        <v>2317</v>
      </c>
      <c r="B44" s="943">
        <v>5</v>
      </c>
      <c r="C44" s="946">
        <f t="shared" si="5"/>
        <v>1.278772378516624E-2</v>
      </c>
      <c r="D44" s="943" t="s">
        <v>1224</v>
      </c>
      <c r="E44" s="946">
        <f t="shared" si="6"/>
        <v>0</v>
      </c>
    </row>
    <row r="45" spans="1:5" ht="21" x14ac:dyDescent="0.25">
      <c r="A45" s="720" t="s">
        <v>2318</v>
      </c>
      <c r="B45" s="940">
        <f>SUM(B46:B48)</f>
        <v>362</v>
      </c>
      <c r="C45" s="945">
        <f>SUM(C46:C48)</f>
        <v>1</v>
      </c>
      <c r="D45" s="940">
        <f>SUM(D46:D48)</f>
        <v>700</v>
      </c>
      <c r="E45" s="945">
        <f>D45/$D$45</f>
        <v>1</v>
      </c>
    </row>
    <row r="46" spans="1:5" x14ac:dyDescent="0.25">
      <c r="A46" s="942" t="s">
        <v>2319</v>
      </c>
      <c r="B46" s="943">
        <v>113</v>
      </c>
      <c r="C46" s="946">
        <f>B46/$B$45</f>
        <v>0.31215469613259667</v>
      </c>
      <c r="D46" s="943">
        <v>352</v>
      </c>
      <c r="E46" s="947">
        <f>D46/$D$45</f>
        <v>0.50285714285714289</v>
      </c>
    </row>
    <row r="47" spans="1:5" x14ac:dyDescent="0.25">
      <c r="A47" s="942" t="s">
        <v>2320</v>
      </c>
      <c r="B47" s="943">
        <v>52</v>
      </c>
      <c r="C47" s="946">
        <f t="shared" ref="C47:C48" si="7">B47/$B$45</f>
        <v>0.143646408839779</v>
      </c>
      <c r="D47" s="943">
        <v>124</v>
      </c>
      <c r="E47" s="947">
        <f>D47/$D$45</f>
        <v>0.17714285714285713</v>
      </c>
    </row>
    <row r="48" spans="1:5" x14ac:dyDescent="0.25">
      <c r="A48" s="942" t="s">
        <v>2321</v>
      </c>
      <c r="B48" s="943">
        <v>197</v>
      </c>
      <c r="C48" s="946">
        <f t="shared" si="7"/>
        <v>0.54419889502762431</v>
      </c>
      <c r="D48" s="943">
        <v>224</v>
      </c>
      <c r="E48" s="947">
        <f>D48/$D$45</f>
        <v>0.32</v>
      </c>
    </row>
    <row r="50" spans="1:1" x14ac:dyDescent="0.25">
      <c r="A50" s="948" t="s">
        <v>19</v>
      </c>
    </row>
    <row r="51" spans="1:1" x14ac:dyDescent="0.25">
      <c r="A51" s="949" t="s">
        <v>2322</v>
      </c>
    </row>
  </sheetData>
  <mergeCells count="4">
    <mergeCell ref="A2:E2"/>
    <mergeCell ref="A4:A5"/>
    <mergeCell ref="B4:C4"/>
    <mergeCell ref="D4:E4"/>
  </mergeCells>
  <pageMargins left="0.7" right="0.7" top="0.75" bottom="0.75" header="0.3" footer="0.3"/>
  <pageSetup paperSize="14" scale="88"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FF5ED-5287-45F9-BB93-E84B42E58AAA}">
  <sheetPr codeName="Hoja17">
    <tabColor theme="8"/>
  </sheetPr>
  <dimension ref="A2:A12"/>
  <sheetViews>
    <sheetView workbookViewId="0">
      <selection activeCell="A4" sqref="A4"/>
    </sheetView>
  </sheetViews>
  <sheetFormatPr baseColWidth="10" defaultColWidth="11.44140625" defaultRowHeight="10.199999999999999" x14ac:dyDescent="0.2"/>
  <cols>
    <col min="1" max="16384" width="11.44140625" style="62"/>
  </cols>
  <sheetData>
    <row r="2" spans="1:1" ht="12.75" customHeight="1" x14ac:dyDescent="0.2">
      <c r="A2" s="63" t="s">
        <v>293</v>
      </c>
    </row>
    <row r="4" spans="1:1" x14ac:dyDescent="0.2">
      <c r="A4" s="182" t="s">
        <v>294</v>
      </c>
    </row>
    <row r="5" spans="1:1" x14ac:dyDescent="0.2">
      <c r="A5" s="182" t="s">
        <v>295</v>
      </c>
    </row>
    <row r="6" spans="1:1" x14ac:dyDescent="0.2">
      <c r="A6" s="182" t="s">
        <v>296</v>
      </c>
    </row>
    <row r="7" spans="1:1" x14ac:dyDescent="0.2">
      <c r="A7" s="182" t="s">
        <v>297</v>
      </c>
    </row>
    <row r="8" spans="1:1" x14ac:dyDescent="0.2">
      <c r="A8" s="182" t="s">
        <v>298</v>
      </c>
    </row>
    <row r="9" spans="1:1" x14ac:dyDescent="0.2">
      <c r="A9" s="182" t="s">
        <v>299</v>
      </c>
    </row>
    <row r="10" spans="1:1" x14ac:dyDescent="0.2">
      <c r="A10" s="182" t="s">
        <v>300</v>
      </c>
    </row>
    <row r="11" spans="1:1" x14ac:dyDescent="0.2">
      <c r="A11" s="182" t="s">
        <v>301</v>
      </c>
    </row>
    <row r="12" spans="1:1" x14ac:dyDescent="0.2">
      <c r="A12" s="182" t="s">
        <v>302</v>
      </c>
    </row>
  </sheetData>
  <hyperlinks>
    <hyperlink ref="A4" location="'2.4-01'!A1" display="CUADRO 2.4-01: COMERCIO EXTERIOR DE BIENES Y SERVICIOS CULTURALES Y CREATIVOS, SEGÚN DOMINIO CULTURAL. 2013/1" xr:uid="{F3F1B8D6-BB64-4DB7-9750-E929A313238A}"/>
    <hyperlink ref="A5" location="'2.4-02'!A1" display="CUADRO 2.4-02: IMPORTACIÓN Y EXPORTACIÓN DE &quot;INSUMOS PARA LA CREACIÓN&quot;, SEGÚN DOMINIO, SUBDOMINIO CULTURAL Y TIPO DE PRODUCTO. 2013/1" xr:uid="{C82E888D-5170-456D-9D9F-9C0843643F02}"/>
    <hyperlink ref="A6" location="'2.4-03'!A1" display="CUADRO 2.4-03: IMPORTACIÓN Y EXPORTACIÓN DE &quot;APARATOS PARA LA REPRODUCCIÓN&quot;, SEGÚN DOMINIO, SUBDOMINIO CULTURAL Y TIPO DE PRODUCTO. 2013/1" xr:uid="{6771EAB6-7101-43AB-9C1E-7BA4A8F37785}"/>
    <hyperlink ref="A7" location="'2.4-04'!A1" display="CUADRO 2.4-04: IMPORTACIÓN Y EXPORTACIÓN DE &quot;PRODUCTO TERMINADO&quot;, SEGÚN DOMINIO, SUBDOMINIO CULTURAL Y TIPO DE PRODUCTO. 2013/1 " xr:uid="{B4A4EC76-1A6B-42F2-ACF5-35FC77275016}"/>
    <hyperlink ref="A8" location="'2.4-05'!A1" display="CUADRO 2.4-05: EXPORTACIONES DE BIENES Y PRODUCTOS CULTURALES POR  PAÍS DE DESTINO, SEGÚN DOMINIO Y SUBDOMINIO CULTURAL. 2013/1" xr:uid="{37ED7512-599B-4958-BA9E-D4555A8C4E39}"/>
    <hyperlink ref="A9" location="'2.4-06'!A1" display="CUADRO 2.4-06: IMPORTACIONES DE BIENES Y PRODUCTOS CULTURALES POR PAÍS DE ORIGEN, SEGÚN DOMINIO Y SUBDOMINIO CULTURAL. 2013/1" xr:uid="{00BDBF2D-3B76-456F-8FB3-3DF0A42D045C}"/>
    <hyperlink ref="A10" location="'2.4-07'!A1" display="CUADRO 2.4-07: EXPORTACIONES DE SERVICIOS CULTURALES, SEGÚN DOMINIO Y SUBDOMINIO CULTURAL. 2008-2013/1/2/3" xr:uid="{D2FA3B02-F7F6-4F7D-A78A-D5D72A4BB9FD}"/>
    <hyperlink ref="A11" location="'2.4-08'!A1" display="CUADRO 2.4-08: DETALLE DE EXPORTACIONES DE SERVICIOS CULTURALES SEGÚN DOMINIO Y SUBDOMINIO CULTURAL. 2013/1" xr:uid="{CC8DB71A-AB59-44A4-B2F0-BF6EA89DF940}"/>
    <hyperlink ref="A12" location="'2.4-09'!A1" display="CUADRO 2.4-09: EXPORTACIONES DE SERVICIOS CULTURALES POR  PAÍS DE DESTINO, SEGÚN DOMINIO Y SUBDOMINIO CULTURAL. 2013/1" xr:uid="{E998152E-72EC-4C31-B826-171AB14770B7}"/>
  </hyperlinks>
  <pageMargins left="0.7" right="0.7" top="0.75" bottom="0.75" header="0.3" footer="0.3"/>
  <pageSetup paperSize="14" orientation="portrait"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D82093-4767-4950-8BC3-BC428EE066EE}">
  <sheetPr codeName="Hoja170"/>
  <dimension ref="A1:K18"/>
  <sheetViews>
    <sheetView zoomScaleNormal="100" workbookViewId="0">
      <selection activeCell="D42" sqref="D42"/>
    </sheetView>
  </sheetViews>
  <sheetFormatPr baseColWidth="10" defaultRowHeight="13.2" x14ac:dyDescent="0.25"/>
  <cols>
    <col min="1" max="1" width="27.33203125" customWidth="1"/>
    <col min="2" max="3" width="14.109375" bestFit="1" customWidth="1"/>
    <col min="4" max="6" width="15.33203125" bestFit="1" customWidth="1"/>
  </cols>
  <sheetData>
    <row r="1" spans="1:11" s="141" customFormat="1" ht="15.6" x14ac:dyDescent="0.2">
      <c r="A1" s="687"/>
    </row>
    <row r="2" spans="1:11" s="141" customFormat="1" ht="24" customHeight="1" x14ac:dyDescent="0.2">
      <c r="A2" s="308" t="s">
        <v>2245</v>
      </c>
      <c r="B2" s="308"/>
      <c r="C2" s="308"/>
      <c r="D2" s="308"/>
      <c r="E2" s="308"/>
      <c r="F2" s="308"/>
    </row>
    <row r="3" spans="1:11" s="717" customFormat="1" ht="15.75" customHeight="1" x14ac:dyDescent="0.2">
      <c r="A3" s="141"/>
      <c r="B3" s="141"/>
      <c r="C3" s="141"/>
      <c r="D3" s="141"/>
      <c r="E3" s="141"/>
      <c r="F3" s="141"/>
      <c r="G3" s="141"/>
    </row>
    <row r="4" spans="1:11" s="717" customFormat="1" ht="15.75" customHeight="1" x14ac:dyDescent="0.25">
      <c r="A4" s="716" t="s">
        <v>2323</v>
      </c>
      <c r="B4" s="716" t="s">
        <v>2324</v>
      </c>
      <c r="C4" s="716"/>
      <c r="D4" s="716"/>
      <c r="E4" s="716"/>
      <c r="F4" s="716"/>
      <c r="I4" s="457"/>
      <c r="J4" s="457"/>
      <c r="K4" s="457"/>
    </row>
    <row r="5" spans="1:11" s="141" customFormat="1" ht="10.199999999999999" x14ac:dyDescent="0.2">
      <c r="A5" s="716"/>
      <c r="B5" s="453">
        <v>2009</v>
      </c>
      <c r="C5" s="453">
        <v>2010</v>
      </c>
      <c r="D5" s="453">
        <v>2011</v>
      </c>
      <c r="E5" s="453">
        <v>2012</v>
      </c>
      <c r="F5" s="453">
        <v>2013</v>
      </c>
      <c r="G5" s="717"/>
      <c r="I5" s="950"/>
      <c r="J5" s="913"/>
      <c r="K5" s="913"/>
    </row>
    <row r="6" spans="1:11" s="141" customFormat="1" ht="10.199999999999999" x14ac:dyDescent="0.2">
      <c r="A6" s="706" t="s">
        <v>42</v>
      </c>
      <c r="B6" s="913">
        <f>SUM(B7:B14)</f>
        <v>8665621512</v>
      </c>
      <c r="C6" s="913">
        <f>SUM(C7:C14)</f>
        <v>9586549376</v>
      </c>
      <c r="D6" s="913">
        <f>SUM(D7:D14)</f>
        <v>11449314288</v>
      </c>
      <c r="E6" s="913">
        <f>SUM(E7:E14)</f>
        <v>12444855932</v>
      </c>
      <c r="F6" s="913">
        <f>SUM(F7:F14)</f>
        <v>13375208881</v>
      </c>
      <c r="G6" s="903"/>
      <c r="I6" s="903"/>
      <c r="J6" s="903"/>
      <c r="K6" s="903"/>
    </row>
    <row r="7" spans="1:11" s="141" customFormat="1" ht="10.199999999999999" x14ac:dyDescent="0.2">
      <c r="A7" s="141" t="s">
        <v>155</v>
      </c>
      <c r="B7" s="903">
        <v>716957346</v>
      </c>
      <c r="C7" s="903">
        <v>750405041</v>
      </c>
      <c r="D7" s="903">
        <v>872027916</v>
      </c>
      <c r="E7" s="903">
        <v>932524932</v>
      </c>
      <c r="F7" s="903">
        <v>1001313327</v>
      </c>
      <c r="G7" s="903"/>
      <c r="I7" s="903"/>
      <c r="J7" s="903"/>
      <c r="K7" s="903"/>
    </row>
    <row r="8" spans="1:11" s="141" customFormat="1" ht="10.199999999999999" x14ac:dyDescent="0.2">
      <c r="A8" s="141" t="s">
        <v>156</v>
      </c>
      <c r="B8" s="903">
        <v>1372414305</v>
      </c>
      <c r="C8" s="903">
        <v>1470387817</v>
      </c>
      <c r="D8" s="903">
        <v>1738710584</v>
      </c>
      <c r="E8" s="903">
        <v>1730573577</v>
      </c>
      <c r="F8" s="903">
        <v>1757087722</v>
      </c>
      <c r="I8" s="903"/>
      <c r="J8" s="903"/>
      <c r="K8" s="903"/>
    </row>
    <row r="9" spans="1:11" s="141" customFormat="1" ht="10.199999999999999" x14ac:dyDescent="0.2">
      <c r="A9" s="141" t="s">
        <v>157</v>
      </c>
      <c r="B9" s="903">
        <v>302792040</v>
      </c>
      <c r="C9" s="903">
        <v>302696799</v>
      </c>
      <c r="D9" s="903">
        <v>410291821</v>
      </c>
      <c r="E9" s="903">
        <v>486691909</v>
      </c>
      <c r="F9" s="903">
        <v>520308891</v>
      </c>
      <c r="I9" s="903"/>
      <c r="J9" s="903"/>
      <c r="K9" s="903"/>
    </row>
    <row r="10" spans="1:11" s="141" customFormat="1" ht="10.199999999999999" x14ac:dyDescent="0.2">
      <c r="A10" s="141" t="s">
        <v>158</v>
      </c>
      <c r="B10" s="903">
        <v>3816742175</v>
      </c>
      <c r="C10" s="903">
        <v>3929640416</v>
      </c>
      <c r="D10" s="903">
        <v>4806349245</v>
      </c>
      <c r="E10" s="903">
        <v>4905605431</v>
      </c>
      <c r="F10" s="903">
        <v>5502885703</v>
      </c>
      <c r="I10" s="903"/>
      <c r="J10" s="903"/>
      <c r="K10" s="903"/>
    </row>
    <row r="11" spans="1:11" s="141" customFormat="1" ht="10.199999999999999" x14ac:dyDescent="0.2">
      <c r="A11" s="141" t="s">
        <v>159</v>
      </c>
      <c r="B11" s="903">
        <v>815716876</v>
      </c>
      <c r="C11" s="903">
        <v>1053380240</v>
      </c>
      <c r="D11" s="903">
        <v>1161427101</v>
      </c>
      <c r="E11" s="903">
        <v>1615509413</v>
      </c>
      <c r="F11" s="903">
        <v>1458214938</v>
      </c>
      <c r="I11" s="903"/>
      <c r="J11" s="903"/>
      <c r="K11" s="903"/>
    </row>
    <row r="12" spans="1:11" s="141" customFormat="1" ht="10.199999999999999" x14ac:dyDescent="0.2">
      <c r="A12" s="141" t="s">
        <v>160</v>
      </c>
      <c r="B12" s="903">
        <v>65318618</v>
      </c>
      <c r="C12" s="903">
        <v>93250045</v>
      </c>
      <c r="D12" s="903">
        <v>118631921</v>
      </c>
      <c r="E12" s="903">
        <v>131250303</v>
      </c>
      <c r="F12" s="903">
        <v>143834040</v>
      </c>
      <c r="I12" s="903"/>
      <c r="J12" s="903"/>
      <c r="K12" s="903"/>
    </row>
    <row r="13" spans="1:11" s="141" customFormat="1" ht="10.199999999999999" x14ac:dyDescent="0.2">
      <c r="A13" s="141" t="s">
        <v>2325</v>
      </c>
      <c r="B13" s="903">
        <v>1552616675</v>
      </c>
      <c r="C13" s="903">
        <v>1947936680</v>
      </c>
      <c r="D13" s="903">
        <v>2307718202</v>
      </c>
      <c r="E13" s="903">
        <v>2593398864</v>
      </c>
      <c r="F13" s="903">
        <v>2933683788</v>
      </c>
      <c r="I13" s="903"/>
      <c r="J13" s="903"/>
      <c r="K13" s="903"/>
    </row>
    <row r="14" spans="1:11" s="141" customFormat="1" ht="10.199999999999999" x14ac:dyDescent="0.2">
      <c r="A14" s="141" t="s">
        <v>162</v>
      </c>
      <c r="B14" s="903">
        <v>23063477</v>
      </c>
      <c r="C14" s="903">
        <v>38852338</v>
      </c>
      <c r="D14" s="903">
        <v>34157498</v>
      </c>
      <c r="E14" s="903">
        <v>49301503</v>
      </c>
      <c r="F14" s="903">
        <v>57880472</v>
      </c>
      <c r="I14" s="903"/>
      <c r="J14" s="903"/>
      <c r="K14" s="903"/>
    </row>
    <row r="15" spans="1:11" s="141" customFormat="1" ht="6.75" customHeight="1" x14ac:dyDescent="0.2">
      <c r="B15" s="903"/>
      <c r="C15" s="903"/>
      <c r="D15" s="903"/>
      <c r="E15" s="903"/>
      <c r="F15" s="903"/>
    </row>
    <row r="16" spans="1:11" s="141" customFormat="1" ht="10.199999999999999" x14ac:dyDescent="0.2">
      <c r="A16" s="141" t="s">
        <v>2326</v>
      </c>
      <c r="E16" s="913"/>
    </row>
    <row r="17" spans="1:5" s="141" customFormat="1" ht="10.199999999999999" x14ac:dyDescent="0.2">
      <c r="A17" s="141" t="s">
        <v>2273</v>
      </c>
      <c r="E17" s="913"/>
    </row>
    <row r="18" spans="1:5" s="141" customFormat="1" ht="10.199999999999999" x14ac:dyDescent="0.2"/>
  </sheetData>
  <mergeCells count="3">
    <mergeCell ref="A2:F2"/>
    <mergeCell ref="A4:A5"/>
    <mergeCell ref="B4:F4"/>
  </mergeCells>
  <pageMargins left="0.7" right="0.7" top="0.75" bottom="0.75" header="0.3" footer="0.3"/>
  <pageSetup paperSize="14" scale="89" orientation="portrait"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4CF4AC-F6F6-45AB-B0FB-8F5D2DAED0D1}">
  <sheetPr codeName="Hoja171"/>
  <dimension ref="A1:L67"/>
  <sheetViews>
    <sheetView zoomScaleNormal="100" workbookViewId="0">
      <selection activeCell="D42" sqref="D42"/>
    </sheetView>
  </sheetViews>
  <sheetFormatPr baseColWidth="10" defaultColWidth="11.44140625" defaultRowHeight="10.199999999999999" x14ac:dyDescent="0.2"/>
  <cols>
    <col min="1" max="1" width="46.5546875" style="141" customWidth="1"/>
    <col min="2" max="3" width="14.109375" style="141" bestFit="1" customWidth="1"/>
    <col min="4" max="4" width="15.33203125" style="141" bestFit="1" customWidth="1"/>
    <col min="5" max="5" width="16.44140625" style="141" customWidth="1"/>
    <col min="6" max="6" width="15.33203125" style="141" bestFit="1" customWidth="1"/>
    <col min="7" max="7" width="11.109375" style="141" bestFit="1" customWidth="1"/>
    <col min="8" max="8" width="11.44140625" style="141"/>
    <col min="9" max="9" width="15.88671875" style="141" customWidth="1"/>
    <col min="10" max="10" width="14" style="141" customWidth="1"/>
    <col min="11" max="11" width="12" style="141" bestFit="1" customWidth="1"/>
    <col min="12" max="16384" width="11.44140625" style="141"/>
  </cols>
  <sheetData>
    <row r="1" spans="1:12" ht="15.6" x14ac:dyDescent="0.2">
      <c r="A1" s="687"/>
    </row>
    <row r="2" spans="1:12" ht="21.75" customHeight="1" x14ac:dyDescent="0.2">
      <c r="A2" s="308" t="s">
        <v>2246</v>
      </c>
      <c r="B2" s="308"/>
      <c r="C2" s="308"/>
      <c r="D2" s="308"/>
      <c r="E2" s="308"/>
      <c r="F2" s="308"/>
    </row>
    <row r="3" spans="1:12" ht="16.5" customHeight="1" x14ac:dyDescent="0.2">
      <c r="A3" s="706"/>
      <c r="L3" s="750"/>
    </row>
    <row r="4" spans="1:12" ht="16.5" customHeight="1" x14ac:dyDescent="0.2">
      <c r="A4" s="716" t="s">
        <v>2150</v>
      </c>
      <c r="B4" s="716" t="s">
        <v>2324</v>
      </c>
      <c r="C4" s="716"/>
      <c r="D4" s="716"/>
      <c r="E4" s="716"/>
      <c r="F4" s="716"/>
      <c r="I4" s="750"/>
      <c r="J4" s="750"/>
      <c r="K4" s="750"/>
      <c r="L4" s="750"/>
    </row>
    <row r="5" spans="1:12" x14ac:dyDescent="0.2">
      <c r="A5" s="716"/>
      <c r="B5" s="453">
        <v>2009</v>
      </c>
      <c r="C5" s="453">
        <v>2010</v>
      </c>
      <c r="D5" s="453">
        <v>2011</v>
      </c>
      <c r="E5" s="453">
        <v>2012</v>
      </c>
      <c r="F5" s="453">
        <v>2013</v>
      </c>
      <c r="I5" s="950"/>
      <c r="J5" s="950"/>
      <c r="K5" s="950"/>
      <c r="L5" s="913"/>
    </row>
    <row r="6" spans="1:12" x14ac:dyDescent="0.2">
      <c r="A6" s="706" t="s">
        <v>3</v>
      </c>
      <c r="B6" s="913">
        <f>SUM(B7:B9)</f>
        <v>5521731157</v>
      </c>
      <c r="C6" s="913">
        <f>SUM(C7:C9)</f>
        <v>7008109839</v>
      </c>
      <c r="D6" s="913">
        <f>SUM(D7:D9)</f>
        <v>7844990076</v>
      </c>
      <c r="E6" s="913">
        <f>SUM(E7:E9)</f>
        <v>9235984781</v>
      </c>
      <c r="F6" s="913">
        <f>SUM(F7:F9)</f>
        <v>10588567636</v>
      </c>
      <c r="I6" s="950"/>
      <c r="J6" s="950"/>
      <c r="K6" s="951"/>
      <c r="L6" s="951"/>
    </row>
    <row r="7" spans="1:12" x14ac:dyDescent="0.2">
      <c r="A7" s="141" t="s">
        <v>183</v>
      </c>
      <c r="B7" s="950">
        <v>1040701491</v>
      </c>
      <c r="C7" s="950">
        <v>1178419120</v>
      </c>
      <c r="D7" s="952">
        <v>1307132912</v>
      </c>
      <c r="E7" s="952">
        <v>1474820887</v>
      </c>
      <c r="F7" s="950">
        <v>1810278275</v>
      </c>
      <c r="I7" s="950"/>
      <c r="J7" s="950"/>
      <c r="K7" s="951"/>
      <c r="L7" s="951"/>
    </row>
    <row r="8" spans="1:12" x14ac:dyDescent="0.2">
      <c r="A8" s="141" t="s">
        <v>185</v>
      </c>
      <c r="B8" s="950">
        <v>1920623381</v>
      </c>
      <c r="C8" s="950">
        <v>2268375174</v>
      </c>
      <c r="D8" s="952">
        <v>2508433594</v>
      </c>
      <c r="E8" s="952">
        <v>2964090787</v>
      </c>
      <c r="F8" s="950">
        <v>3433107578</v>
      </c>
      <c r="I8" s="950"/>
      <c r="J8" s="950"/>
      <c r="K8" s="951"/>
      <c r="L8" s="951"/>
    </row>
    <row r="9" spans="1:12" x14ac:dyDescent="0.2">
      <c r="A9" s="141" t="s">
        <v>186</v>
      </c>
      <c r="B9" s="950">
        <v>2560406285</v>
      </c>
      <c r="C9" s="950">
        <v>3561315545</v>
      </c>
      <c r="D9" s="952">
        <v>4029423570</v>
      </c>
      <c r="E9" s="952">
        <v>4797073107</v>
      </c>
      <c r="F9" s="950">
        <v>5345181783</v>
      </c>
      <c r="I9" s="950"/>
      <c r="J9" s="950"/>
      <c r="K9" s="951"/>
      <c r="L9" s="951"/>
    </row>
    <row r="10" spans="1:12" ht="6" customHeight="1" x14ac:dyDescent="0.2">
      <c r="B10" s="950"/>
      <c r="C10" s="950"/>
      <c r="D10" s="952"/>
      <c r="E10" s="952"/>
      <c r="F10" s="950"/>
    </row>
    <row r="11" spans="1:12" x14ac:dyDescent="0.2">
      <c r="A11" s="141" t="s">
        <v>2326</v>
      </c>
      <c r="I11" s="953"/>
    </row>
    <row r="12" spans="1:12" x14ac:dyDescent="0.2">
      <c r="A12" s="141" t="s">
        <v>2273</v>
      </c>
    </row>
    <row r="13" spans="1:12" x14ac:dyDescent="0.2">
      <c r="B13" s="953"/>
    </row>
    <row r="14" spans="1:12" x14ac:dyDescent="0.2">
      <c r="B14" s="953"/>
    </row>
    <row r="15" spans="1:12" x14ac:dyDescent="0.2">
      <c r="A15" s="706" t="s">
        <v>2176</v>
      </c>
      <c r="B15" s="953"/>
    </row>
    <row r="16" spans="1:12" x14ac:dyDescent="0.2">
      <c r="A16" s="954" t="s">
        <v>2327</v>
      </c>
      <c r="B16" s="954">
        <v>2009</v>
      </c>
      <c r="C16" s="954">
        <v>2010</v>
      </c>
      <c r="D16" s="954">
        <v>2011</v>
      </c>
      <c r="E16" s="954">
        <v>2012</v>
      </c>
      <c r="F16" s="954">
        <v>2013</v>
      </c>
    </row>
    <row r="17" spans="1:6" x14ac:dyDescent="0.2">
      <c r="A17" s="955" t="s">
        <v>3</v>
      </c>
      <c r="B17" s="956">
        <v>5521731157</v>
      </c>
      <c r="C17" s="956">
        <v>7008109839</v>
      </c>
      <c r="D17" s="956">
        <v>7844990076</v>
      </c>
      <c r="E17" s="956">
        <v>9235984781</v>
      </c>
      <c r="F17" s="956">
        <v>10588567636</v>
      </c>
    </row>
    <row r="18" spans="1:6" x14ac:dyDescent="0.2">
      <c r="A18" s="957" t="s">
        <v>183</v>
      </c>
      <c r="B18" s="956">
        <v>1040701491</v>
      </c>
      <c r="C18" s="956">
        <v>1178419120</v>
      </c>
      <c r="D18" s="956">
        <v>1307132912</v>
      </c>
      <c r="E18" s="956">
        <v>1474820887</v>
      </c>
      <c r="F18" s="956">
        <v>1810278275</v>
      </c>
    </row>
    <row r="19" spans="1:6" x14ac:dyDescent="0.2">
      <c r="A19" s="957" t="s">
        <v>185</v>
      </c>
      <c r="B19" s="956">
        <v>1920623381</v>
      </c>
      <c r="C19" s="956">
        <v>2268375174</v>
      </c>
      <c r="D19" s="956">
        <v>2508433594</v>
      </c>
      <c r="E19" s="956">
        <v>2964090787</v>
      </c>
      <c r="F19" s="956">
        <v>3433107578</v>
      </c>
    </row>
    <row r="20" spans="1:6" x14ac:dyDescent="0.2">
      <c r="A20" s="957" t="s">
        <v>186</v>
      </c>
      <c r="B20" s="956">
        <v>2560406285</v>
      </c>
      <c r="C20" s="956">
        <v>3561315545</v>
      </c>
      <c r="D20" s="956">
        <v>4029423570</v>
      </c>
      <c r="E20" s="956">
        <v>4797073107</v>
      </c>
      <c r="F20" s="956">
        <v>5345181783</v>
      </c>
    </row>
    <row r="21" spans="1:6" x14ac:dyDescent="0.2">
      <c r="B21" s="953"/>
    </row>
    <row r="22" spans="1:6" x14ac:dyDescent="0.2">
      <c r="B22" s="953"/>
    </row>
    <row r="23" spans="1:6" x14ac:dyDescent="0.2">
      <c r="B23" s="953"/>
    </row>
    <row r="24" spans="1:6" x14ac:dyDescent="0.2">
      <c r="B24" s="953"/>
    </row>
    <row r="25" spans="1:6" x14ac:dyDescent="0.2">
      <c r="B25" s="953"/>
    </row>
    <row r="26" spans="1:6" x14ac:dyDescent="0.2">
      <c r="B26" s="953"/>
    </row>
    <row r="27" spans="1:6" x14ac:dyDescent="0.2">
      <c r="B27" s="953"/>
    </row>
    <row r="28" spans="1:6" x14ac:dyDescent="0.2">
      <c r="B28" s="953"/>
    </row>
    <row r="29" spans="1:6" x14ac:dyDescent="0.2">
      <c r="B29" s="953"/>
    </row>
    <row r="30" spans="1:6" x14ac:dyDescent="0.2">
      <c r="B30" s="953"/>
    </row>
    <row r="31" spans="1:6" x14ac:dyDescent="0.2">
      <c r="B31" s="953"/>
    </row>
    <row r="32" spans="1:6" x14ac:dyDescent="0.2">
      <c r="B32" s="953"/>
    </row>
    <row r="33" spans="2:2" x14ac:dyDescent="0.2">
      <c r="B33" s="953"/>
    </row>
    <row r="34" spans="2:2" x14ac:dyDescent="0.2">
      <c r="B34" s="953"/>
    </row>
    <row r="35" spans="2:2" x14ac:dyDescent="0.2">
      <c r="B35" s="953"/>
    </row>
    <row r="36" spans="2:2" x14ac:dyDescent="0.2">
      <c r="B36" s="953"/>
    </row>
    <row r="37" spans="2:2" x14ac:dyDescent="0.2">
      <c r="B37" s="953"/>
    </row>
    <row r="38" spans="2:2" x14ac:dyDescent="0.2">
      <c r="B38" s="953"/>
    </row>
    <row r="39" spans="2:2" x14ac:dyDescent="0.2">
      <c r="B39" s="953"/>
    </row>
    <row r="40" spans="2:2" x14ac:dyDescent="0.2">
      <c r="B40" s="953"/>
    </row>
    <row r="41" spans="2:2" x14ac:dyDescent="0.2">
      <c r="B41" s="953"/>
    </row>
    <row r="42" spans="2:2" x14ac:dyDescent="0.2">
      <c r="B42" s="953"/>
    </row>
    <row r="43" spans="2:2" x14ac:dyDescent="0.2">
      <c r="B43" s="953"/>
    </row>
    <row r="44" spans="2:2" x14ac:dyDescent="0.2">
      <c r="B44" s="953"/>
    </row>
    <row r="45" spans="2:2" x14ac:dyDescent="0.2">
      <c r="B45" s="953"/>
    </row>
    <row r="46" spans="2:2" x14ac:dyDescent="0.2">
      <c r="B46" s="953"/>
    </row>
    <row r="47" spans="2:2" x14ac:dyDescent="0.2">
      <c r="B47" s="953"/>
    </row>
    <row r="48" spans="2:2" x14ac:dyDescent="0.2">
      <c r="B48" s="953"/>
    </row>
    <row r="49" spans="2:2" x14ac:dyDescent="0.2">
      <c r="B49" s="953"/>
    </row>
    <row r="50" spans="2:2" x14ac:dyDescent="0.2">
      <c r="B50" s="953"/>
    </row>
    <row r="51" spans="2:2" x14ac:dyDescent="0.2">
      <c r="B51" s="953"/>
    </row>
    <row r="52" spans="2:2" x14ac:dyDescent="0.2">
      <c r="B52" s="953"/>
    </row>
    <row r="53" spans="2:2" x14ac:dyDescent="0.2">
      <c r="B53" s="953"/>
    </row>
    <row r="54" spans="2:2" x14ac:dyDescent="0.2">
      <c r="B54" s="953"/>
    </row>
    <row r="55" spans="2:2" x14ac:dyDescent="0.2">
      <c r="B55" s="953"/>
    </row>
    <row r="56" spans="2:2" x14ac:dyDescent="0.2">
      <c r="B56" s="953"/>
    </row>
    <row r="57" spans="2:2" x14ac:dyDescent="0.2">
      <c r="B57" s="953"/>
    </row>
    <row r="58" spans="2:2" x14ac:dyDescent="0.2">
      <c r="B58" s="953"/>
    </row>
    <row r="59" spans="2:2" x14ac:dyDescent="0.2">
      <c r="B59" s="953"/>
    </row>
    <row r="60" spans="2:2" x14ac:dyDescent="0.2">
      <c r="B60" s="953"/>
    </row>
    <row r="61" spans="2:2" x14ac:dyDescent="0.2">
      <c r="B61" s="953"/>
    </row>
    <row r="62" spans="2:2" x14ac:dyDescent="0.2">
      <c r="B62" s="953"/>
    </row>
    <row r="63" spans="2:2" x14ac:dyDescent="0.2">
      <c r="B63" s="953"/>
    </row>
    <row r="64" spans="2:2" x14ac:dyDescent="0.2">
      <c r="B64" s="953"/>
    </row>
    <row r="65" spans="2:6" x14ac:dyDescent="0.2">
      <c r="B65" s="953"/>
    </row>
    <row r="66" spans="2:6" x14ac:dyDescent="0.2">
      <c r="F66" s="903"/>
    </row>
    <row r="67" spans="2:6" x14ac:dyDescent="0.2">
      <c r="F67" s="903"/>
    </row>
  </sheetData>
  <mergeCells count="3">
    <mergeCell ref="A2:F2"/>
    <mergeCell ref="A4:A5"/>
    <mergeCell ref="B4:F4"/>
  </mergeCells>
  <pageMargins left="0.7" right="0.7" top="0.75" bottom="0.75" header="0.3" footer="0.3"/>
  <pageSetup paperSize="14" scale="74" orientation="portrait" r:id="rId1"/>
  <drawing r:id="rId2"/>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0F3F06-D212-4432-8757-CA0F3984068D}">
  <sheetPr codeName="Hoja172"/>
  <dimension ref="A1:M20"/>
  <sheetViews>
    <sheetView zoomScaleNormal="100" workbookViewId="0">
      <selection activeCell="D42" sqref="D42"/>
    </sheetView>
  </sheetViews>
  <sheetFormatPr baseColWidth="10" defaultRowHeight="13.2" x14ac:dyDescent="0.25"/>
  <cols>
    <col min="1" max="1" width="22" customWidth="1"/>
    <col min="2" max="2" width="17.6640625" bestFit="1" customWidth="1"/>
    <col min="3" max="3" width="18.88671875" bestFit="1" customWidth="1"/>
    <col min="4" max="4" width="17.6640625" bestFit="1" customWidth="1"/>
    <col min="5" max="6" width="18.88671875" bestFit="1" customWidth="1"/>
  </cols>
  <sheetData>
    <row r="1" spans="1:13" ht="15.6" x14ac:dyDescent="0.25">
      <c r="A1" s="687"/>
    </row>
    <row r="2" spans="1:13" s="141" customFormat="1" ht="25.5" customHeight="1" x14ac:dyDescent="0.2">
      <c r="A2" s="308" t="s">
        <v>2247</v>
      </c>
      <c r="B2" s="308"/>
      <c r="C2" s="308"/>
      <c r="D2" s="308"/>
      <c r="E2" s="308"/>
      <c r="F2" s="308"/>
    </row>
    <row r="3" spans="1:13" s="141" customFormat="1" ht="10.199999999999999" x14ac:dyDescent="0.2">
      <c r="A3" s="747"/>
      <c r="B3" s="747"/>
      <c r="C3" s="747"/>
      <c r="D3" s="747"/>
      <c r="E3" s="747"/>
      <c r="F3" s="747"/>
    </row>
    <row r="4" spans="1:13" s="141" customFormat="1" ht="14.25" customHeight="1" x14ac:dyDescent="0.2">
      <c r="A4" s="706"/>
    </row>
    <row r="5" spans="1:13" s="141" customFormat="1" ht="14.25" customHeight="1" x14ac:dyDescent="0.2">
      <c r="A5" s="707" t="s">
        <v>2328</v>
      </c>
      <c r="B5" s="716" t="s">
        <v>2324</v>
      </c>
      <c r="C5" s="716"/>
      <c r="D5" s="716"/>
      <c r="E5" s="716"/>
      <c r="F5" s="716"/>
      <c r="I5" s="750"/>
      <c r="J5" s="750"/>
      <c r="K5" s="750"/>
      <c r="L5" s="750"/>
      <c r="M5" s="750"/>
    </row>
    <row r="6" spans="1:13" s="141" customFormat="1" ht="10.199999999999999" x14ac:dyDescent="0.2">
      <c r="A6" s="710"/>
      <c r="B6" s="453">
        <v>2009</v>
      </c>
      <c r="C6" s="453">
        <v>2010</v>
      </c>
      <c r="D6" s="453">
        <v>2011</v>
      </c>
      <c r="E6" s="453">
        <v>2012</v>
      </c>
      <c r="F6" s="453">
        <v>2013</v>
      </c>
      <c r="H6" s="718"/>
      <c r="I6" s="950"/>
      <c r="J6" s="950"/>
      <c r="K6" s="950"/>
      <c r="L6" s="950"/>
    </row>
    <row r="7" spans="1:13" s="141" customFormat="1" ht="10.199999999999999" x14ac:dyDescent="0.2">
      <c r="A7" s="958" t="s">
        <v>2329</v>
      </c>
      <c r="B7" s="959">
        <v>88076369</v>
      </c>
      <c r="C7" s="913">
        <v>132905476</v>
      </c>
      <c r="D7" s="913">
        <v>93685036</v>
      </c>
      <c r="E7" s="913">
        <v>151694202</v>
      </c>
      <c r="F7" s="913">
        <v>119931127</v>
      </c>
      <c r="H7" s="718"/>
      <c r="I7" s="911"/>
      <c r="J7" s="911"/>
      <c r="K7" s="911"/>
      <c r="L7" s="911"/>
      <c r="M7" s="911"/>
    </row>
    <row r="8" spans="1:13" s="141" customFormat="1" ht="10.199999999999999" x14ac:dyDescent="0.2">
      <c r="A8" s="958" t="s">
        <v>2327</v>
      </c>
      <c r="B8" s="959">
        <f>SUM(B9:B11)</f>
        <v>94999952</v>
      </c>
      <c r="C8" s="960">
        <f>SUM(C9:C11)</f>
        <v>87772250</v>
      </c>
      <c r="D8" s="960">
        <f>SUM(D9:D11)</f>
        <v>74340998</v>
      </c>
      <c r="E8" s="960">
        <f>SUM(E9:E11)</f>
        <v>186162609</v>
      </c>
      <c r="F8" s="960">
        <f>SUM(F9:F11)</f>
        <v>149283568</v>
      </c>
      <c r="I8" s="950"/>
      <c r="J8" s="950"/>
      <c r="K8" s="961"/>
      <c r="L8" s="961"/>
    </row>
    <row r="9" spans="1:13" s="141" customFormat="1" ht="10.199999999999999" x14ac:dyDescent="0.2">
      <c r="A9" s="141" t="s">
        <v>2330</v>
      </c>
      <c r="B9" s="962">
        <v>53584187</v>
      </c>
      <c r="C9" s="950">
        <v>53118338</v>
      </c>
      <c r="D9" s="963">
        <v>40229791</v>
      </c>
      <c r="E9" s="963">
        <v>77613888</v>
      </c>
      <c r="F9" s="950">
        <v>69678766</v>
      </c>
      <c r="I9" s="950"/>
      <c r="J9" s="950"/>
      <c r="K9" s="961"/>
      <c r="L9" s="961"/>
    </row>
    <row r="10" spans="1:13" s="141" customFormat="1" ht="10.199999999999999" x14ac:dyDescent="0.2">
      <c r="A10" s="141" t="s">
        <v>2331</v>
      </c>
      <c r="B10" s="962">
        <v>2851179</v>
      </c>
      <c r="C10" s="950">
        <v>3867812</v>
      </c>
      <c r="D10" s="963">
        <v>4231630</v>
      </c>
      <c r="E10" s="963">
        <v>11079180</v>
      </c>
      <c r="F10" s="950">
        <v>12831255</v>
      </c>
      <c r="I10" s="950"/>
      <c r="J10" s="950"/>
      <c r="K10" s="961"/>
      <c r="L10" s="961"/>
    </row>
    <row r="11" spans="1:13" s="141" customFormat="1" ht="10.199999999999999" x14ac:dyDescent="0.2">
      <c r="A11" s="141" t="s">
        <v>192</v>
      </c>
      <c r="B11" s="962">
        <v>38564586</v>
      </c>
      <c r="C11" s="950">
        <v>30786100</v>
      </c>
      <c r="D11" s="963">
        <v>29879577</v>
      </c>
      <c r="E11" s="963">
        <v>97469541</v>
      </c>
      <c r="F11" s="950">
        <v>66773547</v>
      </c>
      <c r="I11" s="950"/>
      <c r="J11" s="950"/>
      <c r="K11" s="961"/>
      <c r="L11" s="961"/>
    </row>
    <row r="12" spans="1:13" s="141" customFormat="1" ht="10.199999999999999" x14ac:dyDescent="0.2">
      <c r="B12" s="387"/>
      <c r="C12" s="950"/>
      <c r="D12" s="964"/>
      <c r="E12" s="964"/>
      <c r="F12" s="950"/>
    </row>
    <row r="13" spans="1:13" s="141" customFormat="1" ht="10.199999999999999" x14ac:dyDescent="0.2">
      <c r="A13" s="141" t="s">
        <v>2332</v>
      </c>
    </row>
    <row r="14" spans="1:13" s="141" customFormat="1" ht="10.199999999999999" x14ac:dyDescent="0.2">
      <c r="A14" s="141" t="s">
        <v>2273</v>
      </c>
    </row>
    <row r="15" spans="1:13" s="141" customFormat="1" ht="10.199999999999999" x14ac:dyDescent="0.2"/>
    <row r="17" spans="1:6" s="2" customFormat="1" ht="10.199999999999999" x14ac:dyDescent="0.2">
      <c r="A17" s="706" t="s">
        <v>2176</v>
      </c>
      <c r="B17" s="141"/>
      <c r="C17" s="141"/>
      <c r="D17" s="141"/>
      <c r="E17" s="141"/>
      <c r="F17" s="141"/>
    </row>
    <row r="18" spans="1:6" s="2" customFormat="1" ht="20.399999999999999" x14ac:dyDescent="0.2">
      <c r="A18" s="656" t="s">
        <v>2333</v>
      </c>
      <c r="B18" s="453">
        <v>2009</v>
      </c>
      <c r="C18" s="453">
        <v>2010</v>
      </c>
      <c r="D18" s="453">
        <v>2011</v>
      </c>
      <c r="E18" s="453">
        <v>2012</v>
      </c>
      <c r="F18" s="453">
        <v>2013</v>
      </c>
    </row>
    <row r="19" spans="1:6" s="2" customFormat="1" ht="10.199999999999999" x14ac:dyDescent="0.2">
      <c r="A19" s="641" t="s">
        <v>2329</v>
      </c>
      <c r="B19" s="642">
        <v>88076369</v>
      </c>
      <c r="C19" s="642">
        <v>132905476</v>
      </c>
      <c r="D19" s="642">
        <v>93685036</v>
      </c>
      <c r="E19" s="642">
        <v>151694202</v>
      </c>
      <c r="F19" s="642">
        <v>119931127</v>
      </c>
    </row>
    <row r="20" spans="1:6" s="2" customFormat="1" ht="10.199999999999999" x14ac:dyDescent="0.2">
      <c r="A20" s="641" t="s">
        <v>2327</v>
      </c>
      <c r="B20" s="642">
        <v>94999952</v>
      </c>
      <c r="C20" s="642">
        <v>87772250</v>
      </c>
      <c r="D20" s="642">
        <v>74340998</v>
      </c>
      <c r="E20" s="642">
        <v>186162609</v>
      </c>
      <c r="F20" s="642">
        <v>149283568</v>
      </c>
    </row>
  </sheetData>
  <mergeCells count="4">
    <mergeCell ref="A2:F2"/>
    <mergeCell ref="A3:F3"/>
    <mergeCell ref="A5:A6"/>
    <mergeCell ref="B5:F5"/>
  </mergeCells>
  <pageMargins left="0.7" right="0.7" top="0.75" bottom="0.75" header="0.3" footer="0.3"/>
  <pageSetup paperSize="14" orientation="landscape" r:id="rId1"/>
  <drawing r:id="rId2"/>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1D8300-16E7-4796-B7A1-0D47E4825ABB}">
  <sheetPr codeName="Hoja173"/>
  <dimension ref="A1:M19"/>
  <sheetViews>
    <sheetView workbookViewId="0">
      <selection activeCell="D42" sqref="D42"/>
    </sheetView>
  </sheetViews>
  <sheetFormatPr baseColWidth="10" defaultRowHeight="13.2" x14ac:dyDescent="0.25"/>
  <cols>
    <col min="1" max="1" width="27.6640625" customWidth="1"/>
    <col min="2" max="6" width="14.109375" bestFit="1" customWidth="1"/>
  </cols>
  <sheetData>
    <row r="1" spans="1:13" ht="15.6" x14ac:dyDescent="0.25">
      <c r="A1" s="687"/>
    </row>
    <row r="2" spans="1:13" s="141" customFormat="1" ht="24.75" customHeight="1" x14ac:dyDescent="0.2">
      <c r="A2" s="308" t="s">
        <v>2248</v>
      </c>
      <c r="B2" s="308"/>
      <c r="C2" s="308"/>
      <c r="D2" s="308"/>
      <c r="E2" s="308"/>
      <c r="F2" s="308"/>
    </row>
    <row r="3" spans="1:13" s="141" customFormat="1" ht="10.199999999999999" x14ac:dyDescent="0.2">
      <c r="A3" s="747"/>
      <c r="B3" s="747"/>
      <c r="C3" s="747"/>
      <c r="D3" s="747"/>
      <c r="E3" s="747"/>
      <c r="F3" s="747"/>
      <c r="I3" s="750"/>
    </row>
    <row r="4" spans="1:13" s="141" customFormat="1" ht="15" customHeight="1" x14ac:dyDescent="0.2">
      <c r="A4" s="716" t="s">
        <v>2323</v>
      </c>
      <c r="B4" s="716" t="s">
        <v>2324</v>
      </c>
      <c r="C4" s="716"/>
      <c r="D4" s="716"/>
      <c r="E4" s="716"/>
      <c r="F4" s="716"/>
    </row>
    <row r="5" spans="1:13" s="141" customFormat="1" ht="10.199999999999999" x14ac:dyDescent="0.2">
      <c r="A5" s="716"/>
      <c r="B5" s="453">
        <v>2009</v>
      </c>
      <c r="C5" s="453">
        <v>2010</v>
      </c>
      <c r="D5" s="453">
        <v>2011</v>
      </c>
      <c r="E5" s="453">
        <v>2012</v>
      </c>
      <c r="F5" s="453">
        <v>2013</v>
      </c>
      <c r="I5" s="950"/>
      <c r="J5" s="950"/>
      <c r="K5" s="950"/>
      <c r="L5" s="950"/>
      <c r="M5" s="950"/>
    </row>
    <row r="6" spans="1:13" s="141" customFormat="1" ht="10.199999999999999" x14ac:dyDescent="0.2">
      <c r="A6" s="706" t="s">
        <v>3</v>
      </c>
      <c r="B6" s="913">
        <f>SUM(B7:B15)</f>
        <v>2568095929</v>
      </c>
      <c r="C6" s="913">
        <f>SUM(C7:C15)</f>
        <v>2906879313</v>
      </c>
      <c r="D6" s="913">
        <f>SUM(D7:D15)</f>
        <v>3673708226</v>
      </c>
      <c r="E6" s="913">
        <f>SUM(E7:E15)</f>
        <v>3976924084</v>
      </c>
      <c r="F6" s="913">
        <f>SUM(F7:F15)</f>
        <v>4600304668</v>
      </c>
      <c r="I6" s="950"/>
      <c r="J6" s="950"/>
      <c r="K6" s="961"/>
      <c r="L6" s="961"/>
    </row>
    <row r="7" spans="1:13" s="141" customFormat="1" ht="10.199999999999999" x14ac:dyDescent="0.2">
      <c r="A7" s="141" t="s">
        <v>155</v>
      </c>
      <c r="B7" s="950">
        <v>358760561</v>
      </c>
      <c r="C7" s="950">
        <v>375707686</v>
      </c>
      <c r="D7" s="965">
        <v>436369592</v>
      </c>
      <c r="E7" s="965">
        <v>466439138</v>
      </c>
      <c r="F7" s="950">
        <v>500987520</v>
      </c>
      <c r="I7" s="950"/>
      <c r="J7" s="950"/>
      <c r="K7" s="961"/>
      <c r="L7" s="961"/>
    </row>
    <row r="8" spans="1:13" s="141" customFormat="1" ht="10.199999999999999" x14ac:dyDescent="0.2">
      <c r="A8" s="141" t="s">
        <v>156</v>
      </c>
      <c r="B8" s="950">
        <v>686208242</v>
      </c>
      <c r="C8" s="950">
        <v>737813150</v>
      </c>
      <c r="D8" s="965">
        <v>869355512</v>
      </c>
      <c r="E8" s="965">
        <v>865286773</v>
      </c>
      <c r="F8" s="950">
        <v>878543864</v>
      </c>
      <c r="I8" s="950"/>
      <c r="J8" s="950"/>
      <c r="K8" s="961"/>
      <c r="L8" s="961"/>
    </row>
    <row r="9" spans="1:13" s="141" customFormat="1" ht="10.199999999999999" x14ac:dyDescent="0.2">
      <c r="A9" s="141" t="s">
        <v>157</v>
      </c>
      <c r="B9" s="950">
        <v>151394304</v>
      </c>
      <c r="C9" s="950">
        <v>151348520</v>
      </c>
      <c r="D9" s="965">
        <v>205143160</v>
      </c>
      <c r="E9" s="965">
        <v>243342442</v>
      </c>
      <c r="F9" s="950">
        <v>260154824</v>
      </c>
      <c r="I9" s="950"/>
      <c r="J9" s="950"/>
      <c r="K9" s="961"/>
      <c r="L9" s="961"/>
    </row>
    <row r="10" spans="1:13" s="141" customFormat="1" ht="10.199999999999999" x14ac:dyDescent="0.2">
      <c r="A10" s="141" t="s">
        <v>165</v>
      </c>
      <c r="B10" s="950">
        <v>527274962</v>
      </c>
      <c r="C10" s="950">
        <v>586058959</v>
      </c>
      <c r="D10" s="965">
        <v>910741316</v>
      </c>
      <c r="E10" s="965">
        <v>993398940</v>
      </c>
      <c r="F10" s="950">
        <v>1338350192</v>
      </c>
      <c r="I10" s="950"/>
      <c r="J10" s="950"/>
      <c r="K10" s="961"/>
      <c r="L10" s="961"/>
    </row>
    <row r="11" spans="1:13" s="141" customFormat="1" ht="10.199999999999999" x14ac:dyDescent="0.2">
      <c r="A11" s="141" t="s">
        <v>159</v>
      </c>
      <c r="B11" s="950">
        <v>14124511</v>
      </c>
      <c r="C11" s="950">
        <v>17052939</v>
      </c>
      <c r="D11" s="965">
        <v>22207314</v>
      </c>
      <c r="E11" s="965">
        <v>28584889</v>
      </c>
      <c r="F11" s="950">
        <v>48801896</v>
      </c>
      <c r="I11" s="950"/>
      <c r="J11" s="950"/>
      <c r="K11" s="961"/>
      <c r="L11" s="961"/>
    </row>
    <row r="12" spans="1:13" s="141" customFormat="1" ht="10.199999999999999" x14ac:dyDescent="0.2">
      <c r="A12" s="141" t="s">
        <v>160</v>
      </c>
      <c r="B12" s="950">
        <v>32555612</v>
      </c>
      <c r="C12" s="950">
        <v>46511840</v>
      </c>
      <c r="D12" s="965">
        <v>57564744</v>
      </c>
      <c r="E12" s="965">
        <v>60562000</v>
      </c>
      <c r="F12" s="950">
        <v>71915335</v>
      </c>
      <c r="I12" s="950"/>
      <c r="J12" s="950"/>
      <c r="K12" s="961"/>
      <c r="L12" s="961"/>
    </row>
    <row r="13" spans="1:13" s="141" customFormat="1" ht="10.199999999999999" x14ac:dyDescent="0.2">
      <c r="A13" s="141" t="s">
        <v>2325</v>
      </c>
      <c r="B13" s="950">
        <v>776308315</v>
      </c>
      <c r="C13" s="950">
        <v>973780763</v>
      </c>
      <c r="D13" s="965">
        <v>1153818472</v>
      </c>
      <c r="E13" s="965">
        <v>1296698812</v>
      </c>
      <c r="F13" s="950">
        <v>1466838839</v>
      </c>
      <c r="I13" s="950"/>
      <c r="J13" s="950"/>
      <c r="K13" s="961"/>
      <c r="L13" s="961"/>
    </row>
    <row r="14" spans="1:13" s="141" customFormat="1" ht="10.199999999999999" x14ac:dyDescent="0.2">
      <c r="A14" s="141" t="s">
        <v>162</v>
      </c>
      <c r="B14" s="950">
        <v>11539008</v>
      </c>
      <c r="C14" s="950">
        <v>18605456</v>
      </c>
      <c r="D14" s="965">
        <v>16111550</v>
      </c>
      <c r="E14" s="965">
        <v>22611090</v>
      </c>
      <c r="F14" s="950">
        <v>25483677</v>
      </c>
      <c r="K14" s="903"/>
      <c r="L14" s="903"/>
    </row>
    <row r="15" spans="1:13" s="141" customFormat="1" ht="10.199999999999999" x14ac:dyDescent="0.2">
      <c r="A15" s="141" t="s">
        <v>146</v>
      </c>
      <c r="B15" s="950">
        <v>9930414</v>
      </c>
      <c r="C15" s="134">
        <v>0</v>
      </c>
      <c r="D15" s="950">
        <v>2396566</v>
      </c>
      <c r="E15" s="134">
        <v>0</v>
      </c>
      <c r="F15" s="387">
        <v>9228521</v>
      </c>
      <c r="K15" s="903"/>
      <c r="L15" s="903"/>
    </row>
    <row r="16" spans="1:13" s="141" customFormat="1" ht="10.199999999999999" x14ac:dyDescent="0.2">
      <c r="B16" s="950"/>
      <c r="C16" s="134"/>
      <c r="D16" s="950"/>
      <c r="E16" s="134"/>
      <c r="F16" s="387"/>
    </row>
    <row r="17" spans="1:10" s="724" customFormat="1" ht="12" customHeight="1" x14ac:dyDescent="0.2">
      <c r="A17" s="141" t="s">
        <v>2332</v>
      </c>
      <c r="B17" s="141"/>
      <c r="C17" s="141"/>
      <c r="D17" s="903"/>
      <c r="E17" s="903"/>
      <c r="F17" s="141"/>
      <c r="G17" s="141"/>
      <c r="H17" s="682"/>
      <c r="J17" s="324"/>
    </row>
    <row r="18" spans="1:10" s="141" customFormat="1" ht="10.199999999999999" x14ac:dyDescent="0.2">
      <c r="A18" s="948" t="s">
        <v>19</v>
      </c>
      <c r="B18" s="682"/>
      <c r="C18" s="682"/>
      <c r="D18" s="682"/>
      <c r="E18" s="682"/>
      <c r="F18" s="682"/>
      <c r="G18" s="682"/>
    </row>
    <row r="19" spans="1:10" s="141" customFormat="1" ht="10.199999999999999" x14ac:dyDescent="0.2">
      <c r="A19" s="141" t="s">
        <v>2273</v>
      </c>
    </row>
  </sheetData>
  <mergeCells count="4">
    <mergeCell ref="A2:F2"/>
    <mergeCell ref="A3:F3"/>
    <mergeCell ref="A4:A5"/>
    <mergeCell ref="B4:F4"/>
  </mergeCells>
  <pageMargins left="0.7" right="0.7" top="0.75" bottom="0.75" header="0.3" footer="0.3"/>
  <pageSetup paperSize="14" orientation="landscape"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3A662-6791-4EB6-BC3B-5A259ED44683}">
  <sheetPr codeName="Hoja174"/>
  <dimension ref="A1:I19"/>
  <sheetViews>
    <sheetView workbookViewId="0">
      <selection activeCell="D42" sqref="D42"/>
    </sheetView>
  </sheetViews>
  <sheetFormatPr baseColWidth="10" defaultRowHeight="13.2" x14ac:dyDescent="0.25"/>
  <cols>
    <col min="1" max="1" width="23.109375" customWidth="1"/>
    <col min="2" max="6" width="14.109375" bestFit="1" customWidth="1"/>
  </cols>
  <sheetData>
    <row r="1" spans="1:9" ht="15.6" x14ac:dyDescent="0.25">
      <c r="A1" s="687"/>
    </row>
    <row r="2" spans="1:9" s="141" customFormat="1" ht="26.25" customHeight="1" x14ac:dyDescent="0.2">
      <c r="A2" s="45" t="s">
        <v>2249</v>
      </c>
      <c r="B2" s="45"/>
      <c r="C2" s="45"/>
      <c r="D2" s="45"/>
      <c r="E2" s="45"/>
      <c r="F2" s="45"/>
    </row>
    <row r="3" spans="1:9" s="141" customFormat="1" ht="12.75" customHeight="1" x14ac:dyDescent="0.2">
      <c r="A3" s="706"/>
    </row>
    <row r="4" spans="1:9" s="141" customFormat="1" ht="10.199999999999999" x14ac:dyDescent="0.2">
      <c r="A4" s="793" t="s">
        <v>2150</v>
      </c>
      <c r="B4" s="793" t="s">
        <v>2324</v>
      </c>
      <c r="C4" s="793"/>
      <c r="D4" s="793"/>
      <c r="E4" s="793"/>
      <c r="F4" s="793"/>
    </row>
    <row r="5" spans="1:9" s="141" customFormat="1" ht="10.199999999999999" x14ac:dyDescent="0.2">
      <c r="A5" s="793"/>
      <c r="B5" s="454">
        <v>2009</v>
      </c>
      <c r="C5" s="454">
        <v>2010</v>
      </c>
      <c r="D5" s="454">
        <v>2011</v>
      </c>
      <c r="E5" s="454">
        <v>2012</v>
      </c>
      <c r="F5" s="454">
        <v>2013</v>
      </c>
      <c r="I5" s="950"/>
    </row>
    <row r="6" spans="1:9" s="141" customFormat="1" ht="10.199999999999999" x14ac:dyDescent="0.2">
      <c r="A6" s="706" t="s">
        <v>3</v>
      </c>
      <c r="B6" s="913">
        <f>SUM(B7:B9)</f>
        <v>1649093079</v>
      </c>
      <c r="C6" s="913">
        <f>SUM(C7:C9)</f>
        <v>2145707103</v>
      </c>
      <c r="D6" s="913">
        <f>SUM(D7:D9)</f>
        <v>2304052834</v>
      </c>
      <c r="E6" s="913">
        <f>SUM(E7:E9)</f>
        <v>2875080399</v>
      </c>
      <c r="F6" s="913">
        <f>SUM(F7:F9)</f>
        <v>3355595094</v>
      </c>
      <c r="I6" s="950"/>
    </row>
    <row r="7" spans="1:9" s="141" customFormat="1" ht="10.199999999999999" x14ac:dyDescent="0.2">
      <c r="A7" s="141" t="s">
        <v>190</v>
      </c>
      <c r="B7" s="950">
        <v>631416742</v>
      </c>
      <c r="C7" s="950">
        <v>979525761</v>
      </c>
      <c r="D7" s="966">
        <v>886376463</v>
      </c>
      <c r="E7" s="966">
        <v>1186621756</v>
      </c>
      <c r="F7" s="950">
        <v>1484043907</v>
      </c>
      <c r="I7" s="950"/>
    </row>
    <row r="8" spans="1:9" s="141" customFormat="1" ht="10.199999999999999" x14ac:dyDescent="0.2">
      <c r="A8" s="141" t="s">
        <v>191</v>
      </c>
      <c r="B8" s="950">
        <v>939760623</v>
      </c>
      <c r="C8" s="950">
        <v>1061975677</v>
      </c>
      <c r="D8" s="966">
        <v>1298667173</v>
      </c>
      <c r="E8" s="966">
        <v>1534445533</v>
      </c>
      <c r="F8" s="950">
        <v>1682633226</v>
      </c>
      <c r="I8" s="950"/>
    </row>
    <row r="9" spans="1:9" s="141" customFormat="1" ht="10.199999999999999" x14ac:dyDescent="0.2">
      <c r="A9" s="141" t="s">
        <v>192</v>
      </c>
      <c r="B9" s="950">
        <v>77915714</v>
      </c>
      <c r="C9" s="950">
        <v>104205665</v>
      </c>
      <c r="D9" s="966">
        <v>119009198</v>
      </c>
      <c r="E9" s="966">
        <v>154013110</v>
      </c>
      <c r="F9" s="950">
        <v>188917961</v>
      </c>
      <c r="I9" s="950"/>
    </row>
    <row r="10" spans="1:9" s="141" customFormat="1" ht="10.199999999999999" x14ac:dyDescent="0.2">
      <c r="B10" s="950"/>
      <c r="C10" s="950"/>
      <c r="D10" s="966"/>
      <c r="E10" s="966"/>
      <c r="F10" s="950"/>
    </row>
    <row r="11" spans="1:9" s="141" customFormat="1" ht="10.199999999999999" x14ac:dyDescent="0.2">
      <c r="A11" s="141" t="s">
        <v>2326</v>
      </c>
    </row>
    <row r="12" spans="1:9" s="141" customFormat="1" ht="10.199999999999999" x14ac:dyDescent="0.2">
      <c r="A12" s="141" t="s">
        <v>2273</v>
      </c>
    </row>
    <row r="13" spans="1:9" s="141" customFormat="1" ht="10.199999999999999" x14ac:dyDescent="0.2"/>
    <row r="14" spans="1:9" s="141" customFormat="1" ht="10.199999999999999" x14ac:dyDescent="0.2"/>
    <row r="15" spans="1:9" s="141" customFormat="1" ht="10.199999999999999" x14ac:dyDescent="0.2"/>
    <row r="16" spans="1:9" s="141" customFormat="1" ht="10.199999999999999" x14ac:dyDescent="0.2"/>
    <row r="17" s="141" customFormat="1" ht="10.199999999999999" x14ac:dyDescent="0.2"/>
    <row r="18" s="141" customFormat="1" ht="10.199999999999999" x14ac:dyDescent="0.2"/>
    <row r="19" s="141" customFormat="1" ht="10.199999999999999" x14ac:dyDescent="0.2"/>
  </sheetData>
  <mergeCells count="3">
    <mergeCell ref="A2:F2"/>
    <mergeCell ref="A4:A5"/>
    <mergeCell ref="B4:F4"/>
  </mergeCells>
  <pageMargins left="0.7" right="0.7" top="0.75" bottom="0.75" header="0.3" footer="0.3"/>
  <pageSetup paperSize="14" orientation="landscape"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6B8C8A-7FCD-4C5A-A492-F2E16BB8B092}">
  <sheetPr codeName="Hoja175"/>
  <dimension ref="A1:D52"/>
  <sheetViews>
    <sheetView workbookViewId="0">
      <selection activeCell="D42" sqref="D42"/>
    </sheetView>
  </sheetViews>
  <sheetFormatPr baseColWidth="10" defaultRowHeight="13.2" x14ac:dyDescent="0.25"/>
  <cols>
    <col min="1" max="1" width="27.88671875" customWidth="1"/>
    <col min="2" max="2" width="18.88671875" customWidth="1"/>
    <col min="3" max="4" width="15.109375" customWidth="1"/>
  </cols>
  <sheetData>
    <row r="1" spans="1:4" ht="15.6" x14ac:dyDescent="0.25">
      <c r="A1" s="687"/>
    </row>
    <row r="2" spans="1:4" ht="48.75" customHeight="1" x14ac:dyDescent="0.25">
      <c r="A2" s="45" t="s">
        <v>2250</v>
      </c>
      <c r="B2" s="45"/>
      <c r="C2" s="45"/>
    </row>
    <row r="3" spans="1:4" ht="15.6" x14ac:dyDescent="0.3">
      <c r="A3" s="967"/>
      <c r="B3" s="967"/>
    </row>
    <row r="4" spans="1:4" ht="16.5" customHeight="1" x14ac:dyDescent="0.25">
      <c r="A4" s="323" t="s">
        <v>2334</v>
      </c>
      <c r="B4" s="323" t="s">
        <v>98</v>
      </c>
      <c r="C4" s="323"/>
      <c r="D4" s="337"/>
    </row>
    <row r="5" spans="1:4" ht="16.5" customHeight="1" x14ac:dyDescent="0.25">
      <c r="A5" s="323"/>
      <c r="B5" s="621" t="s">
        <v>2335</v>
      </c>
      <c r="C5" s="621" t="s">
        <v>2095</v>
      </c>
    </row>
    <row r="6" spans="1:4" x14ac:dyDescent="0.25">
      <c r="A6" s="44" t="s">
        <v>2329</v>
      </c>
      <c r="B6" s="655">
        <f>SUM(B7:B14)</f>
        <v>2004490482</v>
      </c>
      <c r="C6" s="655">
        <f>SUM(C7:C14)</f>
        <v>2305760209</v>
      </c>
    </row>
    <row r="7" spans="1:4" x14ac:dyDescent="0.25">
      <c r="A7" s="2" t="s">
        <v>155</v>
      </c>
      <c r="B7" s="643">
        <v>233219569</v>
      </c>
      <c r="C7" s="643">
        <v>250493760</v>
      </c>
    </row>
    <row r="8" spans="1:4" x14ac:dyDescent="0.25">
      <c r="A8" s="2" t="s">
        <v>156</v>
      </c>
      <c r="B8" s="643">
        <v>443191051</v>
      </c>
      <c r="C8" s="643">
        <v>439271932</v>
      </c>
    </row>
    <row r="9" spans="1:4" x14ac:dyDescent="0.25">
      <c r="A9" s="2" t="s">
        <v>168</v>
      </c>
      <c r="B9" s="643">
        <v>121671221</v>
      </c>
      <c r="C9" s="643">
        <v>130077412</v>
      </c>
    </row>
    <row r="10" spans="1:4" x14ac:dyDescent="0.25">
      <c r="A10" s="2" t="s">
        <v>169</v>
      </c>
      <c r="B10" s="643">
        <v>496680245</v>
      </c>
      <c r="C10" s="643">
        <v>669182949</v>
      </c>
    </row>
    <row r="11" spans="1:4" x14ac:dyDescent="0.25">
      <c r="A11" s="2" t="s">
        <v>159</v>
      </c>
      <c r="B11" s="643">
        <v>14292445</v>
      </c>
      <c r="C11" s="643">
        <v>24400948</v>
      </c>
    </row>
    <row r="12" spans="1:4" x14ac:dyDescent="0.25">
      <c r="A12" s="2" t="s">
        <v>2325</v>
      </c>
      <c r="B12" s="643">
        <v>648349406</v>
      </c>
      <c r="C12" s="643">
        <v>733419420</v>
      </c>
    </row>
    <row r="13" spans="1:4" x14ac:dyDescent="0.25">
      <c r="A13" s="2" t="s">
        <v>170</v>
      </c>
      <c r="B13" s="643">
        <v>30281000</v>
      </c>
      <c r="C13" s="643">
        <v>35957668</v>
      </c>
    </row>
    <row r="14" spans="1:4" x14ac:dyDescent="0.25">
      <c r="A14" s="2" t="s">
        <v>162</v>
      </c>
      <c r="B14" s="643">
        <v>16805545</v>
      </c>
      <c r="C14" s="643">
        <v>22956120</v>
      </c>
    </row>
    <row r="15" spans="1:4" x14ac:dyDescent="0.25">
      <c r="A15" s="24" t="s">
        <v>2327</v>
      </c>
      <c r="B15" s="683">
        <f>SUM(B16:B22)</f>
        <v>1251652110</v>
      </c>
      <c r="C15" s="683">
        <f>SUM(C16:C22)</f>
        <v>1533229755</v>
      </c>
    </row>
    <row r="16" spans="1:4" x14ac:dyDescent="0.25">
      <c r="A16" s="2" t="s">
        <v>2336</v>
      </c>
      <c r="B16" s="968">
        <v>218839104</v>
      </c>
      <c r="C16" s="968">
        <v>126319059</v>
      </c>
    </row>
    <row r="17" spans="1:4" x14ac:dyDescent="0.25">
      <c r="A17" s="2" t="s">
        <v>2337</v>
      </c>
      <c r="B17" s="968">
        <v>151658490</v>
      </c>
      <c r="C17" s="968">
        <v>174659001</v>
      </c>
    </row>
    <row r="18" spans="1:4" x14ac:dyDescent="0.25">
      <c r="A18" s="2" t="s">
        <v>177</v>
      </c>
      <c r="B18" s="968">
        <v>126415049</v>
      </c>
      <c r="C18" s="968">
        <v>154688268</v>
      </c>
    </row>
    <row r="19" spans="1:4" x14ac:dyDescent="0.25">
      <c r="A19" s="2" t="s">
        <v>2338</v>
      </c>
      <c r="B19" s="968">
        <v>211138038</v>
      </c>
      <c r="C19" s="968">
        <v>474648056</v>
      </c>
    </row>
    <row r="20" spans="1:4" x14ac:dyDescent="0.25">
      <c r="A20" s="2" t="s">
        <v>2339</v>
      </c>
      <c r="B20" s="968">
        <v>315944116</v>
      </c>
      <c r="C20" s="968">
        <v>296902258</v>
      </c>
    </row>
    <row r="21" spans="1:4" x14ac:dyDescent="0.25">
      <c r="A21" s="2" t="s">
        <v>2340</v>
      </c>
      <c r="B21" s="968">
        <v>227657313</v>
      </c>
      <c r="C21" s="968">
        <v>237543796</v>
      </c>
    </row>
    <row r="22" spans="1:4" x14ac:dyDescent="0.25">
      <c r="A22" s="2" t="s">
        <v>2341</v>
      </c>
      <c r="B22" s="969">
        <v>0</v>
      </c>
      <c r="C22" s="968">
        <v>68469317</v>
      </c>
    </row>
    <row r="23" spans="1:4" ht="14.4" x14ac:dyDescent="0.3">
      <c r="A23" s="338"/>
      <c r="B23" s="338"/>
      <c r="C23" s="970" t="s">
        <v>2342</v>
      </c>
      <c r="D23" s="970" t="s">
        <v>48</v>
      </c>
    </row>
    <row r="24" spans="1:4" ht="36" customHeight="1" x14ac:dyDescent="0.25">
      <c r="A24" s="639" t="s">
        <v>2343</v>
      </c>
      <c r="B24" s="639"/>
      <c r="C24" s="639"/>
      <c r="D24" s="309"/>
    </row>
    <row r="25" spans="1:4" ht="14.25" customHeight="1" x14ac:dyDescent="0.25">
      <c r="A25" s="652" t="s">
        <v>2344</v>
      </c>
      <c r="B25" s="652"/>
      <c r="C25" s="652"/>
      <c r="D25" s="309"/>
    </row>
    <row r="26" spans="1:4" ht="14.25" customHeight="1" x14ac:dyDescent="0.25">
      <c r="A26" s="971" t="s">
        <v>2345</v>
      </c>
      <c r="B26" s="335"/>
      <c r="C26" s="335"/>
      <c r="D26" s="309"/>
    </row>
    <row r="27" spans="1:4" x14ac:dyDescent="0.25">
      <c r="A27" s="2" t="s">
        <v>2346</v>
      </c>
      <c r="B27" s="691"/>
    </row>
    <row r="28" spans="1:4" x14ac:dyDescent="0.25">
      <c r="A28" s="691"/>
      <c r="B28" s="691"/>
    </row>
    <row r="30" spans="1:4" x14ac:dyDescent="0.25">
      <c r="A30" s="691"/>
    </row>
    <row r="31" spans="1:4" s="2" customFormat="1" ht="10.199999999999999" x14ac:dyDescent="0.2"/>
    <row r="32" spans="1:4" s="2" customFormat="1" ht="10.199999999999999" x14ac:dyDescent="0.2">
      <c r="A32" s="337"/>
      <c r="B32" s="337"/>
      <c r="C32" s="337"/>
    </row>
    <row r="33" spans="1:3" s="2" customFormat="1" ht="10.199999999999999" x14ac:dyDescent="0.2">
      <c r="A33" s="337"/>
      <c r="B33" s="637"/>
      <c r="C33" s="637"/>
    </row>
    <row r="34" spans="1:3" s="24" customFormat="1" ht="10.199999999999999" x14ac:dyDescent="0.2">
      <c r="A34" s="44"/>
      <c r="B34" s="658"/>
      <c r="C34" s="658"/>
    </row>
    <row r="35" spans="1:3" s="2" customFormat="1" ht="10.199999999999999" x14ac:dyDescent="0.2">
      <c r="A35" s="972"/>
      <c r="B35" s="968"/>
      <c r="C35" s="968"/>
    </row>
    <row r="36" spans="1:3" s="2" customFormat="1" ht="10.199999999999999" x14ac:dyDescent="0.2">
      <c r="A36" s="972"/>
      <c r="B36" s="968"/>
      <c r="C36" s="968"/>
    </row>
    <row r="37" spans="1:3" s="2" customFormat="1" ht="10.199999999999999" x14ac:dyDescent="0.2">
      <c r="A37" s="972"/>
      <c r="B37" s="968"/>
      <c r="C37" s="968"/>
    </row>
    <row r="38" spans="1:3" s="2" customFormat="1" ht="10.199999999999999" x14ac:dyDescent="0.2">
      <c r="A38" s="972"/>
      <c r="B38" s="968"/>
      <c r="C38" s="968"/>
    </row>
    <row r="39" spans="1:3" s="2" customFormat="1" ht="10.199999999999999" x14ac:dyDescent="0.2">
      <c r="A39" s="972"/>
      <c r="B39" s="968"/>
      <c r="C39" s="968"/>
    </row>
    <row r="40" spans="1:3" s="2" customFormat="1" ht="10.199999999999999" x14ac:dyDescent="0.2">
      <c r="A40" s="972"/>
      <c r="B40" s="968"/>
      <c r="C40" s="968"/>
    </row>
    <row r="41" spans="1:3" s="2" customFormat="1" ht="10.199999999999999" x14ac:dyDescent="0.2">
      <c r="A41" s="972"/>
      <c r="B41" s="968"/>
      <c r="C41" s="968"/>
    </row>
    <row r="42" spans="1:3" s="24" customFormat="1" ht="10.199999999999999" x14ac:dyDescent="0.2">
      <c r="B42" s="658"/>
      <c r="C42" s="658"/>
    </row>
    <row r="43" spans="1:3" s="2" customFormat="1" ht="10.199999999999999" x14ac:dyDescent="0.2">
      <c r="A43" s="972"/>
      <c r="B43" s="968"/>
      <c r="C43" s="968"/>
    </row>
    <row r="44" spans="1:3" s="2" customFormat="1" ht="10.199999999999999" x14ac:dyDescent="0.2">
      <c r="A44" s="972"/>
      <c r="B44" s="968"/>
      <c r="C44" s="968"/>
    </row>
    <row r="45" spans="1:3" s="2" customFormat="1" ht="10.199999999999999" x14ac:dyDescent="0.2">
      <c r="A45" s="972"/>
      <c r="B45" s="968"/>
      <c r="C45" s="968"/>
    </row>
    <row r="46" spans="1:3" s="2" customFormat="1" ht="10.199999999999999" x14ac:dyDescent="0.2">
      <c r="A46" s="972"/>
      <c r="B46" s="968"/>
      <c r="C46" s="968"/>
    </row>
    <row r="47" spans="1:3" s="2" customFormat="1" ht="10.199999999999999" x14ac:dyDescent="0.2">
      <c r="A47" s="972"/>
      <c r="B47" s="968"/>
      <c r="C47" s="968"/>
    </row>
    <row r="48" spans="1:3" s="2" customFormat="1" ht="10.199999999999999" x14ac:dyDescent="0.2">
      <c r="A48" s="972"/>
      <c r="B48" s="968"/>
      <c r="C48" s="968"/>
    </row>
    <row r="49" spans="1:4" s="2" customFormat="1" ht="10.199999999999999" x14ac:dyDescent="0.2">
      <c r="A49" s="972"/>
      <c r="B49" s="968"/>
      <c r="C49" s="968"/>
    </row>
    <row r="51" spans="1:4" ht="14.25" customHeight="1" x14ac:dyDescent="0.25">
      <c r="A51" s="309"/>
      <c r="B51" s="309"/>
      <c r="C51" s="309"/>
      <c r="D51" s="309"/>
    </row>
    <row r="52" spans="1:4" s="2" customFormat="1" ht="10.199999999999999" x14ac:dyDescent="0.2">
      <c r="A52" s="691"/>
    </row>
  </sheetData>
  <mergeCells count="5">
    <mergeCell ref="A2:C2"/>
    <mergeCell ref="A4:A5"/>
    <mergeCell ref="B4:C4"/>
    <mergeCell ref="A24:C24"/>
    <mergeCell ref="A25:C25"/>
  </mergeCells>
  <pageMargins left="0.7" right="0.7" top="0.75" bottom="0.75" header="0.3" footer="0.3"/>
  <pageSetup paperSize="14" orientation="portrait"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08B2A9-225C-4422-81E1-F116191A4695}">
  <sheetPr codeName="Hoja176"/>
  <dimension ref="A1:D24"/>
  <sheetViews>
    <sheetView workbookViewId="0">
      <selection activeCell="D42" sqref="D42"/>
    </sheetView>
  </sheetViews>
  <sheetFormatPr baseColWidth="10" defaultRowHeight="13.2" x14ac:dyDescent="0.25"/>
  <cols>
    <col min="1" max="1" width="39.5546875" customWidth="1"/>
    <col min="2" max="3" width="12.44140625" bestFit="1" customWidth="1"/>
  </cols>
  <sheetData>
    <row r="1" spans="1:3" ht="15.6" x14ac:dyDescent="0.25">
      <c r="A1" s="687"/>
    </row>
    <row r="2" spans="1:3" ht="34.5" customHeight="1" x14ac:dyDescent="0.25">
      <c r="A2" s="45" t="s">
        <v>2251</v>
      </c>
      <c r="B2" s="45"/>
      <c r="C2" s="45"/>
    </row>
    <row r="3" spans="1:3" s="2" customFormat="1" ht="10.199999999999999" x14ac:dyDescent="0.2"/>
    <row r="4" spans="1:3" s="2" customFormat="1" ht="10.199999999999999" x14ac:dyDescent="0.2">
      <c r="A4" s="323" t="s">
        <v>2347</v>
      </c>
      <c r="B4" s="323" t="s">
        <v>98</v>
      </c>
      <c r="C4" s="323"/>
    </row>
    <row r="5" spans="1:3" s="2" customFormat="1" ht="12" x14ac:dyDescent="0.2">
      <c r="A5" s="323"/>
      <c r="B5" s="621" t="s">
        <v>2335</v>
      </c>
      <c r="C5" s="621" t="s">
        <v>2095</v>
      </c>
    </row>
    <row r="6" spans="1:3" s="24" customFormat="1" ht="10.199999999999999" x14ac:dyDescent="0.2">
      <c r="A6" s="44" t="s">
        <v>2329</v>
      </c>
      <c r="B6" s="658">
        <f>SUM(B7:B13)</f>
        <v>220301686</v>
      </c>
      <c r="C6" s="658">
        <f>SUM(C7:C13)</f>
        <v>303988581</v>
      </c>
    </row>
    <row r="7" spans="1:3" s="2" customFormat="1" ht="10.199999999999999" x14ac:dyDescent="0.2">
      <c r="A7" s="972" t="s">
        <v>2337</v>
      </c>
      <c r="B7" s="968">
        <v>36566269</v>
      </c>
      <c r="C7" s="968">
        <v>29803504</v>
      </c>
    </row>
    <row r="8" spans="1:3" s="2" customFormat="1" ht="10.199999999999999" x14ac:dyDescent="0.2">
      <c r="A8" s="972" t="s">
        <v>2338</v>
      </c>
      <c r="B8" s="968">
        <v>26794074</v>
      </c>
      <c r="C8" s="968">
        <v>92697728</v>
      </c>
    </row>
    <row r="9" spans="1:3" s="2" customFormat="1" ht="10.199999999999999" x14ac:dyDescent="0.2">
      <c r="A9" s="972" t="s">
        <v>2339</v>
      </c>
      <c r="B9" s="968">
        <v>22754123</v>
      </c>
      <c r="C9" s="968">
        <v>67068422</v>
      </c>
    </row>
    <row r="10" spans="1:3" s="2" customFormat="1" ht="10.199999999999999" x14ac:dyDescent="0.2">
      <c r="A10" s="972" t="s">
        <v>2340</v>
      </c>
      <c r="B10" s="968">
        <v>34767906</v>
      </c>
      <c r="C10" s="968">
        <v>51306755</v>
      </c>
    </row>
    <row r="11" spans="1:3" s="2" customFormat="1" ht="10.199999999999999" x14ac:dyDescent="0.2">
      <c r="A11" s="972" t="s">
        <v>176</v>
      </c>
      <c r="B11" s="968">
        <v>54580467</v>
      </c>
      <c r="C11" s="968">
        <v>23035226</v>
      </c>
    </row>
    <row r="12" spans="1:3" s="2" customFormat="1" ht="10.199999999999999" x14ac:dyDescent="0.2">
      <c r="A12" s="972" t="s">
        <v>177</v>
      </c>
      <c r="B12" s="968">
        <v>37857543</v>
      </c>
      <c r="C12" s="968">
        <v>27848179</v>
      </c>
    </row>
    <row r="13" spans="1:3" s="2" customFormat="1" ht="10.199999999999999" x14ac:dyDescent="0.2">
      <c r="A13" s="972" t="s">
        <v>2348</v>
      </c>
      <c r="B13" s="968">
        <v>6981304</v>
      </c>
      <c r="C13" s="968">
        <v>12228767</v>
      </c>
    </row>
    <row r="14" spans="1:3" s="24" customFormat="1" ht="10.199999999999999" x14ac:dyDescent="0.2">
      <c r="A14" s="24" t="s">
        <v>2327</v>
      </c>
      <c r="B14" s="658">
        <f>SUM(B15:B21)</f>
        <v>210330268</v>
      </c>
      <c r="C14" s="658">
        <f>SUM(C15:C21)</f>
        <v>313159839</v>
      </c>
    </row>
    <row r="15" spans="1:3" s="2" customFormat="1" ht="10.199999999999999" x14ac:dyDescent="0.2">
      <c r="A15" s="972" t="s">
        <v>2337</v>
      </c>
      <c r="B15" s="968">
        <v>26194647</v>
      </c>
      <c r="C15" s="968">
        <v>41247832</v>
      </c>
    </row>
    <row r="16" spans="1:3" s="2" customFormat="1" ht="10.199999999999999" x14ac:dyDescent="0.2">
      <c r="A16" s="972" t="s">
        <v>2338</v>
      </c>
      <c r="B16" s="968">
        <v>27205668</v>
      </c>
      <c r="C16" s="968">
        <v>85060475</v>
      </c>
    </row>
    <row r="17" spans="1:4" s="2" customFormat="1" ht="10.199999999999999" x14ac:dyDescent="0.2">
      <c r="A17" s="972" t="s">
        <v>2339</v>
      </c>
      <c r="B17" s="968">
        <v>42009485</v>
      </c>
      <c r="C17" s="968">
        <v>54413753</v>
      </c>
    </row>
    <row r="18" spans="1:4" s="2" customFormat="1" ht="10.199999999999999" x14ac:dyDescent="0.2">
      <c r="A18" s="972" t="s">
        <v>2340</v>
      </c>
      <c r="B18" s="968">
        <v>24937440</v>
      </c>
      <c r="C18" s="968">
        <v>55506512</v>
      </c>
    </row>
    <row r="19" spans="1:4" s="2" customFormat="1" ht="10.199999999999999" x14ac:dyDescent="0.2">
      <c r="A19" s="972" t="s">
        <v>177</v>
      </c>
      <c r="B19" s="968">
        <v>46233344</v>
      </c>
      <c r="C19" s="968">
        <v>31804938</v>
      </c>
    </row>
    <row r="20" spans="1:4" s="2" customFormat="1" ht="10.199999999999999" x14ac:dyDescent="0.2">
      <c r="A20" s="972" t="s">
        <v>176</v>
      </c>
      <c r="B20" s="968">
        <v>40962989</v>
      </c>
      <c r="C20" s="968">
        <v>30851857</v>
      </c>
    </row>
    <row r="21" spans="1:4" s="2" customFormat="1" ht="10.199999999999999" x14ac:dyDescent="0.2">
      <c r="A21" s="972" t="s">
        <v>2341</v>
      </c>
      <c r="B21" s="968">
        <v>2786695</v>
      </c>
      <c r="C21" s="968">
        <v>14274472</v>
      </c>
    </row>
    <row r="23" spans="1:4" ht="14.25" customHeight="1" x14ac:dyDescent="0.25">
      <c r="A23" s="652" t="s">
        <v>2344</v>
      </c>
      <c r="B23" s="652"/>
      <c r="C23" s="652"/>
      <c r="D23" s="309"/>
    </row>
    <row r="24" spans="1:4" s="2" customFormat="1" ht="10.199999999999999" x14ac:dyDescent="0.2">
      <c r="A24" s="2" t="s">
        <v>2346</v>
      </c>
    </row>
  </sheetData>
  <mergeCells count="4">
    <mergeCell ref="A2:C2"/>
    <mergeCell ref="A4:A5"/>
    <mergeCell ref="B4:C4"/>
    <mergeCell ref="A23:C23"/>
  </mergeCells>
  <pageMargins left="0.7" right="0.7" top="0.75" bottom="0.75" header="0.3" footer="0.3"/>
  <pageSetup paperSize="14" orientation="portrait"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6185A0-8F4D-4A09-8823-80B9B98A8D61}">
  <sheetPr codeName="Hoja177"/>
  <dimension ref="A1:P52"/>
  <sheetViews>
    <sheetView view="pageBreakPreview" zoomScaleNormal="100" zoomScaleSheetLayoutView="100" workbookViewId="0">
      <selection activeCell="D42" sqref="D42"/>
    </sheetView>
  </sheetViews>
  <sheetFormatPr baseColWidth="10" defaultColWidth="11.44140625" defaultRowHeight="10.199999999999999" x14ac:dyDescent="0.2"/>
  <cols>
    <col min="1" max="1" width="22.44140625" style="141" customWidth="1"/>
    <col min="2" max="7" width="11.6640625" style="141" customWidth="1"/>
    <col min="8" max="10" width="11.88671875" style="141" bestFit="1" customWidth="1"/>
    <col min="11" max="11" width="13.5546875" style="141" customWidth="1"/>
    <col min="12" max="14" width="11.44140625" style="141"/>
    <col min="15" max="16" width="13.88671875" style="141" customWidth="1"/>
    <col min="17" max="16384" width="11.44140625" style="141"/>
  </cols>
  <sheetData>
    <row r="1" spans="1:16" ht="15.6" x14ac:dyDescent="0.2">
      <c r="A1" s="687"/>
    </row>
    <row r="2" spans="1:16" s="706" customFormat="1" x14ac:dyDescent="0.2">
      <c r="A2" s="24" t="s">
        <v>2252</v>
      </c>
    </row>
    <row r="3" spans="1:16" ht="12" customHeight="1" x14ac:dyDescent="0.2">
      <c r="B3" s="973"/>
      <c r="C3" s="973"/>
      <c r="D3" s="973"/>
      <c r="E3" s="973"/>
      <c r="J3" s="706"/>
      <c r="K3" s="706"/>
      <c r="L3" s="706"/>
      <c r="M3" s="706"/>
      <c r="N3" s="706"/>
      <c r="O3" s="706"/>
      <c r="P3" s="706"/>
    </row>
    <row r="4" spans="1:16" ht="15.75" customHeight="1" x14ac:dyDescent="0.2">
      <c r="A4" s="716" t="s">
        <v>2349</v>
      </c>
      <c r="B4" s="793" t="s">
        <v>2350</v>
      </c>
      <c r="C4" s="793"/>
      <c r="D4" s="793"/>
      <c r="E4" s="793"/>
      <c r="F4" s="793"/>
      <c r="G4" s="793" t="s">
        <v>2351</v>
      </c>
      <c r="H4" s="793"/>
      <c r="I4" s="793"/>
      <c r="J4" s="793"/>
      <c r="K4" s="793"/>
      <c r="L4" s="706"/>
      <c r="M4" s="706"/>
      <c r="N4" s="706"/>
      <c r="O4" s="706"/>
      <c r="P4" s="706"/>
    </row>
    <row r="5" spans="1:16" ht="15.75" customHeight="1" x14ac:dyDescent="0.2">
      <c r="A5" s="716"/>
      <c r="B5" s="454">
        <v>2009</v>
      </c>
      <c r="C5" s="454">
        <v>2010</v>
      </c>
      <c r="D5" s="621">
        <v>2011</v>
      </c>
      <c r="E5" s="621">
        <v>2012</v>
      </c>
      <c r="F5" s="453">
        <v>2013</v>
      </c>
      <c r="G5" s="453">
        <v>2009</v>
      </c>
      <c r="H5" s="454">
        <v>2010</v>
      </c>
      <c r="I5" s="621">
        <v>2011</v>
      </c>
      <c r="J5" s="621">
        <v>2012</v>
      </c>
      <c r="K5" s="453">
        <v>2013</v>
      </c>
      <c r="L5" s="706"/>
      <c r="M5" s="706"/>
      <c r="N5" s="706"/>
      <c r="O5" s="706"/>
      <c r="P5" s="706"/>
    </row>
    <row r="6" spans="1:16" s="706" customFormat="1" x14ac:dyDescent="0.2">
      <c r="A6" s="706" t="s">
        <v>3</v>
      </c>
      <c r="B6" s="811">
        <f>SUM(B7:B14)</f>
        <v>6101173</v>
      </c>
      <c r="C6" s="811">
        <f>SUM(C7:C14)</f>
        <v>6412163</v>
      </c>
      <c r="D6" s="811">
        <f>SUM(D7:D14)</f>
        <v>6038280</v>
      </c>
      <c r="E6" s="811">
        <f>SUM(E7:E14)</f>
        <v>8208947</v>
      </c>
      <c r="F6" s="811">
        <f t="shared" ref="F6:K6" si="0">SUM(F7:F14)</f>
        <v>8325178</v>
      </c>
      <c r="G6" s="811">
        <f>SUM(G7:G14)</f>
        <v>2375042</v>
      </c>
      <c r="H6" s="811">
        <f t="shared" si="0"/>
        <v>2520963</v>
      </c>
      <c r="I6" s="811">
        <f t="shared" si="0"/>
        <v>2625203</v>
      </c>
      <c r="J6" s="811">
        <f t="shared" si="0"/>
        <v>3503223</v>
      </c>
      <c r="K6" s="811">
        <f t="shared" si="0"/>
        <v>3136146</v>
      </c>
    </row>
    <row r="7" spans="1:16" x14ac:dyDescent="0.2">
      <c r="A7" s="141" t="s">
        <v>2304</v>
      </c>
      <c r="B7" s="131">
        <v>3447390</v>
      </c>
      <c r="C7" s="131">
        <v>3656684</v>
      </c>
      <c r="D7" s="315">
        <v>3641734</v>
      </c>
      <c r="E7" s="315">
        <v>4503832</v>
      </c>
      <c r="F7" s="903">
        <v>3926408</v>
      </c>
      <c r="G7" s="141">
        <v>1934946</v>
      </c>
      <c r="H7" s="131">
        <v>2325906</v>
      </c>
      <c r="I7" s="315">
        <v>2330172</v>
      </c>
      <c r="J7" s="315">
        <v>2796112</v>
      </c>
      <c r="K7" s="903">
        <v>2743692</v>
      </c>
      <c r="L7" s="706"/>
      <c r="M7" s="706"/>
      <c r="N7" s="706"/>
      <c r="O7" s="706"/>
      <c r="P7" s="706"/>
    </row>
    <row r="8" spans="1:16" ht="12" x14ac:dyDescent="0.2">
      <c r="A8" s="141" t="s">
        <v>2352</v>
      </c>
      <c r="B8" s="131">
        <v>14</v>
      </c>
      <c r="C8" s="131">
        <v>16795</v>
      </c>
      <c r="D8" s="134">
        <v>0</v>
      </c>
      <c r="E8" s="315">
        <v>57156</v>
      </c>
      <c r="F8" s="903">
        <v>18510</v>
      </c>
      <c r="G8" s="141">
        <v>5</v>
      </c>
      <c r="H8" s="131">
        <v>72152</v>
      </c>
      <c r="I8" s="134">
        <v>0</v>
      </c>
      <c r="J8" s="315">
        <v>51667</v>
      </c>
      <c r="K8" s="903">
        <v>11700</v>
      </c>
      <c r="L8" s="706"/>
      <c r="M8" s="706"/>
      <c r="N8" s="706"/>
      <c r="O8" s="706"/>
      <c r="P8" s="706"/>
    </row>
    <row r="9" spans="1:16" ht="12" x14ac:dyDescent="0.2">
      <c r="A9" s="141" t="s">
        <v>2353</v>
      </c>
      <c r="B9" s="131">
        <v>3039</v>
      </c>
      <c r="C9" s="131">
        <v>4043</v>
      </c>
      <c r="D9" s="315">
        <v>30976</v>
      </c>
      <c r="E9" s="315">
        <v>89268</v>
      </c>
      <c r="F9" s="903">
        <v>149380</v>
      </c>
      <c r="G9" s="141">
        <v>402</v>
      </c>
      <c r="H9" s="131">
        <v>616</v>
      </c>
      <c r="I9" s="315">
        <v>4153</v>
      </c>
      <c r="J9" s="315">
        <v>11513</v>
      </c>
      <c r="K9" s="903">
        <v>21942</v>
      </c>
      <c r="L9" s="706"/>
      <c r="M9" s="706"/>
      <c r="N9" s="706"/>
      <c r="O9" s="706"/>
      <c r="P9" s="706"/>
    </row>
    <row r="10" spans="1:16" x14ac:dyDescent="0.2">
      <c r="A10" s="141" t="s">
        <v>2354</v>
      </c>
      <c r="B10" s="134">
        <v>781099</v>
      </c>
      <c r="C10" s="134">
        <v>512403</v>
      </c>
      <c r="D10" s="315">
        <v>199891</v>
      </c>
      <c r="E10" s="315">
        <v>632371</v>
      </c>
      <c r="F10" s="903">
        <v>288754</v>
      </c>
      <c r="G10" s="141">
        <v>439689</v>
      </c>
      <c r="H10" s="131">
        <v>122289</v>
      </c>
      <c r="I10" s="134">
        <v>192054</v>
      </c>
      <c r="J10" s="134">
        <v>457754</v>
      </c>
      <c r="K10" s="903">
        <v>202589</v>
      </c>
      <c r="L10" s="706"/>
      <c r="M10" s="706"/>
      <c r="N10" s="706"/>
      <c r="O10" s="706"/>
      <c r="P10" s="706"/>
    </row>
    <row r="11" spans="1:16" x14ac:dyDescent="0.2">
      <c r="A11" s="141" t="s">
        <v>2355</v>
      </c>
      <c r="B11" s="134">
        <v>0</v>
      </c>
      <c r="C11" s="134">
        <v>0</v>
      </c>
      <c r="D11" s="315">
        <v>8980</v>
      </c>
      <c r="E11" s="315">
        <v>45633</v>
      </c>
      <c r="F11" s="903">
        <v>163014</v>
      </c>
      <c r="G11" s="134">
        <v>0</v>
      </c>
      <c r="H11" s="134">
        <v>0</v>
      </c>
      <c r="I11" s="315">
        <v>1540</v>
      </c>
      <c r="J11" s="315">
        <v>7584</v>
      </c>
      <c r="K11" s="903">
        <v>48645</v>
      </c>
      <c r="L11" s="706"/>
      <c r="M11" s="706"/>
      <c r="N11" s="706"/>
      <c r="O11" s="706"/>
      <c r="P11" s="706"/>
    </row>
    <row r="12" spans="1:16" ht="12" x14ac:dyDescent="0.2">
      <c r="A12" s="141" t="s">
        <v>2356</v>
      </c>
      <c r="B12" s="134">
        <v>0</v>
      </c>
      <c r="C12" s="134">
        <v>0</v>
      </c>
      <c r="D12" s="315">
        <v>1839132</v>
      </c>
      <c r="E12" s="315">
        <v>2608351</v>
      </c>
      <c r="F12" s="903">
        <v>3532848</v>
      </c>
      <c r="G12" s="134">
        <v>0</v>
      </c>
      <c r="H12" s="134">
        <v>0</v>
      </c>
      <c r="I12" s="134">
        <v>0</v>
      </c>
      <c r="J12" s="134">
        <v>0</v>
      </c>
      <c r="K12" s="134">
        <v>0</v>
      </c>
      <c r="L12" s="706"/>
      <c r="M12" s="706"/>
      <c r="N12" s="706"/>
      <c r="O12" s="706"/>
      <c r="P12" s="706"/>
    </row>
    <row r="13" spans="1:16" x14ac:dyDescent="0.2">
      <c r="A13" s="141" t="s">
        <v>2357</v>
      </c>
      <c r="B13" s="134">
        <v>0</v>
      </c>
      <c r="C13" s="134">
        <v>0</v>
      </c>
      <c r="D13" s="315">
        <v>317567</v>
      </c>
      <c r="E13" s="315">
        <v>240879</v>
      </c>
      <c r="F13" s="903">
        <v>235944</v>
      </c>
      <c r="G13" s="134">
        <v>0</v>
      </c>
      <c r="H13" s="134">
        <v>0</v>
      </c>
      <c r="I13" s="315">
        <v>97284</v>
      </c>
      <c r="J13" s="315">
        <v>67009</v>
      </c>
      <c r="K13" s="903">
        <v>95578</v>
      </c>
      <c r="L13" s="706"/>
      <c r="M13" s="706"/>
      <c r="N13" s="706"/>
      <c r="O13" s="706"/>
      <c r="P13" s="706"/>
    </row>
    <row r="14" spans="1:16" x14ac:dyDescent="0.2">
      <c r="A14" s="141" t="s">
        <v>2358</v>
      </c>
      <c r="B14" s="131">
        <v>1869631</v>
      </c>
      <c r="C14" s="131">
        <v>2222238</v>
      </c>
      <c r="D14" s="134">
        <v>0</v>
      </c>
      <c r="E14" s="315">
        <v>31457</v>
      </c>
      <c r="F14" s="903">
        <v>10320</v>
      </c>
      <c r="G14" s="134">
        <v>0</v>
      </c>
      <c r="H14" s="134">
        <v>0</v>
      </c>
      <c r="I14" s="134">
        <v>0</v>
      </c>
      <c r="J14" s="315">
        <v>111584</v>
      </c>
      <c r="K14" s="903">
        <v>12000</v>
      </c>
    </row>
    <row r="15" spans="1:16" x14ac:dyDescent="0.2">
      <c r="B15" s="131"/>
      <c r="C15" s="134"/>
      <c r="D15" s="315"/>
      <c r="E15" s="134"/>
      <c r="F15" s="134"/>
      <c r="J15" s="706"/>
    </row>
    <row r="16" spans="1:16" s="717" customFormat="1" ht="25.5" customHeight="1" x14ac:dyDescent="0.25">
      <c r="A16" s="466" t="s">
        <v>2359</v>
      </c>
      <c r="B16" s="466"/>
      <c r="C16" s="466"/>
      <c r="D16" s="466"/>
      <c r="E16" s="466"/>
      <c r="F16" s="466"/>
      <c r="G16" s="466"/>
      <c r="H16" s="466"/>
      <c r="I16" s="466"/>
      <c r="J16" s="466"/>
      <c r="K16" s="466"/>
      <c r="L16" s="711"/>
      <c r="M16" s="711"/>
      <c r="N16" s="711"/>
      <c r="O16" s="711"/>
      <c r="P16" s="711"/>
    </row>
    <row r="17" spans="1:16" s="717" customFormat="1" ht="12.75" customHeight="1" x14ac:dyDescent="0.25">
      <c r="A17" s="723" t="s">
        <v>2360</v>
      </c>
      <c r="B17" s="723"/>
      <c r="C17" s="723"/>
      <c r="D17" s="723"/>
      <c r="E17" s="723"/>
      <c r="F17" s="723"/>
      <c r="G17" s="723"/>
      <c r="H17" s="723"/>
      <c r="I17" s="723"/>
      <c r="J17" s="723"/>
      <c r="K17" s="723"/>
      <c r="L17" s="711"/>
      <c r="M17" s="711"/>
      <c r="N17" s="711"/>
      <c r="O17" s="711"/>
      <c r="P17" s="711"/>
    </row>
    <row r="18" spans="1:16" s="717" customFormat="1" x14ac:dyDescent="0.25">
      <c r="A18" s="723" t="s">
        <v>2361</v>
      </c>
      <c r="B18" s="723"/>
      <c r="C18" s="723"/>
      <c r="D18" s="723"/>
      <c r="E18" s="723"/>
      <c r="F18" s="723"/>
      <c r="G18" s="723"/>
      <c r="H18" s="723"/>
      <c r="I18" s="723"/>
      <c r="J18" s="723"/>
      <c r="K18" s="723"/>
    </row>
    <row r="19" spans="1:16" s="717" customFormat="1" x14ac:dyDescent="0.25">
      <c r="A19" s="723" t="s">
        <v>2362</v>
      </c>
      <c r="B19" s="723"/>
      <c r="C19" s="723"/>
      <c r="D19" s="723"/>
      <c r="E19" s="723"/>
      <c r="F19" s="723"/>
      <c r="G19" s="723"/>
      <c r="H19" s="723"/>
      <c r="I19" s="723"/>
      <c r="J19" s="723"/>
      <c r="K19" s="723"/>
    </row>
    <row r="20" spans="1:16" s="724" customFormat="1" x14ac:dyDescent="0.25">
      <c r="A20" s="296" t="s">
        <v>19</v>
      </c>
      <c r="B20" s="296"/>
      <c r="C20" s="296"/>
      <c r="D20" s="296"/>
      <c r="E20" s="296"/>
      <c r="F20" s="296"/>
      <c r="G20" s="296"/>
      <c r="H20" s="296"/>
      <c r="I20" s="296"/>
      <c r="J20" s="296"/>
      <c r="K20" s="296"/>
    </row>
    <row r="21" spans="1:16" s="717" customFormat="1" x14ac:dyDescent="0.25">
      <c r="A21" s="723" t="s">
        <v>2267</v>
      </c>
      <c r="B21" s="723"/>
      <c r="C21" s="723"/>
      <c r="D21" s="723"/>
      <c r="E21" s="723"/>
      <c r="F21" s="723"/>
      <c r="G21" s="723"/>
      <c r="H21" s="723"/>
      <c r="I21" s="723"/>
      <c r="J21" s="723"/>
      <c r="K21" s="723"/>
    </row>
    <row r="22" spans="1:16" s="717" customFormat="1" x14ac:dyDescent="0.25">
      <c r="A22" s="455"/>
      <c r="B22" s="455"/>
      <c r="C22" s="455"/>
      <c r="D22" s="455"/>
      <c r="E22" s="455"/>
      <c r="F22" s="455"/>
      <c r="G22" s="455"/>
      <c r="H22" s="455"/>
      <c r="I22" s="455"/>
      <c r="J22" s="455"/>
      <c r="K22" s="455"/>
    </row>
    <row r="23" spans="1:16" s="717" customFormat="1" x14ac:dyDescent="0.25">
      <c r="A23" s="868" t="s">
        <v>2176</v>
      </c>
      <c r="B23" s="455"/>
      <c r="C23" s="455"/>
      <c r="D23" s="455"/>
      <c r="E23" s="455"/>
      <c r="F23" s="455"/>
      <c r="G23" s="455"/>
      <c r="H23" s="455"/>
      <c r="I23" s="455"/>
      <c r="J23" s="455"/>
      <c r="K23" s="455"/>
    </row>
    <row r="24" spans="1:16" s="717" customFormat="1" ht="20.399999999999999" x14ac:dyDescent="0.25">
      <c r="A24" s="974" t="s">
        <v>2363</v>
      </c>
      <c r="B24" s="453">
        <v>2009</v>
      </c>
      <c r="C24" s="453">
        <v>2010</v>
      </c>
      <c r="D24" s="453">
        <v>2011</v>
      </c>
      <c r="E24" s="453">
        <v>2012</v>
      </c>
      <c r="F24" s="453">
        <v>2013</v>
      </c>
      <c r="G24" s="455"/>
      <c r="H24" s="455"/>
      <c r="I24" s="455"/>
      <c r="J24" s="455"/>
      <c r="K24" s="455"/>
    </row>
    <row r="25" spans="1:16" s="717" customFormat="1" x14ac:dyDescent="0.25">
      <c r="A25" s="866" t="s">
        <v>2364</v>
      </c>
      <c r="B25" s="867">
        <v>6101173</v>
      </c>
      <c r="C25" s="867">
        <v>6412163</v>
      </c>
      <c r="D25" s="867">
        <v>6038280</v>
      </c>
      <c r="E25" s="867">
        <v>8208947</v>
      </c>
      <c r="F25" s="867">
        <v>8325178</v>
      </c>
      <c r="G25" s="455"/>
      <c r="H25" s="455"/>
      <c r="I25" s="455"/>
      <c r="J25" s="455"/>
      <c r="K25" s="455"/>
    </row>
    <row r="26" spans="1:16" s="717" customFormat="1" ht="20.399999999999999" x14ac:dyDescent="0.25">
      <c r="A26" s="866" t="s">
        <v>2351</v>
      </c>
      <c r="B26" s="867">
        <v>2375042</v>
      </c>
      <c r="C26" s="867">
        <v>2520963</v>
      </c>
      <c r="D26" s="867">
        <v>2625203</v>
      </c>
      <c r="E26" s="867">
        <v>3503223</v>
      </c>
      <c r="F26" s="867">
        <v>3136146</v>
      </c>
      <c r="G26" s="455"/>
      <c r="H26" s="455"/>
      <c r="I26" s="455"/>
      <c r="J26" s="455"/>
      <c r="K26" s="455"/>
    </row>
    <row r="27" spans="1:16" s="717" customFormat="1" x14ac:dyDescent="0.25">
      <c r="A27" s="455"/>
      <c r="B27" s="455"/>
      <c r="C27" s="455"/>
      <c r="D27" s="455"/>
      <c r="E27" s="455"/>
      <c r="F27" s="455"/>
      <c r="G27" s="455"/>
      <c r="H27" s="455"/>
      <c r="I27" s="455"/>
      <c r="J27" s="455"/>
      <c r="K27" s="455"/>
    </row>
    <row r="28" spans="1:16" s="717" customFormat="1" x14ac:dyDescent="0.25">
      <c r="K28" s="857"/>
    </row>
    <row r="29" spans="1:16" x14ac:dyDescent="0.2">
      <c r="K29" s="903"/>
    </row>
    <row r="30" spans="1:16" x14ac:dyDescent="0.2">
      <c r="K30" s="903"/>
    </row>
    <row r="31" spans="1:16" x14ac:dyDescent="0.2">
      <c r="K31" s="903"/>
    </row>
    <row r="32" spans="1:16" x14ac:dyDescent="0.2">
      <c r="K32" s="903"/>
    </row>
    <row r="33" spans="2:11" x14ac:dyDescent="0.2">
      <c r="K33" s="903"/>
    </row>
    <row r="34" spans="2:11" x14ac:dyDescent="0.2">
      <c r="K34" s="903"/>
    </row>
    <row r="35" spans="2:11" x14ac:dyDescent="0.2">
      <c r="B35" s="975"/>
      <c r="K35" s="903"/>
    </row>
    <row r="36" spans="2:11" x14ac:dyDescent="0.2">
      <c r="B36" s="975"/>
      <c r="K36" s="903"/>
    </row>
    <row r="37" spans="2:11" x14ac:dyDescent="0.2">
      <c r="B37" s="975"/>
    </row>
    <row r="38" spans="2:11" x14ac:dyDescent="0.2">
      <c r="B38" s="975"/>
    </row>
    <row r="39" spans="2:11" x14ac:dyDescent="0.2">
      <c r="B39" s="975"/>
    </row>
    <row r="40" spans="2:11" x14ac:dyDescent="0.2">
      <c r="B40" s="975"/>
    </row>
    <row r="41" spans="2:11" x14ac:dyDescent="0.2">
      <c r="B41" s="975"/>
    </row>
    <row r="42" spans="2:11" x14ac:dyDescent="0.2">
      <c r="B42" s="975"/>
    </row>
    <row r="43" spans="2:11" ht="12.75" customHeight="1" x14ac:dyDescent="0.2">
      <c r="B43" s="975"/>
    </row>
    <row r="44" spans="2:11" x14ac:dyDescent="0.2">
      <c r="B44" s="975"/>
    </row>
    <row r="45" spans="2:11" x14ac:dyDescent="0.2">
      <c r="B45" s="975"/>
    </row>
    <row r="46" spans="2:11" x14ac:dyDescent="0.2">
      <c r="B46" s="975"/>
    </row>
    <row r="47" spans="2:11" x14ac:dyDescent="0.2">
      <c r="B47" s="975"/>
    </row>
    <row r="48" spans="2:11" x14ac:dyDescent="0.2">
      <c r="B48" s="975"/>
    </row>
    <row r="49" spans="2:2" x14ac:dyDescent="0.2">
      <c r="B49" s="975"/>
    </row>
    <row r="50" spans="2:2" x14ac:dyDescent="0.2">
      <c r="B50" s="975"/>
    </row>
    <row r="51" spans="2:2" x14ac:dyDescent="0.2">
      <c r="B51" s="975"/>
    </row>
    <row r="52" spans="2:2" x14ac:dyDescent="0.2">
      <c r="B52" s="975"/>
    </row>
  </sheetData>
  <mergeCells count="11">
    <mergeCell ref="A17:K17"/>
    <mergeCell ref="A18:K18"/>
    <mergeCell ref="A19:K19"/>
    <mergeCell ref="A20:K20"/>
    <mergeCell ref="A21:K21"/>
    <mergeCell ref="B3:C3"/>
    <mergeCell ref="D3:E3"/>
    <mergeCell ref="A4:A5"/>
    <mergeCell ref="B4:F4"/>
    <mergeCell ref="G4:K4"/>
    <mergeCell ref="A16:K16"/>
  </mergeCells>
  <pageMargins left="0.7" right="0.7" top="0.75" bottom="0.75" header="0.3" footer="0.3"/>
  <pageSetup paperSize="14" scale="91" orientation="landscape" r:id="rId1"/>
  <drawing r:id="rId2"/>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B724D-27EA-497E-9AFE-3887771686FC}">
  <sheetPr codeName="Hoja178"/>
  <dimension ref="A1:Y18"/>
  <sheetViews>
    <sheetView workbookViewId="0">
      <selection activeCell="D42" sqref="D42"/>
    </sheetView>
  </sheetViews>
  <sheetFormatPr baseColWidth="10" defaultRowHeight="13.2" x14ac:dyDescent="0.25"/>
  <cols>
    <col min="1" max="1" width="19.44140625" customWidth="1"/>
    <col min="2" max="11" width="11.88671875" bestFit="1" customWidth="1"/>
  </cols>
  <sheetData>
    <row r="1" spans="1:25" ht="15.6" x14ac:dyDescent="0.25">
      <c r="A1" s="687"/>
    </row>
    <row r="2" spans="1:25" s="141" customFormat="1" ht="10.199999999999999" x14ac:dyDescent="0.2">
      <c r="A2" s="24" t="s">
        <v>2253</v>
      </c>
    </row>
    <row r="3" spans="1:25" s="141" customFormat="1" ht="12" customHeight="1" x14ac:dyDescent="0.2">
      <c r="B3" s="973"/>
      <c r="C3" s="973"/>
      <c r="D3" s="973"/>
      <c r="E3" s="973"/>
    </row>
    <row r="4" spans="1:25" s="141" customFormat="1" ht="26.25" customHeight="1" x14ac:dyDescent="0.2">
      <c r="A4" s="716" t="s">
        <v>2365</v>
      </c>
      <c r="B4" s="793" t="s">
        <v>2350</v>
      </c>
      <c r="C4" s="793"/>
      <c r="D4" s="793"/>
      <c r="E4" s="793"/>
      <c r="F4" s="793"/>
      <c r="G4" s="793" t="s">
        <v>2351</v>
      </c>
      <c r="H4" s="793"/>
      <c r="I4" s="793"/>
      <c r="J4" s="793"/>
      <c r="K4" s="793"/>
      <c r="L4" s="706"/>
      <c r="M4" s="706"/>
      <c r="N4" s="706"/>
      <c r="O4" s="706"/>
      <c r="P4" s="706"/>
      <c r="Q4" s="706"/>
      <c r="R4" s="706"/>
      <c r="S4" s="706"/>
      <c r="T4" s="706"/>
      <c r="U4" s="706"/>
      <c r="V4" s="706"/>
      <c r="W4" s="706"/>
      <c r="X4" s="706"/>
      <c r="Y4" s="706"/>
    </row>
    <row r="5" spans="1:25" s="141" customFormat="1" ht="14.25" customHeight="1" x14ac:dyDescent="0.2">
      <c r="A5" s="716"/>
      <c r="B5" s="453">
        <v>2009</v>
      </c>
      <c r="C5" s="454">
        <v>2010</v>
      </c>
      <c r="D5" s="976">
        <v>2011</v>
      </c>
      <c r="E5" s="976">
        <v>2012</v>
      </c>
      <c r="F5" s="453">
        <v>2013</v>
      </c>
      <c r="G5" s="453">
        <v>2009</v>
      </c>
      <c r="H5" s="454">
        <v>2010</v>
      </c>
      <c r="I5" s="976">
        <v>2011</v>
      </c>
      <c r="J5" s="976">
        <v>2012</v>
      </c>
      <c r="K5" s="453">
        <v>2013</v>
      </c>
    </row>
    <row r="6" spans="1:25" s="706" customFormat="1" ht="10.199999999999999" x14ac:dyDescent="0.2">
      <c r="A6" s="706" t="s">
        <v>3</v>
      </c>
      <c r="B6" s="977">
        <f>SUM(B7:B12)</f>
        <v>6101173</v>
      </c>
      <c r="C6" s="977">
        <f t="shared" ref="C6:K6" si="0">SUM(C7:C12)</f>
        <v>6412163</v>
      </c>
      <c r="D6" s="977">
        <f t="shared" si="0"/>
        <v>6038280</v>
      </c>
      <c r="E6" s="977">
        <f t="shared" si="0"/>
        <v>8208947</v>
      </c>
      <c r="F6" s="977">
        <f t="shared" si="0"/>
        <v>8325178</v>
      </c>
      <c r="G6" s="977">
        <f t="shared" si="0"/>
        <v>2375042</v>
      </c>
      <c r="H6" s="977">
        <f>SUM(H7:H12)</f>
        <v>2520963</v>
      </c>
      <c r="I6" s="977">
        <f t="shared" si="0"/>
        <v>2625203</v>
      </c>
      <c r="J6" s="977">
        <f t="shared" si="0"/>
        <v>3503223</v>
      </c>
      <c r="K6" s="977">
        <f t="shared" si="0"/>
        <v>3136146</v>
      </c>
      <c r="L6" s="141"/>
      <c r="M6" s="651"/>
      <c r="N6" s="141"/>
      <c r="O6" s="141"/>
      <c r="P6" s="141"/>
      <c r="Q6" s="141"/>
      <c r="R6" s="141"/>
      <c r="S6" s="141"/>
      <c r="T6" s="141"/>
      <c r="U6" s="141"/>
      <c r="V6" s="141"/>
      <c r="W6" s="141"/>
      <c r="X6" s="141"/>
      <c r="Y6" s="141"/>
    </row>
    <row r="7" spans="1:25" s="141" customFormat="1" ht="10.199999999999999" x14ac:dyDescent="0.2">
      <c r="A7" s="141" t="s">
        <v>2366</v>
      </c>
      <c r="B7" s="387">
        <v>2029516</v>
      </c>
      <c r="C7" s="903">
        <v>1841238</v>
      </c>
      <c r="D7" s="643">
        <v>2005769</v>
      </c>
      <c r="E7" s="643">
        <v>2986193</v>
      </c>
      <c r="F7" s="643">
        <v>2247436</v>
      </c>
      <c r="G7" s="141">
        <v>754788</v>
      </c>
      <c r="H7" s="387">
        <v>701634</v>
      </c>
      <c r="I7" s="643">
        <v>968653</v>
      </c>
      <c r="J7" s="643">
        <v>1346489</v>
      </c>
      <c r="K7" s="909">
        <v>1032659</v>
      </c>
      <c r="M7" s="341"/>
    </row>
    <row r="8" spans="1:25" s="141" customFormat="1" ht="10.199999999999999" x14ac:dyDescent="0.2">
      <c r="A8" s="141" t="s">
        <v>2298</v>
      </c>
      <c r="B8" s="387">
        <v>64735</v>
      </c>
      <c r="C8" s="903">
        <v>65765</v>
      </c>
      <c r="D8" s="643">
        <v>60116</v>
      </c>
      <c r="E8" s="643">
        <v>84860</v>
      </c>
      <c r="F8" s="643">
        <v>24330</v>
      </c>
      <c r="G8" s="141">
        <v>33451</v>
      </c>
      <c r="H8" s="903">
        <v>30353</v>
      </c>
      <c r="I8" s="643">
        <v>24171</v>
      </c>
      <c r="J8" s="643">
        <v>50931</v>
      </c>
      <c r="K8" s="909">
        <v>15659</v>
      </c>
      <c r="L8" s="706"/>
      <c r="M8" s="643"/>
      <c r="N8" s="706"/>
      <c r="O8" s="706"/>
      <c r="P8" s="706"/>
      <c r="Q8" s="706"/>
      <c r="R8" s="706"/>
      <c r="S8" s="706"/>
      <c r="T8" s="706"/>
      <c r="U8" s="706"/>
      <c r="V8" s="706"/>
      <c r="W8" s="706"/>
      <c r="X8" s="706"/>
      <c r="Y8" s="706"/>
    </row>
    <row r="9" spans="1:25" s="141" customFormat="1" ht="10.199999999999999" x14ac:dyDescent="0.2">
      <c r="A9" s="141" t="s">
        <v>2367</v>
      </c>
      <c r="B9" s="387">
        <v>1327348</v>
      </c>
      <c r="C9" s="903">
        <v>1379147</v>
      </c>
      <c r="D9" s="643">
        <v>1357954</v>
      </c>
      <c r="E9" s="643">
        <v>1646749</v>
      </c>
      <c r="F9" s="643">
        <v>1811706</v>
      </c>
      <c r="G9" s="141">
        <v>808709</v>
      </c>
      <c r="H9" s="903">
        <v>933652</v>
      </c>
      <c r="I9" s="643">
        <v>1102825</v>
      </c>
      <c r="J9" s="643">
        <v>1380160</v>
      </c>
      <c r="K9" s="909">
        <v>1546584</v>
      </c>
      <c r="M9" s="643"/>
    </row>
    <row r="10" spans="1:25" s="141" customFormat="1" ht="10.199999999999999" x14ac:dyDescent="0.2">
      <c r="A10" s="141" t="s">
        <v>2368</v>
      </c>
      <c r="B10" s="387">
        <v>713800</v>
      </c>
      <c r="C10" s="950">
        <v>654531</v>
      </c>
      <c r="D10" s="643">
        <v>754243</v>
      </c>
      <c r="E10" s="643">
        <v>836413</v>
      </c>
      <c r="F10" s="643">
        <v>670934</v>
      </c>
      <c r="G10" s="141">
        <v>733927</v>
      </c>
      <c r="H10" s="903">
        <v>617917</v>
      </c>
      <c r="I10" s="950">
        <v>476337</v>
      </c>
      <c r="J10" s="950">
        <v>604243</v>
      </c>
      <c r="K10" s="909">
        <v>519772</v>
      </c>
      <c r="M10" s="643"/>
    </row>
    <row r="11" spans="1:25" s="141" customFormat="1" ht="10.199999999999999" x14ac:dyDescent="0.2">
      <c r="A11" s="141" t="s">
        <v>2369</v>
      </c>
      <c r="B11" s="387">
        <v>1869631</v>
      </c>
      <c r="C11" s="903">
        <v>2222238</v>
      </c>
      <c r="D11" s="643">
        <v>1839132</v>
      </c>
      <c r="E11" s="643">
        <v>2608351</v>
      </c>
      <c r="F11" s="643">
        <v>3532848</v>
      </c>
      <c r="G11" s="950" t="s">
        <v>1224</v>
      </c>
      <c r="H11" s="950" t="s">
        <v>1224</v>
      </c>
      <c r="I11" s="643">
        <v>15130</v>
      </c>
      <c r="J11" s="950" t="s">
        <v>1224</v>
      </c>
      <c r="K11" s="909">
        <v>0</v>
      </c>
      <c r="M11" s="643"/>
    </row>
    <row r="12" spans="1:25" s="141" customFormat="1" ht="10.199999999999999" x14ac:dyDescent="0.2">
      <c r="A12" s="141" t="s">
        <v>2370</v>
      </c>
      <c r="B12" s="387">
        <v>96143</v>
      </c>
      <c r="C12" s="950">
        <v>249244</v>
      </c>
      <c r="D12" s="643">
        <v>21066</v>
      </c>
      <c r="E12" s="643">
        <v>46381</v>
      </c>
      <c r="F12" s="643">
        <v>37924</v>
      </c>
      <c r="G12" s="141">
        <v>44167</v>
      </c>
      <c r="H12" s="903">
        <v>237407</v>
      </c>
      <c r="I12" s="643">
        <v>38087</v>
      </c>
      <c r="J12" s="643">
        <v>121400</v>
      </c>
      <c r="K12" s="909">
        <v>21472</v>
      </c>
      <c r="M12" s="643"/>
    </row>
    <row r="13" spans="1:25" s="141" customFormat="1" ht="8.25" customHeight="1" x14ac:dyDescent="0.2">
      <c r="B13" s="387"/>
      <c r="C13" s="950"/>
      <c r="D13" s="643"/>
      <c r="E13" s="643"/>
      <c r="F13" s="643"/>
      <c r="H13" s="903"/>
      <c r="I13" s="643"/>
      <c r="J13" s="643"/>
      <c r="K13" s="909"/>
      <c r="M13" s="643"/>
    </row>
    <row r="14" spans="1:25" s="141" customFormat="1" ht="24.75" customHeight="1" x14ac:dyDescent="0.2">
      <c r="A14" s="466" t="s">
        <v>2371</v>
      </c>
      <c r="B14" s="466"/>
      <c r="C14" s="466"/>
      <c r="D14" s="466"/>
      <c r="E14" s="466"/>
      <c r="F14" s="466"/>
      <c r="G14" s="466"/>
      <c r="H14" s="466"/>
      <c r="I14" s="466"/>
      <c r="J14" s="466"/>
      <c r="K14" s="466"/>
      <c r="M14" s="643"/>
    </row>
    <row r="15" spans="1:25" s="141" customFormat="1" ht="10.199999999999999" x14ac:dyDescent="0.2">
      <c r="A15" s="978" t="s">
        <v>2372</v>
      </c>
      <c r="B15" s="722"/>
      <c r="C15" s="722"/>
      <c r="D15" s="722"/>
      <c r="E15" s="722"/>
      <c r="F15" s="722"/>
      <c r="G15" s="722"/>
    </row>
    <row r="16" spans="1:25" s="141" customFormat="1" x14ac:dyDescent="0.25">
      <c r="A16" s="715" t="s">
        <v>2267</v>
      </c>
      <c r="B16" s="715"/>
      <c r="C16" s="715"/>
      <c r="D16" s="715"/>
      <c r="E16" s="715"/>
      <c r="F16" s="715"/>
      <c r="G16" s="715"/>
      <c r="H16" s="715"/>
      <c r="I16" s="715"/>
      <c r="J16" s="715"/>
      <c r="K16" s="715"/>
      <c r="R16" s="718"/>
      <c r="S16" s="338"/>
    </row>
    <row r="17" spans="9:19" s="141" customFormat="1" ht="10.199999999999999" x14ac:dyDescent="0.2"/>
    <row r="18" spans="9:19" s="141" customFormat="1" ht="14.4" x14ac:dyDescent="0.3">
      <c r="I18" s="717"/>
      <c r="J18" s="750"/>
      <c r="K18" s="750"/>
      <c r="L18" s="979"/>
      <c r="M18" s="979"/>
      <c r="N18" s="979"/>
      <c r="O18" s="750"/>
      <c r="P18" s="750"/>
      <c r="Q18" s="750"/>
      <c r="R18" s="979"/>
      <c r="S18" s="979"/>
    </row>
  </sheetData>
  <mergeCells count="7">
    <mergeCell ref="A16:K16"/>
    <mergeCell ref="B3:C3"/>
    <mergeCell ref="D3:E3"/>
    <mergeCell ref="A4:A5"/>
    <mergeCell ref="B4:F4"/>
    <mergeCell ref="G4:K4"/>
    <mergeCell ref="A14:K14"/>
  </mergeCells>
  <pageMargins left="0.7" right="0.7" top="0.75" bottom="0.75" header="0.3" footer="0.3"/>
  <pageSetup paperSize="14" orientation="landscape"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243E3-967F-4EDF-9588-AE2225410988}">
  <sheetPr codeName="Hoja179"/>
  <dimension ref="A2:I25"/>
  <sheetViews>
    <sheetView zoomScaleNormal="100" workbookViewId="0">
      <selection activeCell="D42" sqref="D42"/>
    </sheetView>
  </sheetViews>
  <sheetFormatPr baseColWidth="10" defaultRowHeight="13.2" x14ac:dyDescent="0.25"/>
  <cols>
    <col min="1" max="1" width="34.88671875" customWidth="1"/>
    <col min="2" max="4" width="16.33203125" customWidth="1"/>
  </cols>
  <sheetData>
    <row r="2" spans="1:9" ht="29.25" customHeight="1" x14ac:dyDescent="0.25">
      <c r="A2" s="886" t="s">
        <v>2254</v>
      </c>
      <c r="B2" s="886"/>
      <c r="C2" s="886"/>
      <c r="D2" s="886"/>
    </row>
    <row r="4" spans="1:9" x14ac:dyDescent="0.25">
      <c r="A4" s="653" t="s">
        <v>0</v>
      </c>
      <c r="B4" s="874" t="s">
        <v>2204</v>
      </c>
      <c r="C4" s="875"/>
      <c r="D4" s="876"/>
      <c r="E4" s="24"/>
      <c r="F4" s="24"/>
      <c r="G4" s="24"/>
      <c r="H4" s="24"/>
      <c r="I4" s="24"/>
    </row>
    <row r="5" spans="1:9" x14ac:dyDescent="0.25">
      <c r="A5" s="887"/>
      <c r="B5" s="653" t="s">
        <v>3</v>
      </c>
      <c r="C5" s="874" t="s">
        <v>2205</v>
      </c>
      <c r="D5" s="876"/>
      <c r="E5" s="24"/>
      <c r="F5" s="24"/>
      <c r="G5" s="24"/>
      <c r="H5" s="24"/>
      <c r="I5" s="24"/>
    </row>
    <row r="6" spans="1:9" ht="20.399999999999999" x14ac:dyDescent="0.25">
      <c r="A6" s="654"/>
      <c r="B6" s="654"/>
      <c r="C6" s="980" t="s">
        <v>2373</v>
      </c>
      <c r="D6" s="980" t="s">
        <v>2374</v>
      </c>
      <c r="E6" s="24"/>
      <c r="F6" s="24"/>
      <c r="G6" s="24"/>
      <c r="H6" s="24"/>
      <c r="I6" s="24"/>
    </row>
    <row r="7" spans="1:9" x14ac:dyDescent="0.25">
      <c r="A7" s="712" t="s">
        <v>3</v>
      </c>
      <c r="B7" s="655">
        <f>SUM(B8:B22)</f>
        <v>4479</v>
      </c>
      <c r="C7" s="655">
        <f>SUM(C8:C22)</f>
        <v>1398</v>
      </c>
      <c r="D7" s="655">
        <f>SUM(D8:D22)</f>
        <v>3081</v>
      </c>
      <c r="E7" s="24"/>
      <c r="F7" s="24"/>
      <c r="G7" s="24"/>
      <c r="H7" s="24"/>
      <c r="I7" s="24"/>
    </row>
    <row r="8" spans="1:9" ht="14.4" x14ac:dyDescent="0.25">
      <c r="A8" s="288" t="s">
        <v>4</v>
      </c>
      <c r="B8" s="655">
        <f>SUM(C8:D8)</f>
        <v>21</v>
      </c>
      <c r="C8" s="890">
        <v>15</v>
      </c>
      <c r="D8" s="890">
        <v>6</v>
      </c>
      <c r="E8" s="24"/>
      <c r="F8" s="24"/>
      <c r="G8" s="981"/>
      <c r="H8" s="981"/>
      <c r="I8" s="24"/>
    </row>
    <row r="9" spans="1:9" ht="14.4" x14ac:dyDescent="0.25">
      <c r="A9" s="288" t="s">
        <v>5</v>
      </c>
      <c r="B9" s="655">
        <f t="shared" ref="B9:B21" si="0">SUM(C9:D9)</f>
        <v>26</v>
      </c>
      <c r="C9" s="890">
        <v>10</v>
      </c>
      <c r="D9" s="890">
        <v>16</v>
      </c>
      <c r="E9" s="24"/>
      <c r="F9" s="24"/>
      <c r="G9" s="981"/>
      <c r="H9" s="981"/>
      <c r="I9" s="24"/>
    </row>
    <row r="10" spans="1:9" ht="14.4" x14ac:dyDescent="0.25">
      <c r="A10" s="288" t="s">
        <v>6</v>
      </c>
      <c r="B10" s="655">
        <f>SUM(C10:D10)</f>
        <v>77</v>
      </c>
      <c r="C10" s="890">
        <v>24</v>
      </c>
      <c r="D10" s="890">
        <v>53</v>
      </c>
      <c r="E10" s="24"/>
      <c r="F10" s="24"/>
      <c r="G10" s="981"/>
      <c r="H10" s="981"/>
      <c r="I10" s="24"/>
    </row>
    <row r="11" spans="1:9" ht="14.4" x14ac:dyDescent="0.25">
      <c r="A11" s="288" t="s">
        <v>7</v>
      </c>
      <c r="B11" s="655">
        <f>SUM(C11:D11)</f>
        <v>152</v>
      </c>
      <c r="C11" s="890">
        <v>27</v>
      </c>
      <c r="D11" s="890">
        <v>125</v>
      </c>
      <c r="E11" s="24"/>
      <c r="F11" s="24"/>
      <c r="G11" s="981"/>
      <c r="H11" s="981"/>
      <c r="I11" s="24"/>
    </row>
    <row r="12" spans="1:9" ht="14.4" x14ac:dyDescent="0.25">
      <c r="A12" s="288" t="s">
        <v>8</v>
      </c>
      <c r="B12" s="655">
        <f t="shared" si="0"/>
        <v>134</v>
      </c>
      <c r="C12" s="890">
        <v>47</v>
      </c>
      <c r="D12" s="890">
        <v>87</v>
      </c>
      <c r="E12" s="24"/>
      <c r="F12" s="24"/>
      <c r="G12" s="981"/>
      <c r="H12" s="981"/>
      <c r="I12" s="24"/>
    </row>
    <row r="13" spans="1:9" ht="14.4" x14ac:dyDescent="0.25">
      <c r="A13" s="288" t="s">
        <v>9</v>
      </c>
      <c r="B13" s="655">
        <f>SUM(C13:D13)</f>
        <v>374</v>
      </c>
      <c r="C13" s="890">
        <v>166</v>
      </c>
      <c r="D13" s="890">
        <v>208</v>
      </c>
      <c r="E13" s="24"/>
      <c r="F13" s="24"/>
      <c r="G13" s="981"/>
      <c r="H13" s="981"/>
      <c r="I13" s="24"/>
    </row>
    <row r="14" spans="1:9" ht="14.4" x14ac:dyDescent="0.25">
      <c r="A14" s="288" t="s">
        <v>10</v>
      </c>
      <c r="B14" s="655">
        <f>SUM(C14:D14)</f>
        <v>2065</v>
      </c>
      <c r="C14" s="890">
        <v>419</v>
      </c>
      <c r="D14" s="890">
        <v>1646</v>
      </c>
      <c r="E14" s="24"/>
      <c r="F14" s="24"/>
      <c r="G14" s="981"/>
      <c r="H14" s="981"/>
      <c r="I14" s="24"/>
    </row>
    <row r="15" spans="1:9" ht="14.4" x14ac:dyDescent="0.25">
      <c r="A15" s="288" t="s">
        <v>134</v>
      </c>
      <c r="B15" s="655">
        <f t="shared" si="0"/>
        <v>155</v>
      </c>
      <c r="C15" s="890">
        <v>65</v>
      </c>
      <c r="D15" s="890">
        <v>90</v>
      </c>
      <c r="E15" s="24"/>
      <c r="F15" s="24"/>
      <c r="G15" s="981"/>
      <c r="H15" s="981"/>
      <c r="I15" s="24"/>
    </row>
    <row r="16" spans="1:9" ht="14.4" x14ac:dyDescent="0.25">
      <c r="A16" s="288" t="s">
        <v>2375</v>
      </c>
      <c r="B16" s="655">
        <f t="shared" si="0"/>
        <v>272</v>
      </c>
      <c r="C16" s="890">
        <v>94</v>
      </c>
      <c r="D16" s="890">
        <v>178</v>
      </c>
      <c r="E16" s="24"/>
      <c r="F16" s="24"/>
      <c r="G16" s="981"/>
      <c r="H16" s="981"/>
      <c r="I16" s="24"/>
    </row>
    <row r="17" spans="1:9" ht="14.4" x14ac:dyDescent="0.25">
      <c r="A17" s="288" t="s">
        <v>13</v>
      </c>
      <c r="B17" s="655">
        <f>SUM(C17:D17)</f>
        <v>408</v>
      </c>
      <c r="C17" s="890">
        <v>171</v>
      </c>
      <c r="D17" s="890">
        <v>237</v>
      </c>
      <c r="E17" s="24"/>
      <c r="F17" s="24"/>
      <c r="G17" s="981"/>
      <c r="H17" s="981"/>
      <c r="I17" s="24"/>
    </row>
    <row r="18" spans="1:9" ht="14.4" x14ac:dyDescent="0.25">
      <c r="A18" s="288" t="s">
        <v>47</v>
      </c>
      <c r="B18" s="655">
        <f t="shared" si="0"/>
        <v>275</v>
      </c>
      <c r="C18" s="890">
        <v>90</v>
      </c>
      <c r="D18" s="890">
        <v>185</v>
      </c>
      <c r="E18" s="24"/>
      <c r="F18" s="24"/>
      <c r="G18" s="981"/>
      <c r="H18" s="981"/>
      <c r="I18" s="24"/>
    </row>
    <row r="19" spans="1:9" ht="14.4" x14ac:dyDescent="0.25">
      <c r="A19" s="288" t="s">
        <v>135</v>
      </c>
      <c r="B19" s="655">
        <f t="shared" si="0"/>
        <v>246</v>
      </c>
      <c r="C19" s="890">
        <v>171</v>
      </c>
      <c r="D19" s="890">
        <v>75</v>
      </c>
      <c r="E19" s="24"/>
      <c r="F19" s="24"/>
      <c r="G19" s="981"/>
      <c r="H19" s="981"/>
      <c r="I19" s="24"/>
    </row>
    <row r="20" spans="1:9" ht="14.4" x14ac:dyDescent="0.25">
      <c r="A20" s="288" t="s">
        <v>136</v>
      </c>
      <c r="B20" s="655">
        <f>SUM(C20:D20)</f>
        <v>238</v>
      </c>
      <c r="C20" s="890">
        <v>88</v>
      </c>
      <c r="D20" s="890">
        <v>150</v>
      </c>
      <c r="E20" s="24"/>
      <c r="F20" s="24"/>
      <c r="G20" s="981"/>
      <c r="H20" s="981"/>
      <c r="I20" s="24"/>
    </row>
    <row r="21" spans="1:9" ht="14.4" x14ac:dyDescent="0.25">
      <c r="A21" s="288" t="s">
        <v>17</v>
      </c>
      <c r="B21" s="655">
        <f t="shared" si="0"/>
        <v>13</v>
      </c>
      <c r="C21" s="890">
        <v>6</v>
      </c>
      <c r="D21" s="890">
        <v>7</v>
      </c>
      <c r="E21" s="24"/>
      <c r="F21" s="24"/>
      <c r="G21" s="981"/>
      <c r="H21" s="981"/>
      <c r="I21" s="24"/>
    </row>
    <row r="22" spans="1:9" ht="14.4" x14ac:dyDescent="0.25">
      <c r="A22" s="284" t="s">
        <v>18</v>
      </c>
      <c r="B22" s="655">
        <f>SUM(C22:D22)</f>
        <v>23</v>
      </c>
      <c r="C22" s="890">
        <v>5</v>
      </c>
      <c r="D22" s="890">
        <v>18</v>
      </c>
      <c r="E22" s="24"/>
      <c r="F22" s="24"/>
      <c r="G22" s="981"/>
      <c r="H22" s="981"/>
      <c r="I22" s="24"/>
    </row>
    <row r="23" spans="1:9" x14ac:dyDescent="0.25">
      <c r="A23" s="24"/>
      <c r="B23" s="24"/>
      <c r="C23" s="24"/>
      <c r="D23" s="24"/>
      <c r="E23" s="24"/>
      <c r="F23" s="24"/>
      <c r="G23" s="24"/>
      <c r="H23" s="24"/>
      <c r="I23" s="24"/>
    </row>
    <row r="24" spans="1:9" ht="32.25" customHeight="1" x14ac:dyDescent="0.25">
      <c r="A24" s="879" t="s">
        <v>2376</v>
      </c>
      <c r="B24" s="879"/>
      <c r="C24" s="879"/>
      <c r="D24" s="879"/>
    </row>
    <row r="25" spans="1:9" x14ac:dyDescent="0.25">
      <c r="A25" s="336" t="s">
        <v>2213</v>
      </c>
      <c r="B25" s="2"/>
      <c r="C25" s="2"/>
      <c r="D25" s="2"/>
    </row>
  </sheetData>
  <mergeCells count="6">
    <mergeCell ref="A2:D2"/>
    <mergeCell ref="A4:A6"/>
    <mergeCell ref="B4:D4"/>
    <mergeCell ref="B5:B6"/>
    <mergeCell ref="C5:D5"/>
    <mergeCell ref="A24:D24"/>
  </mergeCells>
  <pageMargins left="0.70866141732283472" right="0.70866141732283472" top="0.74803149606299213" bottom="0.74803149606299213" header="0.31496062992125984" footer="0.31496062992125984"/>
  <pageSetup paperSize="14" scale="12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25278B-0EAF-440B-B543-D7B0621EA264}">
  <sheetPr codeName="Hoja18"/>
  <dimension ref="A2:E58"/>
  <sheetViews>
    <sheetView zoomScaleNormal="100" workbookViewId="0"/>
  </sheetViews>
  <sheetFormatPr baseColWidth="10" defaultColWidth="11.44140625" defaultRowHeight="10.199999999999999" x14ac:dyDescent="0.2"/>
  <cols>
    <col min="1" max="1" width="37.33203125" style="62" customWidth="1"/>
    <col min="2" max="2" width="22.44140625" style="62" customWidth="1"/>
    <col min="3" max="3" width="23.33203125" style="62" customWidth="1"/>
    <col min="4" max="4" width="21.44140625" style="62" customWidth="1"/>
    <col min="5" max="5" width="23.44140625" style="62" customWidth="1"/>
    <col min="6" max="16384" width="11.44140625" style="62"/>
  </cols>
  <sheetData>
    <row r="2" spans="1:5" x14ac:dyDescent="0.2">
      <c r="A2" s="183" t="s">
        <v>303</v>
      </c>
      <c r="B2" s="183"/>
      <c r="C2" s="183"/>
      <c r="D2" s="183"/>
      <c r="E2" s="183"/>
    </row>
    <row r="3" spans="1:5" x14ac:dyDescent="0.2">
      <c r="A3" s="184"/>
      <c r="B3" s="185"/>
      <c r="C3" s="185"/>
      <c r="D3" s="185"/>
      <c r="E3" s="185"/>
    </row>
    <row r="4" spans="1:5" ht="52.5" customHeight="1" x14ac:dyDescent="0.2">
      <c r="A4" s="186" t="s">
        <v>203</v>
      </c>
      <c r="B4" s="170" t="s">
        <v>304</v>
      </c>
      <c r="C4" s="170" t="s">
        <v>305</v>
      </c>
      <c r="D4" s="170" t="s">
        <v>306</v>
      </c>
      <c r="E4" s="170" t="s">
        <v>307</v>
      </c>
    </row>
    <row r="5" spans="1:5" x14ac:dyDescent="0.2">
      <c r="A5" s="187" t="s">
        <v>308</v>
      </c>
      <c r="B5" s="162">
        <f>76290.57531105*1000000</f>
        <v>76290575311.049988</v>
      </c>
      <c r="C5" s="161">
        <v>1</v>
      </c>
      <c r="D5" s="162">
        <f>71926.07139744*1000000</f>
        <v>71926071397.440002</v>
      </c>
      <c r="E5" s="161">
        <v>1</v>
      </c>
    </row>
    <row r="6" spans="1:5" x14ac:dyDescent="0.2">
      <c r="A6" s="187" t="s">
        <v>309</v>
      </c>
      <c r="B6" s="162">
        <v>221264938.97999999</v>
      </c>
      <c r="C6" s="161">
        <f>SUM(C7:C14)</f>
        <v>2.9002919178137566E-3</v>
      </c>
      <c r="D6" s="162">
        <v>3871384304.6500001</v>
      </c>
      <c r="E6" s="161">
        <f>SUM(E7:E14)</f>
        <v>5.3824492696924783E-2</v>
      </c>
    </row>
    <row r="7" spans="1:5" x14ac:dyDescent="0.2">
      <c r="A7" s="188" t="s">
        <v>24</v>
      </c>
      <c r="B7" s="165">
        <v>58961659.039999999</v>
      </c>
      <c r="C7" s="164">
        <f t="shared" ref="C7:C14" si="0">B7/$B$5</f>
        <v>7.7285639542765312E-4</v>
      </c>
      <c r="D7" s="165">
        <v>130667787.18000001</v>
      </c>
      <c r="E7" s="164">
        <f t="shared" ref="E7:E14" si="1">D7/$D$5</f>
        <v>1.8166957355139342E-3</v>
      </c>
    </row>
    <row r="8" spans="1:5" x14ac:dyDescent="0.2">
      <c r="A8" s="188" t="s">
        <v>26</v>
      </c>
      <c r="B8" s="165">
        <v>5000</v>
      </c>
      <c r="C8" s="164">
        <f t="shared" si="0"/>
        <v>6.5538894937076138E-8</v>
      </c>
      <c r="D8" s="165">
        <v>115576.68</v>
      </c>
      <c r="E8" s="164">
        <f t="shared" si="1"/>
        <v>1.6068815904230465E-6</v>
      </c>
    </row>
    <row r="9" spans="1:5" x14ac:dyDescent="0.2">
      <c r="A9" s="188" t="s">
        <v>310</v>
      </c>
      <c r="B9" s="165">
        <v>6314607.5299999984</v>
      </c>
      <c r="C9" s="164">
        <f t="shared" si="0"/>
        <v>8.2770479895507957E-5</v>
      </c>
      <c r="D9" s="165">
        <v>195644362.46000001</v>
      </c>
      <c r="E9" s="164">
        <f t="shared" si="1"/>
        <v>2.7200757480404163E-3</v>
      </c>
    </row>
    <row r="10" spans="1:5" x14ac:dyDescent="0.2">
      <c r="A10" s="188" t="s">
        <v>29</v>
      </c>
      <c r="B10" s="165">
        <v>2581464.63</v>
      </c>
      <c r="C10" s="164">
        <f t="shared" si="0"/>
        <v>3.3837267833869627E-5</v>
      </c>
      <c r="D10" s="165">
        <v>158158834.12</v>
      </c>
      <c r="E10" s="164">
        <f t="shared" si="1"/>
        <v>2.1989082824511001E-3</v>
      </c>
    </row>
    <row r="11" spans="1:5" x14ac:dyDescent="0.2">
      <c r="A11" s="188" t="s">
        <v>70</v>
      </c>
      <c r="B11" s="165">
        <v>81056488.800000027</v>
      </c>
      <c r="C11" s="164">
        <f t="shared" si="0"/>
        <v>1.0624705406862981E-3</v>
      </c>
      <c r="D11" s="165">
        <v>501583258.14000005</v>
      </c>
      <c r="E11" s="164">
        <f t="shared" si="1"/>
        <v>6.9735945310903276E-3</v>
      </c>
    </row>
    <row r="12" spans="1:5" x14ac:dyDescent="0.2">
      <c r="A12" s="188" t="s">
        <v>33</v>
      </c>
      <c r="B12" s="165">
        <v>12244439.680000002</v>
      </c>
      <c r="C12" s="164">
        <f t="shared" si="0"/>
        <v>1.6049740915017726E-4</v>
      </c>
      <c r="D12" s="165">
        <v>1009747159.34</v>
      </c>
      <c r="E12" s="164">
        <f t="shared" si="1"/>
        <v>1.403868082493296E-2</v>
      </c>
    </row>
    <row r="13" spans="1:5" x14ac:dyDescent="0.2">
      <c r="A13" s="188" t="s">
        <v>64</v>
      </c>
      <c r="B13" s="165">
        <v>23277827.580000002</v>
      </c>
      <c r="C13" s="164">
        <f t="shared" si="0"/>
        <v>3.0512061922579871E-4</v>
      </c>
      <c r="D13" s="165">
        <v>28604690.240000002</v>
      </c>
      <c r="E13" s="164">
        <f t="shared" si="1"/>
        <v>3.9769571289303176E-4</v>
      </c>
    </row>
    <row r="14" spans="1:5" x14ac:dyDescent="0.2">
      <c r="A14" s="188" t="s">
        <v>65</v>
      </c>
      <c r="B14" s="165">
        <v>36823451.719999999</v>
      </c>
      <c r="C14" s="164">
        <f t="shared" si="0"/>
        <v>4.8267366669951513E-4</v>
      </c>
      <c r="D14" s="165">
        <v>1846862636.49</v>
      </c>
      <c r="E14" s="164">
        <f t="shared" si="1"/>
        <v>2.5677234980412592E-2</v>
      </c>
    </row>
    <row r="15" spans="1:5" x14ac:dyDescent="0.2">
      <c r="A15" s="187" t="s">
        <v>311</v>
      </c>
      <c r="B15" s="162">
        <v>1190844764.6199999</v>
      </c>
      <c r="C15" s="161">
        <v>1</v>
      </c>
      <c r="D15" s="189" t="s">
        <v>193</v>
      </c>
      <c r="E15" s="189" t="s">
        <v>193</v>
      </c>
    </row>
    <row r="16" spans="1:5" x14ac:dyDescent="0.2">
      <c r="A16" s="187" t="s">
        <v>312</v>
      </c>
      <c r="B16" s="162">
        <f>SUM(B17:B20)</f>
        <v>216286331.26999998</v>
      </c>
      <c r="C16" s="161">
        <f>SUM(C17:C20)</f>
        <v>0.18162428697330441</v>
      </c>
      <c r="D16" s="190" t="s">
        <v>193</v>
      </c>
      <c r="E16" s="190" t="s">
        <v>193</v>
      </c>
    </row>
    <row r="17" spans="1:5" x14ac:dyDescent="0.2">
      <c r="A17" s="188" t="s">
        <v>70</v>
      </c>
      <c r="B17" s="165">
        <v>5471766.0700000003</v>
      </c>
      <c r="C17" s="164">
        <f>B17/$B$15</f>
        <v>4.5948609193794017E-3</v>
      </c>
      <c r="D17" s="190" t="s">
        <v>193</v>
      </c>
      <c r="E17" s="190" t="s">
        <v>193</v>
      </c>
    </row>
    <row r="18" spans="1:5" x14ac:dyDescent="0.2">
      <c r="A18" s="188" t="s">
        <v>33</v>
      </c>
      <c r="B18" s="165">
        <v>31998869.999999996</v>
      </c>
      <c r="C18" s="164">
        <f>B18/$B$15</f>
        <v>2.687073156022219E-2</v>
      </c>
      <c r="D18" s="190" t="s">
        <v>193</v>
      </c>
      <c r="E18" s="190" t="s">
        <v>193</v>
      </c>
    </row>
    <row r="19" spans="1:5" x14ac:dyDescent="0.2">
      <c r="A19" s="188" t="s">
        <v>64</v>
      </c>
      <c r="B19" s="165">
        <v>10183703.609999999</v>
      </c>
      <c r="C19" s="164">
        <f>B19/$B$15</f>
        <v>8.5516634179011834E-3</v>
      </c>
      <c r="D19" s="190" t="s">
        <v>193</v>
      </c>
      <c r="E19" s="190" t="s">
        <v>193</v>
      </c>
    </row>
    <row r="20" spans="1:5" x14ac:dyDescent="0.2">
      <c r="A20" s="188" t="s">
        <v>65</v>
      </c>
      <c r="B20" s="165">
        <v>168631991.58999997</v>
      </c>
      <c r="C20" s="164">
        <f>B20/$B$15</f>
        <v>0.14160703107580161</v>
      </c>
      <c r="D20" s="190" t="s">
        <v>193</v>
      </c>
      <c r="E20" s="190" t="s">
        <v>193</v>
      </c>
    </row>
    <row r="22" spans="1:5" ht="27" customHeight="1" x14ac:dyDescent="0.2">
      <c r="A22" s="191" t="s">
        <v>313</v>
      </c>
      <c r="B22" s="191"/>
      <c r="C22" s="191"/>
      <c r="D22" s="191"/>
      <c r="E22" s="191"/>
    </row>
    <row r="23" spans="1:5" x14ac:dyDescent="0.2">
      <c r="A23" s="192" t="s">
        <v>198</v>
      </c>
      <c r="B23" s="192"/>
      <c r="C23" s="192"/>
      <c r="D23" s="192"/>
      <c r="E23" s="192"/>
    </row>
    <row r="24" spans="1:5" ht="25.5" customHeight="1" x14ac:dyDescent="0.2">
      <c r="A24" s="191" t="s">
        <v>314</v>
      </c>
      <c r="B24" s="191"/>
      <c r="C24" s="191"/>
      <c r="D24" s="191"/>
      <c r="E24" s="191"/>
    </row>
    <row r="43" spans="1:1" x14ac:dyDescent="0.2">
      <c r="A43" s="78"/>
    </row>
    <row r="44" spans="1:1" x14ac:dyDescent="0.2">
      <c r="A44" s="78"/>
    </row>
    <row r="45" spans="1:1" x14ac:dyDescent="0.2">
      <c r="A45" s="78"/>
    </row>
    <row r="46" spans="1:1" x14ac:dyDescent="0.2">
      <c r="A46" s="78"/>
    </row>
    <row r="47" spans="1:1" x14ac:dyDescent="0.2">
      <c r="A47" s="78"/>
    </row>
    <row r="48" spans="1:1" x14ac:dyDescent="0.2">
      <c r="A48" s="78"/>
    </row>
    <row r="49" spans="1:1" x14ac:dyDescent="0.2">
      <c r="A49" s="78"/>
    </row>
    <row r="50" spans="1:1" x14ac:dyDescent="0.2">
      <c r="A50" s="78"/>
    </row>
    <row r="52" spans="1:1" x14ac:dyDescent="0.2">
      <c r="A52" s="78"/>
    </row>
    <row r="53" spans="1:1" x14ac:dyDescent="0.2">
      <c r="A53" s="78"/>
    </row>
    <row r="54" spans="1:1" x14ac:dyDescent="0.2">
      <c r="A54" s="78"/>
    </row>
    <row r="55" spans="1:1" x14ac:dyDescent="0.2">
      <c r="A55" s="78"/>
    </row>
    <row r="56" spans="1:1" x14ac:dyDescent="0.2">
      <c r="A56" s="78"/>
    </row>
    <row r="57" spans="1:1" x14ac:dyDescent="0.2">
      <c r="A57" s="78"/>
    </row>
    <row r="58" spans="1:1" x14ac:dyDescent="0.2">
      <c r="A58" s="78"/>
    </row>
  </sheetData>
  <mergeCells count="3">
    <mergeCell ref="A2:E2"/>
    <mergeCell ref="A22:E22"/>
    <mergeCell ref="A24:E24"/>
  </mergeCells>
  <pageMargins left="0.70866141732283472" right="0.70866141732283472" top="0.74803149606299213" bottom="0.74803149606299213" header="0.31496062992125984" footer="0.31496062992125984"/>
  <pageSetup paperSize="14" orientation="landscape" verticalDpi="599"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435D55-F9DB-4BE4-A0AF-B43FC5F73197}">
  <sheetPr codeName="Hoja180"/>
  <dimension ref="A2:D18"/>
  <sheetViews>
    <sheetView zoomScaleNormal="100" workbookViewId="0">
      <selection activeCell="D42" sqref="D42"/>
    </sheetView>
  </sheetViews>
  <sheetFormatPr baseColWidth="10" defaultRowHeight="13.2" x14ac:dyDescent="0.25"/>
  <cols>
    <col min="1" max="4" width="19.109375" customWidth="1"/>
  </cols>
  <sheetData>
    <row r="2" spans="1:4" ht="26.25" customHeight="1" x14ac:dyDescent="0.25">
      <c r="A2" s="872" t="s">
        <v>2255</v>
      </c>
      <c r="B2" s="872"/>
      <c r="C2" s="872"/>
      <c r="D2" s="872"/>
    </row>
    <row r="3" spans="1:4" x14ac:dyDescent="0.25">
      <c r="A3" s="669"/>
      <c r="B3" s="655"/>
      <c r="C3" s="643"/>
      <c r="D3" s="643"/>
    </row>
    <row r="4" spans="1:4" x14ac:dyDescent="0.25">
      <c r="A4" s="653" t="s">
        <v>98</v>
      </c>
      <c r="B4" s="874" t="s">
        <v>2204</v>
      </c>
      <c r="C4" s="875"/>
      <c r="D4" s="876"/>
    </row>
    <row r="5" spans="1:4" x14ac:dyDescent="0.25">
      <c r="A5" s="887"/>
      <c r="B5" s="874" t="s">
        <v>2205</v>
      </c>
      <c r="C5" s="875"/>
      <c r="D5" s="876"/>
    </row>
    <row r="6" spans="1:4" ht="21" x14ac:dyDescent="0.25">
      <c r="A6" s="654"/>
      <c r="B6" s="644" t="s">
        <v>3</v>
      </c>
      <c r="C6" s="656" t="s">
        <v>2373</v>
      </c>
      <c r="D6" s="656" t="s">
        <v>2374</v>
      </c>
    </row>
    <row r="7" spans="1:4" x14ac:dyDescent="0.25">
      <c r="A7" s="669" t="s">
        <v>2214</v>
      </c>
      <c r="B7" s="655">
        <f>SUM(C7:D7)</f>
        <v>3710</v>
      </c>
      <c r="C7" s="643">
        <v>1124</v>
      </c>
      <c r="D7" s="643">
        <v>2586</v>
      </c>
    </row>
    <row r="8" spans="1:4" x14ac:dyDescent="0.25">
      <c r="A8" s="669">
        <v>2010</v>
      </c>
      <c r="B8" s="655">
        <f t="shared" ref="B8:B10" si="0">SUM(C8:D8)</f>
        <v>4117</v>
      </c>
      <c r="C8" s="643">
        <v>1161</v>
      </c>
      <c r="D8" s="643">
        <v>2956</v>
      </c>
    </row>
    <row r="9" spans="1:4" x14ac:dyDescent="0.25">
      <c r="A9" s="669" t="s">
        <v>2215</v>
      </c>
      <c r="B9" s="655">
        <f t="shared" si="0"/>
        <v>4299</v>
      </c>
      <c r="C9" s="643">
        <v>1346</v>
      </c>
      <c r="D9" s="643">
        <v>2953</v>
      </c>
    </row>
    <row r="10" spans="1:4" x14ac:dyDescent="0.25">
      <c r="A10" s="669" t="s">
        <v>2216</v>
      </c>
      <c r="B10" s="655">
        <f t="shared" si="0"/>
        <v>4681</v>
      </c>
      <c r="C10" s="643">
        <v>1371</v>
      </c>
      <c r="D10" s="643">
        <v>3310</v>
      </c>
    </row>
    <row r="11" spans="1:4" x14ac:dyDescent="0.25">
      <c r="A11" s="669" t="s">
        <v>2217</v>
      </c>
      <c r="B11" s="655">
        <f>SUM(C11:D11)</f>
        <v>4479</v>
      </c>
      <c r="C11" s="643">
        <v>1398</v>
      </c>
      <c r="D11" s="643">
        <v>3081</v>
      </c>
    </row>
    <row r="12" spans="1:4" x14ac:dyDescent="0.25">
      <c r="A12" s="669"/>
      <c r="B12" s="655"/>
      <c r="C12" s="643"/>
      <c r="D12" s="643"/>
    </row>
    <row r="13" spans="1:4" ht="34.5" customHeight="1" x14ac:dyDescent="0.25">
      <c r="A13" s="982" t="s">
        <v>2376</v>
      </c>
      <c r="B13" s="982"/>
      <c r="C13" s="982"/>
      <c r="D13" s="982"/>
    </row>
    <row r="14" spans="1:4" x14ac:dyDescent="0.25">
      <c r="A14" s="336" t="s">
        <v>2213</v>
      </c>
      <c r="B14" s="2"/>
      <c r="C14" s="2"/>
      <c r="D14" s="2"/>
    </row>
    <row r="15" spans="1:4" x14ac:dyDescent="0.25">
      <c r="A15" s="669"/>
      <c r="B15" s="643"/>
      <c r="C15" s="643"/>
    </row>
    <row r="16" spans="1:4" x14ac:dyDescent="0.25">
      <c r="A16" s="669"/>
      <c r="B16" s="643"/>
      <c r="C16" s="643"/>
    </row>
    <row r="17" spans="1:3" x14ac:dyDescent="0.25">
      <c r="A17" s="669"/>
      <c r="B17" s="643"/>
      <c r="C17" s="643"/>
    </row>
    <row r="18" spans="1:3" x14ac:dyDescent="0.25">
      <c r="A18" s="669"/>
      <c r="B18" s="643"/>
      <c r="C18" s="643"/>
    </row>
  </sheetData>
  <mergeCells count="5">
    <mergeCell ref="A2:D2"/>
    <mergeCell ref="A4:A6"/>
    <mergeCell ref="B4:D4"/>
    <mergeCell ref="B5:D5"/>
    <mergeCell ref="A13:D13"/>
  </mergeCells>
  <pageMargins left="0.70866141732283472" right="0.70866141732283472" top="0.74803149606299213" bottom="0.74803149606299213" header="0.31496062992125984" footer="0.31496062992125984"/>
  <pageSetup paperSize="14" scale="120" orientation="landscape"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69CBE-D04B-4CD6-8BF0-57E8CC74CDA1}">
  <sheetPr codeName="Hoja181"/>
  <dimension ref="A1:I12"/>
  <sheetViews>
    <sheetView workbookViewId="0">
      <selection activeCell="D42" sqref="D42"/>
    </sheetView>
  </sheetViews>
  <sheetFormatPr baseColWidth="10" defaultRowHeight="13.2" x14ac:dyDescent="0.25"/>
  <cols>
    <col min="1" max="1" width="47.88671875" bestFit="1" customWidth="1"/>
  </cols>
  <sheetData>
    <row r="1" spans="1:9" ht="15.6" x14ac:dyDescent="0.25">
      <c r="A1" s="700"/>
    </row>
    <row r="2" spans="1:9" ht="34.5" customHeight="1" x14ac:dyDescent="0.25">
      <c r="A2" s="308" t="s">
        <v>2377</v>
      </c>
      <c r="B2" s="308"/>
      <c r="C2" s="646"/>
    </row>
    <row r="3" spans="1:9" x14ac:dyDescent="0.25">
      <c r="A3" s="2"/>
      <c r="B3" s="646"/>
      <c r="C3" s="646"/>
      <c r="G3" s="775"/>
      <c r="H3" s="983"/>
      <c r="I3" s="338"/>
    </row>
    <row r="4" spans="1:9" ht="17.25" customHeight="1" x14ac:dyDescent="0.25">
      <c r="A4" s="621" t="s">
        <v>2378</v>
      </c>
      <c r="B4" s="621" t="s">
        <v>2379</v>
      </c>
      <c r="C4" s="646"/>
      <c r="G4" s="775"/>
      <c r="H4" s="983"/>
      <c r="I4" s="338"/>
    </row>
    <row r="5" spans="1:9" x14ac:dyDescent="0.25">
      <c r="A5" s="915" t="s">
        <v>3</v>
      </c>
      <c r="B5" s="683">
        <f>SUM(B6:B9)</f>
        <v>2923</v>
      </c>
      <c r="C5" s="646"/>
      <c r="D5" s="984"/>
      <c r="G5" s="775"/>
      <c r="H5" s="780"/>
      <c r="I5" s="338"/>
    </row>
    <row r="6" spans="1:9" x14ac:dyDescent="0.25">
      <c r="A6" s="324" t="s">
        <v>2380</v>
      </c>
      <c r="B6" s="851">
        <v>2206</v>
      </c>
      <c r="C6" s="646"/>
      <c r="D6" s="985"/>
      <c r="G6" s="775"/>
      <c r="H6" s="780"/>
      <c r="I6" s="338"/>
    </row>
    <row r="7" spans="1:9" x14ac:dyDescent="0.25">
      <c r="A7" s="324" t="s">
        <v>2381</v>
      </c>
      <c r="B7" s="844">
        <v>387</v>
      </c>
      <c r="C7" s="646"/>
      <c r="D7" s="986"/>
      <c r="G7" s="775"/>
      <c r="H7" s="780"/>
      <c r="I7" s="338"/>
    </row>
    <row r="8" spans="1:9" x14ac:dyDescent="0.25">
      <c r="A8" s="324" t="s">
        <v>2382</v>
      </c>
      <c r="B8" s="844">
        <v>266</v>
      </c>
      <c r="C8" s="646"/>
      <c r="D8" s="986"/>
      <c r="G8" s="338"/>
      <c r="H8" s="338"/>
      <c r="I8" s="338"/>
    </row>
    <row r="9" spans="1:9" x14ac:dyDescent="0.25">
      <c r="A9" s="324" t="s">
        <v>2383</v>
      </c>
      <c r="B9" s="844">
        <v>64</v>
      </c>
      <c r="C9" s="646"/>
      <c r="D9" s="986"/>
    </row>
    <row r="10" spans="1:9" ht="5.25" customHeight="1" x14ac:dyDescent="0.25">
      <c r="A10" s="324"/>
      <c r="B10" s="844"/>
      <c r="C10" s="646"/>
    </row>
    <row r="11" spans="1:9" ht="60" customHeight="1" x14ac:dyDescent="0.25">
      <c r="A11" s="697" t="s">
        <v>2384</v>
      </c>
      <c r="B11" s="697"/>
      <c r="C11" s="705"/>
      <c r="D11" s="705"/>
      <c r="E11" s="705"/>
    </row>
    <row r="12" spans="1:9" x14ac:dyDescent="0.25">
      <c r="A12" s="141" t="s">
        <v>2273</v>
      </c>
      <c r="B12" s="844"/>
      <c r="C12" s="646"/>
    </row>
  </sheetData>
  <mergeCells count="2">
    <mergeCell ref="A2:B2"/>
    <mergeCell ref="A11:B11"/>
  </mergeCells>
  <pageMargins left="0.7" right="0.7" top="0.75" bottom="0.75" header="0.3" footer="0.3"/>
  <pageSetup paperSize="14" orientation="portrait"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5990C1-A25C-4238-9B7E-7393B777C9CB}">
  <sheetPr codeName="Hoja182"/>
  <dimension ref="A2:D118"/>
  <sheetViews>
    <sheetView workbookViewId="0">
      <selection activeCell="D42" sqref="D42"/>
    </sheetView>
  </sheetViews>
  <sheetFormatPr baseColWidth="10" defaultRowHeight="13.2" x14ac:dyDescent="0.25"/>
  <cols>
    <col min="1" max="1" width="40.88671875" style="2" customWidth="1"/>
    <col min="2" max="2" width="16.88671875" style="646" bestFit="1" customWidth="1"/>
    <col min="3" max="3" width="11.6640625" style="646" bestFit="1" customWidth="1"/>
  </cols>
  <sheetData>
    <row r="2" spans="1:4" ht="27" customHeight="1" x14ac:dyDescent="0.25">
      <c r="A2" s="45" t="s">
        <v>2385</v>
      </c>
      <c r="B2" s="45"/>
    </row>
    <row r="3" spans="1:4" x14ac:dyDescent="0.25">
      <c r="A3" s="324"/>
      <c r="B3" s="844"/>
    </row>
    <row r="4" spans="1:4" ht="17.25" customHeight="1" x14ac:dyDescent="0.25">
      <c r="A4" s="621" t="s">
        <v>2386</v>
      </c>
      <c r="B4" s="621" t="s">
        <v>2387</v>
      </c>
    </row>
    <row r="5" spans="1:4" ht="12.75" customHeight="1" x14ac:dyDescent="0.25">
      <c r="A5" s="915" t="s">
        <v>3</v>
      </c>
      <c r="B5" s="683">
        <f>SUM(B6:B10)</f>
        <v>1369</v>
      </c>
    </row>
    <row r="6" spans="1:4" ht="30.6" x14ac:dyDescent="0.25">
      <c r="A6" s="987" t="s">
        <v>2388</v>
      </c>
      <c r="B6" s="983">
        <v>704</v>
      </c>
      <c r="D6" s="986"/>
    </row>
    <row r="7" spans="1:4" ht="20.399999999999999" x14ac:dyDescent="0.25">
      <c r="A7" s="987" t="s">
        <v>2389</v>
      </c>
      <c r="B7" s="983">
        <v>61</v>
      </c>
      <c r="D7" s="986"/>
    </row>
    <row r="8" spans="1:4" x14ac:dyDescent="0.25">
      <c r="A8" s="705" t="s">
        <v>2390</v>
      </c>
      <c r="B8" s="851">
        <v>346</v>
      </c>
      <c r="D8" s="986"/>
    </row>
    <row r="9" spans="1:4" ht="20.399999999999999" x14ac:dyDescent="0.25">
      <c r="A9" s="705" t="s">
        <v>2391</v>
      </c>
      <c r="B9" s="844">
        <v>247</v>
      </c>
      <c r="D9" s="986"/>
    </row>
    <row r="10" spans="1:4" ht="20.399999999999999" x14ac:dyDescent="0.25">
      <c r="A10" s="705" t="s">
        <v>2392</v>
      </c>
      <c r="B10" s="844">
        <v>11</v>
      </c>
      <c r="D10" s="986"/>
    </row>
    <row r="11" spans="1:4" ht="6" customHeight="1" x14ac:dyDescent="0.25">
      <c r="A11" s="705"/>
      <c r="B11" s="844"/>
    </row>
    <row r="12" spans="1:4" ht="33" customHeight="1" x14ac:dyDescent="0.25">
      <c r="A12" s="697" t="s">
        <v>2393</v>
      </c>
      <c r="B12" s="697"/>
    </row>
    <row r="13" spans="1:4" x14ac:dyDescent="0.25">
      <c r="A13" s="141" t="s">
        <v>2273</v>
      </c>
    </row>
    <row r="118" spans="1:1" x14ac:dyDescent="0.25">
      <c r="A118" s="794"/>
    </row>
  </sheetData>
  <mergeCells count="2">
    <mergeCell ref="A2:B2"/>
    <mergeCell ref="A12:B12"/>
  </mergeCells>
  <pageMargins left="0.7" right="0.7" top="0.75" bottom="0.75" header="0.3" footer="0.3"/>
  <pageSetup paperSize="14" orientation="portrait"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79F05A-D4C9-4883-A6F9-A7F2340C1114}">
  <sheetPr codeName="Hoja183"/>
  <dimension ref="A2:I28"/>
  <sheetViews>
    <sheetView zoomScaleNormal="100" workbookViewId="0">
      <selection activeCell="D42" sqref="D42"/>
    </sheetView>
  </sheetViews>
  <sheetFormatPr baseColWidth="10" defaultRowHeight="13.2" x14ac:dyDescent="0.25"/>
  <cols>
    <col min="1" max="1" width="32.5546875" customWidth="1"/>
    <col min="2" max="4" width="18.6640625" customWidth="1"/>
  </cols>
  <sheetData>
    <row r="2" spans="1:9" ht="25.5" customHeight="1" x14ac:dyDescent="0.25">
      <c r="A2" s="886" t="s">
        <v>2258</v>
      </c>
      <c r="B2" s="886"/>
      <c r="C2" s="886"/>
      <c r="D2" s="886"/>
    </row>
    <row r="3" spans="1:9" x14ac:dyDescent="0.25">
      <c r="A3" s="988"/>
      <c r="B3" s="988"/>
      <c r="C3" s="24"/>
      <c r="D3" s="24"/>
    </row>
    <row r="4" spans="1:9" x14ac:dyDescent="0.25">
      <c r="A4" s="298" t="s">
        <v>0</v>
      </c>
      <c r="B4" s="685" t="s">
        <v>2204</v>
      </c>
      <c r="C4" s="685"/>
      <c r="D4" s="685"/>
    </row>
    <row r="5" spans="1:9" x14ac:dyDescent="0.25">
      <c r="A5" s="298"/>
      <c r="B5" s="298" t="s">
        <v>3</v>
      </c>
      <c r="C5" s="685" t="s">
        <v>2205</v>
      </c>
      <c r="D5" s="685"/>
    </row>
    <row r="6" spans="1:9" ht="20.399999999999999" x14ac:dyDescent="0.25">
      <c r="A6" s="298"/>
      <c r="B6" s="298"/>
      <c r="C6" s="980" t="s">
        <v>2373</v>
      </c>
      <c r="D6" s="980" t="s">
        <v>2374</v>
      </c>
    </row>
    <row r="7" spans="1:9" x14ac:dyDescent="0.25">
      <c r="A7" s="712" t="s">
        <v>3</v>
      </c>
      <c r="B7" s="622">
        <f>SUM(B8:B22)</f>
        <v>1755001</v>
      </c>
      <c r="C7" s="622">
        <f>SUM(C8:C22)</f>
        <v>256898</v>
      </c>
      <c r="D7" s="622">
        <f>SUM(D8:D22)</f>
        <v>1498103</v>
      </c>
    </row>
    <row r="8" spans="1:9" ht="14.4" x14ac:dyDescent="0.25">
      <c r="A8" s="288" t="s">
        <v>4</v>
      </c>
      <c r="B8" s="622">
        <f t="shared" ref="B8:B22" si="0">SUM(C8:D8)</f>
        <v>543</v>
      </c>
      <c r="C8" s="877">
        <v>0</v>
      </c>
      <c r="D8" s="877">
        <v>543</v>
      </c>
      <c r="G8" s="981"/>
      <c r="H8" s="981"/>
      <c r="I8" s="981"/>
    </row>
    <row r="9" spans="1:9" ht="14.4" x14ac:dyDescent="0.25">
      <c r="A9" s="288" t="s">
        <v>5</v>
      </c>
      <c r="B9" s="622">
        <f t="shared" si="0"/>
        <v>19150</v>
      </c>
      <c r="C9" s="877">
        <v>10150</v>
      </c>
      <c r="D9" s="877">
        <v>9000</v>
      </c>
      <c r="G9" s="981"/>
      <c r="H9" s="981"/>
      <c r="I9" s="981"/>
    </row>
    <row r="10" spans="1:9" ht="14.4" x14ac:dyDescent="0.25">
      <c r="A10" s="288" t="s">
        <v>6</v>
      </c>
      <c r="B10" s="622">
        <f>SUM(C10:D10)</f>
        <v>30451</v>
      </c>
      <c r="C10" s="877">
        <v>0</v>
      </c>
      <c r="D10" s="877">
        <v>30451</v>
      </c>
      <c r="G10" s="981"/>
      <c r="H10" s="981"/>
      <c r="I10" s="981"/>
    </row>
    <row r="11" spans="1:9" ht="14.4" x14ac:dyDescent="0.25">
      <c r="A11" s="288" t="s">
        <v>7</v>
      </c>
      <c r="B11" s="622">
        <f t="shared" si="0"/>
        <v>10750</v>
      </c>
      <c r="C11" s="877">
        <v>1000</v>
      </c>
      <c r="D11" s="877">
        <v>9750</v>
      </c>
      <c r="G11" s="981"/>
      <c r="H11" s="981"/>
      <c r="I11" s="981"/>
    </row>
    <row r="12" spans="1:9" ht="14.4" x14ac:dyDescent="0.25">
      <c r="A12" s="288" t="s">
        <v>8</v>
      </c>
      <c r="B12" s="622">
        <f t="shared" si="0"/>
        <v>24350</v>
      </c>
      <c r="C12" s="877">
        <v>10310</v>
      </c>
      <c r="D12" s="877">
        <v>14040</v>
      </c>
      <c r="G12" s="981"/>
      <c r="H12" s="981"/>
      <c r="I12" s="981"/>
    </row>
    <row r="13" spans="1:9" ht="14.4" x14ac:dyDescent="0.25">
      <c r="A13" s="288" t="s">
        <v>9</v>
      </c>
      <c r="B13" s="622">
        <f t="shared" si="0"/>
        <v>225295</v>
      </c>
      <c r="C13" s="877">
        <v>30137</v>
      </c>
      <c r="D13" s="877">
        <v>195158</v>
      </c>
      <c r="G13" s="981"/>
      <c r="H13" s="981"/>
      <c r="I13" s="981"/>
    </row>
    <row r="14" spans="1:9" ht="14.4" x14ac:dyDescent="0.25">
      <c r="A14" s="288" t="s">
        <v>10</v>
      </c>
      <c r="B14" s="622">
        <f t="shared" si="0"/>
        <v>1291562</v>
      </c>
      <c r="C14" s="877">
        <v>158570</v>
      </c>
      <c r="D14" s="877">
        <v>1132992</v>
      </c>
      <c r="G14" s="981"/>
      <c r="H14" s="981"/>
      <c r="I14" s="981"/>
    </row>
    <row r="15" spans="1:9" ht="14.4" x14ac:dyDescent="0.25">
      <c r="A15" s="288" t="s">
        <v>134</v>
      </c>
      <c r="B15" s="622">
        <f t="shared" si="0"/>
        <v>15522</v>
      </c>
      <c r="C15" s="877">
        <v>4345</v>
      </c>
      <c r="D15" s="877">
        <v>11177</v>
      </c>
      <c r="G15" s="981"/>
      <c r="H15" s="981"/>
      <c r="I15" s="981"/>
    </row>
    <row r="16" spans="1:9" ht="14.4" x14ac:dyDescent="0.25">
      <c r="A16" s="288" t="s">
        <v>2375</v>
      </c>
      <c r="B16" s="622">
        <f t="shared" si="0"/>
        <v>11883</v>
      </c>
      <c r="C16" s="877">
        <v>1426</v>
      </c>
      <c r="D16" s="877">
        <v>10457</v>
      </c>
      <c r="G16" s="981"/>
      <c r="H16" s="981"/>
      <c r="I16" s="981"/>
    </row>
    <row r="17" spans="1:9" ht="14.4" x14ac:dyDescent="0.25">
      <c r="A17" s="288" t="s">
        <v>13</v>
      </c>
      <c r="B17" s="622">
        <f t="shared" si="0"/>
        <v>53252</v>
      </c>
      <c r="C17" s="877">
        <v>25120</v>
      </c>
      <c r="D17" s="877">
        <v>28132</v>
      </c>
      <c r="G17" s="981"/>
      <c r="H17" s="981"/>
      <c r="I17" s="981"/>
    </row>
    <row r="18" spans="1:9" ht="14.4" x14ac:dyDescent="0.25">
      <c r="A18" s="288" t="s">
        <v>47</v>
      </c>
      <c r="B18" s="622">
        <f t="shared" si="0"/>
        <v>28788</v>
      </c>
      <c r="C18" s="877">
        <v>6628</v>
      </c>
      <c r="D18" s="877">
        <v>22160</v>
      </c>
      <c r="G18" s="981"/>
      <c r="H18" s="981"/>
      <c r="I18" s="981"/>
    </row>
    <row r="19" spans="1:9" ht="14.4" x14ac:dyDescent="0.25">
      <c r="A19" s="288" t="s">
        <v>135</v>
      </c>
      <c r="B19" s="622">
        <f t="shared" si="0"/>
        <v>6643</v>
      </c>
      <c r="C19" s="877">
        <v>1230</v>
      </c>
      <c r="D19" s="877">
        <v>5413</v>
      </c>
      <c r="G19" s="981"/>
      <c r="H19" s="981"/>
      <c r="I19" s="981"/>
    </row>
    <row r="20" spans="1:9" ht="14.4" x14ac:dyDescent="0.25">
      <c r="A20" s="288" t="s">
        <v>136</v>
      </c>
      <c r="B20" s="622">
        <f t="shared" si="0"/>
        <v>30012</v>
      </c>
      <c r="C20" s="877">
        <v>7982</v>
      </c>
      <c r="D20" s="877">
        <v>22030</v>
      </c>
      <c r="G20" s="981"/>
      <c r="H20" s="981"/>
      <c r="I20" s="981"/>
    </row>
    <row r="21" spans="1:9" ht="14.4" x14ac:dyDescent="0.25">
      <c r="A21" s="288" t="s">
        <v>17</v>
      </c>
      <c r="B21" s="622">
        <f t="shared" si="0"/>
        <v>200</v>
      </c>
      <c r="C21" s="877">
        <v>0</v>
      </c>
      <c r="D21" s="877">
        <v>200</v>
      </c>
      <c r="G21" s="981"/>
      <c r="H21" s="981"/>
      <c r="I21" s="981"/>
    </row>
    <row r="22" spans="1:9" ht="14.4" x14ac:dyDescent="0.25">
      <c r="A22" s="284" t="s">
        <v>18</v>
      </c>
      <c r="B22" s="622">
        <f t="shared" si="0"/>
        <v>6600</v>
      </c>
      <c r="C22" s="877">
        <v>0</v>
      </c>
      <c r="D22" s="877">
        <v>6600</v>
      </c>
      <c r="G22" s="981"/>
      <c r="H22" s="981"/>
      <c r="I22" s="981"/>
    </row>
    <row r="23" spans="1:9" ht="14.4" x14ac:dyDescent="0.25">
      <c r="A23" s="288"/>
      <c r="B23" s="655"/>
      <c r="C23" s="890"/>
      <c r="D23" s="890"/>
    </row>
    <row r="24" spans="1:9" ht="33" customHeight="1" x14ac:dyDescent="0.25">
      <c r="A24" s="879" t="s">
        <v>2376</v>
      </c>
      <c r="B24" s="879"/>
      <c r="C24" s="879"/>
      <c r="D24" s="879"/>
    </row>
    <row r="25" spans="1:9" x14ac:dyDescent="0.25">
      <c r="A25" s="978" t="s">
        <v>2372</v>
      </c>
      <c r="B25" s="882"/>
      <c r="C25" s="882"/>
      <c r="D25" s="882"/>
    </row>
    <row r="26" spans="1:9" x14ac:dyDescent="0.25">
      <c r="A26" s="336" t="s">
        <v>2213</v>
      </c>
      <c r="B26" s="2"/>
      <c r="C26" s="2"/>
      <c r="D26" s="2"/>
    </row>
    <row r="28" spans="1:9" x14ac:dyDescent="0.25">
      <c r="A28" s="338"/>
    </row>
  </sheetData>
  <mergeCells count="6">
    <mergeCell ref="A2:D2"/>
    <mergeCell ref="A4:A6"/>
    <mergeCell ref="B4:D4"/>
    <mergeCell ref="B5:B6"/>
    <mergeCell ref="C5:D5"/>
    <mergeCell ref="A24:D24"/>
  </mergeCells>
  <pageMargins left="0.70866141732283472" right="0.70866141732283472" top="0.74803149606299213" bottom="0.74803149606299213" header="0.31496062992125984" footer="0.31496062992125984"/>
  <pageSetup paperSize="14" scale="115" orientation="landscape" r:id="rId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B95242-EE26-4CEC-A16C-AEC9AECD8232}">
  <sheetPr codeName="Hoja184"/>
  <dimension ref="A2:D14"/>
  <sheetViews>
    <sheetView zoomScaleNormal="100" workbookViewId="0">
      <selection activeCell="D42" sqref="D42"/>
    </sheetView>
  </sheetViews>
  <sheetFormatPr baseColWidth="10" defaultRowHeight="13.2" x14ac:dyDescent="0.25"/>
  <cols>
    <col min="1" max="1" width="21.6640625" customWidth="1"/>
    <col min="2" max="4" width="16.88671875" customWidth="1"/>
  </cols>
  <sheetData>
    <row r="2" spans="1:4" ht="27" customHeight="1" x14ac:dyDescent="0.25">
      <c r="A2" s="886" t="s">
        <v>2259</v>
      </c>
      <c r="B2" s="886"/>
      <c r="C2" s="886"/>
      <c r="D2" s="886"/>
    </row>
    <row r="3" spans="1:4" x14ac:dyDescent="0.25">
      <c r="A3" s="882"/>
      <c r="B3" s="2"/>
      <c r="C3" s="650"/>
      <c r="D3" s="650"/>
    </row>
    <row r="4" spans="1:4" x14ac:dyDescent="0.25">
      <c r="A4" s="653" t="s">
        <v>825</v>
      </c>
      <c r="B4" s="323" t="s">
        <v>2218</v>
      </c>
      <c r="C4" s="323"/>
      <c r="D4" s="323"/>
    </row>
    <row r="5" spans="1:4" x14ac:dyDescent="0.25">
      <c r="A5" s="887"/>
      <c r="B5" s="621"/>
      <c r="C5" s="323" t="s">
        <v>2205</v>
      </c>
      <c r="D5" s="323"/>
    </row>
    <row r="6" spans="1:4" ht="20.399999999999999" x14ac:dyDescent="0.25">
      <c r="A6" s="654"/>
      <c r="B6" s="644" t="s">
        <v>3</v>
      </c>
      <c r="C6" s="644" t="s">
        <v>2373</v>
      </c>
      <c r="D6" s="644" t="s">
        <v>2374</v>
      </c>
    </row>
    <row r="7" spans="1:4" x14ac:dyDescent="0.25">
      <c r="A7" s="669" t="s">
        <v>2214</v>
      </c>
      <c r="B7" s="655">
        <f>SUM(C7:D7)</f>
        <v>1434005</v>
      </c>
      <c r="C7" s="643">
        <v>134112</v>
      </c>
      <c r="D7" s="643">
        <v>1299893</v>
      </c>
    </row>
    <row r="8" spans="1:4" x14ac:dyDescent="0.25">
      <c r="A8" s="669" t="s">
        <v>2219</v>
      </c>
      <c r="B8" s="655">
        <f t="shared" ref="B8:B11" si="0">SUM(C8:D8)</f>
        <v>1522660</v>
      </c>
      <c r="C8" s="643">
        <v>104051</v>
      </c>
      <c r="D8" s="643">
        <v>1418609</v>
      </c>
    </row>
    <row r="9" spans="1:4" x14ac:dyDescent="0.25">
      <c r="A9" s="669" t="s">
        <v>2215</v>
      </c>
      <c r="B9" s="655">
        <f t="shared" si="0"/>
        <v>1864446</v>
      </c>
      <c r="C9" s="643">
        <v>139555</v>
      </c>
      <c r="D9" s="643">
        <v>1724891</v>
      </c>
    </row>
    <row r="10" spans="1:4" x14ac:dyDescent="0.25">
      <c r="A10" s="669" t="s">
        <v>2216</v>
      </c>
      <c r="B10" s="655">
        <f t="shared" si="0"/>
        <v>2044451</v>
      </c>
      <c r="C10" s="643">
        <v>149065</v>
      </c>
      <c r="D10" s="643">
        <v>1895386</v>
      </c>
    </row>
    <row r="11" spans="1:4" x14ac:dyDescent="0.25">
      <c r="A11" s="669" t="s">
        <v>2217</v>
      </c>
      <c r="B11" s="655">
        <f t="shared" si="0"/>
        <v>1755001</v>
      </c>
      <c r="C11" s="643">
        <v>256898</v>
      </c>
      <c r="D11" s="643">
        <v>1498103</v>
      </c>
    </row>
    <row r="12" spans="1:4" x14ac:dyDescent="0.25">
      <c r="A12" s="669"/>
      <c r="B12" s="655"/>
      <c r="C12" s="643"/>
      <c r="D12" s="643"/>
    </row>
    <row r="13" spans="1:4" ht="33.75" customHeight="1" x14ac:dyDescent="0.25">
      <c r="A13" s="879" t="s">
        <v>2376</v>
      </c>
      <c r="B13" s="879"/>
      <c r="C13" s="879"/>
      <c r="D13" s="879"/>
    </row>
    <row r="14" spans="1:4" x14ac:dyDescent="0.25">
      <c r="A14" s="336" t="s">
        <v>2213</v>
      </c>
      <c r="B14" s="633"/>
      <c r="C14" s="885"/>
      <c r="D14" s="885"/>
    </row>
  </sheetData>
  <mergeCells count="5">
    <mergeCell ref="A2:D2"/>
    <mergeCell ref="A4:A6"/>
    <mergeCell ref="B4:D4"/>
    <mergeCell ref="C5:D5"/>
    <mergeCell ref="A13:D13"/>
  </mergeCells>
  <pageMargins left="0.70866141732283472" right="0.70866141732283472" top="0.74803149606299213" bottom="0.74803149606299213" header="0.31496062992125984" footer="0.31496062992125984"/>
  <pageSetup paperSize="14" scale="125" orientation="landscape" r:id="rId1"/>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4122EA-1A2D-415F-962A-ACD81DC6CCC7}">
  <sheetPr codeName="Hoja185"/>
  <dimension ref="A2:H25"/>
  <sheetViews>
    <sheetView zoomScaleNormal="100" workbookViewId="0">
      <selection activeCell="D42" sqref="D42"/>
    </sheetView>
  </sheetViews>
  <sheetFormatPr baseColWidth="10" defaultRowHeight="13.2" x14ac:dyDescent="0.25"/>
  <cols>
    <col min="1" max="1" width="31.88671875" customWidth="1"/>
    <col min="2" max="4" width="24.109375" customWidth="1"/>
  </cols>
  <sheetData>
    <row r="2" spans="1:8" ht="34.5" customHeight="1" x14ac:dyDescent="0.25">
      <c r="A2" s="886" t="s">
        <v>2260</v>
      </c>
      <c r="B2" s="886"/>
      <c r="C2" s="886"/>
      <c r="D2" s="886"/>
    </row>
    <row r="3" spans="1:8" x14ac:dyDescent="0.25">
      <c r="A3" s="888"/>
      <c r="B3" s="888"/>
      <c r="C3" s="888"/>
      <c r="D3" s="888"/>
    </row>
    <row r="4" spans="1:8" x14ac:dyDescent="0.25">
      <c r="A4" s="298" t="s">
        <v>0</v>
      </c>
      <c r="B4" s="685" t="s">
        <v>2218</v>
      </c>
      <c r="C4" s="685"/>
      <c r="D4" s="685"/>
    </row>
    <row r="5" spans="1:8" x14ac:dyDescent="0.25">
      <c r="A5" s="298"/>
      <c r="B5" s="298" t="s">
        <v>3</v>
      </c>
      <c r="C5" s="298" t="s">
        <v>2205</v>
      </c>
      <c r="D5" s="298"/>
    </row>
    <row r="6" spans="1:8" ht="12.75" customHeight="1" x14ac:dyDescent="0.25">
      <c r="A6" s="298"/>
      <c r="B6" s="298"/>
      <c r="C6" s="644" t="s">
        <v>2373</v>
      </c>
      <c r="D6" s="644" t="s">
        <v>2374</v>
      </c>
    </row>
    <row r="7" spans="1:8" x14ac:dyDescent="0.25">
      <c r="A7" s="884" t="s">
        <v>3</v>
      </c>
      <c r="B7" s="655">
        <f>SUM(B8:B22)</f>
        <v>1258398</v>
      </c>
      <c r="C7" s="655">
        <f>SUM(C8:C22)</f>
        <v>368567</v>
      </c>
      <c r="D7" s="655">
        <f>SUM(D8:D22)</f>
        <v>889831</v>
      </c>
    </row>
    <row r="8" spans="1:8" ht="14.4" x14ac:dyDescent="0.3">
      <c r="A8" s="288" t="s">
        <v>4</v>
      </c>
      <c r="B8" s="655">
        <f t="shared" ref="B8:B22" si="0">SUM(C8:D8)</f>
        <v>12988</v>
      </c>
      <c r="C8" s="989">
        <v>10273</v>
      </c>
      <c r="D8" s="989">
        <v>2715</v>
      </c>
      <c r="G8" s="981"/>
      <c r="H8" s="981"/>
    </row>
    <row r="9" spans="1:8" ht="14.4" x14ac:dyDescent="0.3">
      <c r="A9" s="288" t="s">
        <v>5</v>
      </c>
      <c r="B9" s="655">
        <f t="shared" si="0"/>
        <v>6339</v>
      </c>
      <c r="C9" s="989">
        <v>740</v>
      </c>
      <c r="D9" s="989">
        <v>5599</v>
      </c>
      <c r="G9" s="981"/>
      <c r="H9" s="981"/>
    </row>
    <row r="10" spans="1:8" ht="14.4" x14ac:dyDescent="0.3">
      <c r="A10" s="288" t="s">
        <v>6</v>
      </c>
      <c r="B10" s="655">
        <f>SUM(C10:D10)</f>
        <v>22896</v>
      </c>
      <c r="C10" s="989">
        <v>11801</v>
      </c>
      <c r="D10" s="989">
        <v>11095</v>
      </c>
      <c r="G10" s="981"/>
      <c r="H10" s="981"/>
    </row>
    <row r="11" spans="1:8" ht="14.4" x14ac:dyDescent="0.3">
      <c r="A11" s="288" t="s">
        <v>7</v>
      </c>
      <c r="B11" s="655">
        <f t="shared" si="0"/>
        <v>65420</v>
      </c>
      <c r="C11" s="989">
        <v>13050</v>
      </c>
      <c r="D11" s="989">
        <v>52370</v>
      </c>
      <c r="G11" s="981"/>
      <c r="H11" s="981"/>
    </row>
    <row r="12" spans="1:8" ht="14.4" x14ac:dyDescent="0.3">
      <c r="A12" s="288" t="s">
        <v>8</v>
      </c>
      <c r="B12" s="655">
        <f t="shared" si="0"/>
        <v>47389</v>
      </c>
      <c r="C12" s="989">
        <v>20375</v>
      </c>
      <c r="D12" s="989">
        <v>27014</v>
      </c>
      <c r="G12" s="981"/>
      <c r="H12" s="981"/>
    </row>
    <row r="13" spans="1:8" ht="14.4" x14ac:dyDescent="0.3">
      <c r="A13" s="288" t="s">
        <v>9</v>
      </c>
      <c r="B13" s="655">
        <f t="shared" si="0"/>
        <v>90065</v>
      </c>
      <c r="C13" s="989">
        <v>31788</v>
      </c>
      <c r="D13" s="989">
        <v>58277</v>
      </c>
      <c r="G13" s="981"/>
      <c r="H13" s="981"/>
    </row>
    <row r="14" spans="1:8" ht="14.4" x14ac:dyDescent="0.3">
      <c r="A14" s="288" t="s">
        <v>10</v>
      </c>
      <c r="B14" s="655">
        <f t="shared" si="0"/>
        <v>512313</v>
      </c>
      <c r="C14" s="989">
        <v>126752</v>
      </c>
      <c r="D14" s="989">
        <v>385561</v>
      </c>
      <c r="G14" s="981"/>
      <c r="H14" s="981"/>
    </row>
    <row r="15" spans="1:8" ht="14.4" x14ac:dyDescent="0.3">
      <c r="A15" s="288" t="s">
        <v>134</v>
      </c>
      <c r="B15" s="655">
        <f t="shared" si="0"/>
        <v>51704</v>
      </c>
      <c r="C15" s="989">
        <v>17881</v>
      </c>
      <c r="D15" s="989">
        <v>33823</v>
      </c>
      <c r="G15" s="981"/>
      <c r="H15" s="981"/>
    </row>
    <row r="16" spans="1:8" ht="14.4" x14ac:dyDescent="0.3">
      <c r="A16" s="288" t="s">
        <v>12</v>
      </c>
      <c r="B16" s="655">
        <f>SUM(C16:D16)</f>
        <v>79715</v>
      </c>
      <c r="C16" s="989">
        <v>25520</v>
      </c>
      <c r="D16" s="989">
        <v>54195</v>
      </c>
      <c r="G16" s="981"/>
      <c r="H16" s="981"/>
    </row>
    <row r="17" spans="1:8" ht="14.4" x14ac:dyDescent="0.3">
      <c r="A17" s="288" t="s">
        <v>13</v>
      </c>
      <c r="B17" s="655">
        <f t="shared" si="0"/>
        <v>124391</v>
      </c>
      <c r="C17" s="989">
        <v>30947</v>
      </c>
      <c r="D17" s="989">
        <v>93444</v>
      </c>
      <c r="G17" s="981"/>
      <c r="H17" s="981"/>
    </row>
    <row r="18" spans="1:8" ht="14.4" x14ac:dyDescent="0.3">
      <c r="A18" s="288" t="s">
        <v>47</v>
      </c>
      <c r="B18" s="655">
        <f t="shared" si="0"/>
        <v>120283</v>
      </c>
      <c r="C18" s="989">
        <v>29343</v>
      </c>
      <c r="D18" s="989">
        <v>90940</v>
      </c>
      <c r="G18" s="981"/>
      <c r="H18" s="981"/>
    </row>
    <row r="19" spans="1:8" ht="14.4" x14ac:dyDescent="0.3">
      <c r="A19" s="288" t="s">
        <v>135</v>
      </c>
      <c r="B19" s="655">
        <f t="shared" si="0"/>
        <v>51797</v>
      </c>
      <c r="C19" s="989">
        <v>29914</v>
      </c>
      <c r="D19" s="989">
        <v>21883</v>
      </c>
      <c r="G19" s="981"/>
      <c r="H19" s="981"/>
    </row>
    <row r="20" spans="1:8" ht="14.4" x14ac:dyDescent="0.3">
      <c r="A20" s="288" t="s">
        <v>136</v>
      </c>
      <c r="B20" s="655">
        <f t="shared" si="0"/>
        <v>63215</v>
      </c>
      <c r="C20" s="989">
        <v>17033</v>
      </c>
      <c r="D20" s="989">
        <v>46182</v>
      </c>
      <c r="G20" s="981"/>
      <c r="H20" s="981"/>
    </row>
    <row r="21" spans="1:8" ht="14.4" x14ac:dyDescent="0.3">
      <c r="A21" s="288" t="s">
        <v>17</v>
      </c>
      <c r="B21" s="655">
        <f t="shared" si="0"/>
        <v>3010</v>
      </c>
      <c r="C21" s="989">
        <v>1250</v>
      </c>
      <c r="D21" s="989">
        <v>1760</v>
      </c>
      <c r="G21" s="981"/>
      <c r="H21" s="981"/>
    </row>
    <row r="22" spans="1:8" ht="14.4" x14ac:dyDescent="0.3">
      <c r="A22" s="284" t="s">
        <v>18</v>
      </c>
      <c r="B22" s="655">
        <f t="shared" si="0"/>
        <v>6873</v>
      </c>
      <c r="C22" s="989">
        <v>1900</v>
      </c>
      <c r="D22" s="989">
        <v>4973</v>
      </c>
      <c r="G22" s="981"/>
      <c r="H22" s="981"/>
    </row>
    <row r="23" spans="1:8" ht="14.4" x14ac:dyDescent="0.25">
      <c r="A23" s="288"/>
      <c r="B23" s="655"/>
      <c r="C23" s="890"/>
      <c r="D23" s="890"/>
    </row>
    <row r="24" spans="1:8" ht="25.5" customHeight="1" x14ac:dyDescent="0.25">
      <c r="A24" s="879" t="s">
        <v>2376</v>
      </c>
      <c r="B24" s="879"/>
      <c r="C24" s="879"/>
      <c r="D24" s="879"/>
    </row>
    <row r="25" spans="1:8" x14ac:dyDescent="0.25">
      <c r="A25" s="336" t="s">
        <v>2213</v>
      </c>
      <c r="B25" s="633"/>
      <c r="C25" s="633"/>
      <c r="D25" s="633"/>
    </row>
  </sheetData>
  <mergeCells count="6">
    <mergeCell ref="A2:D2"/>
    <mergeCell ref="A4:A6"/>
    <mergeCell ref="B4:D4"/>
    <mergeCell ref="B5:B6"/>
    <mergeCell ref="C5:D5"/>
    <mergeCell ref="A24:D24"/>
  </mergeCells>
  <pageMargins left="0.70866141732283472" right="0.70866141732283472" top="0.74803149606299213" bottom="0.74803149606299213" header="0.31496062992125984" footer="0.31496062992125984"/>
  <pageSetup paperSize="14" scale="120" orientation="landscape" r:id="rId1"/>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919D4-766B-4052-85BF-AC4AE079DC44}">
  <sheetPr codeName="Hoja186"/>
  <dimension ref="A2:D15"/>
  <sheetViews>
    <sheetView zoomScaleNormal="100" workbookViewId="0">
      <selection activeCell="D42" sqref="D42"/>
    </sheetView>
  </sheetViews>
  <sheetFormatPr baseColWidth="10" defaultRowHeight="13.2" x14ac:dyDescent="0.25"/>
  <cols>
    <col min="1" max="1" width="23" customWidth="1"/>
    <col min="2" max="2" width="16.109375" customWidth="1"/>
    <col min="3" max="4" width="33.33203125" customWidth="1"/>
  </cols>
  <sheetData>
    <row r="2" spans="1:4" ht="26.25" customHeight="1" x14ac:dyDescent="0.25">
      <c r="A2" s="886" t="s">
        <v>2261</v>
      </c>
      <c r="B2" s="886"/>
      <c r="C2" s="886"/>
      <c r="D2" s="886"/>
    </row>
    <row r="4" spans="1:4" x14ac:dyDescent="0.25">
      <c r="A4" s="653" t="s">
        <v>825</v>
      </c>
      <c r="B4" s="874" t="s">
        <v>2218</v>
      </c>
      <c r="C4" s="875"/>
      <c r="D4" s="876"/>
    </row>
    <row r="5" spans="1:4" x14ac:dyDescent="0.25">
      <c r="A5" s="887"/>
      <c r="B5" s="653" t="s">
        <v>42</v>
      </c>
      <c r="C5" s="874" t="s">
        <v>2205</v>
      </c>
      <c r="D5" s="876"/>
    </row>
    <row r="6" spans="1:4" x14ac:dyDescent="0.25">
      <c r="A6" s="654"/>
      <c r="B6" s="654"/>
      <c r="C6" s="644" t="s">
        <v>2373</v>
      </c>
      <c r="D6" s="644" t="s">
        <v>2374</v>
      </c>
    </row>
    <row r="7" spans="1:4" x14ac:dyDescent="0.25">
      <c r="A7" s="669" t="s">
        <v>2214</v>
      </c>
      <c r="B7" s="655">
        <f>SUM(C7:D7)</f>
        <v>1105416</v>
      </c>
      <c r="C7" s="643">
        <v>252993</v>
      </c>
      <c r="D7" s="643">
        <v>852423</v>
      </c>
    </row>
    <row r="8" spans="1:4" x14ac:dyDescent="0.25">
      <c r="A8" s="669">
        <v>2010</v>
      </c>
      <c r="B8" s="655">
        <f t="shared" ref="B8:B10" si="0">SUM(C8:D8)</f>
        <v>1248158</v>
      </c>
      <c r="C8" s="643">
        <v>267442</v>
      </c>
      <c r="D8" s="643">
        <v>980716</v>
      </c>
    </row>
    <row r="9" spans="1:4" x14ac:dyDescent="0.25">
      <c r="A9" s="669" t="s">
        <v>2215</v>
      </c>
      <c r="B9" s="655">
        <f t="shared" si="0"/>
        <v>1144744</v>
      </c>
      <c r="C9" s="643">
        <v>324026</v>
      </c>
      <c r="D9" s="643">
        <v>820718</v>
      </c>
    </row>
    <row r="10" spans="1:4" x14ac:dyDescent="0.25">
      <c r="A10" s="669" t="s">
        <v>2216</v>
      </c>
      <c r="B10" s="655">
        <f t="shared" si="0"/>
        <v>1353780</v>
      </c>
      <c r="C10" s="643">
        <v>345747</v>
      </c>
      <c r="D10" s="643">
        <v>1008033</v>
      </c>
    </row>
    <row r="11" spans="1:4" x14ac:dyDescent="0.25">
      <c r="A11" s="669" t="s">
        <v>2217</v>
      </c>
      <c r="B11" s="655">
        <f>SUM(C11:D11)</f>
        <v>1258398</v>
      </c>
      <c r="C11" s="643">
        <v>368567</v>
      </c>
      <c r="D11" s="643">
        <v>889831</v>
      </c>
    </row>
    <row r="12" spans="1:4" x14ac:dyDescent="0.25">
      <c r="A12" s="669"/>
      <c r="B12" s="655"/>
      <c r="C12" s="643"/>
      <c r="D12" s="643"/>
    </row>
    <row r="13" spans="1:4" ht="25.5" customHeight="1" x14ac:dyDescent="0.25">
      <c r="A13" s="879" t="s">
        <v>2376</v>
      </c>
      <c r="B13" s="879"/>
      <c r="C13" s="879"/>
      <c r="D13" s="879"/>
    </row>
    <row r="14" spans="1:4" x14ac:dyDescent="0.25">
      <c r="A14" s="336" t="s">
        <v>2213</v>
      </c>
      <c r="B14" s="633"/>
      <c r="C14" s="633"/>
      <c r="D14" s="633"/>
    </row>
    <row r="15" spans="1:4" x14ac:dyDescent="0.25">
      <c r="A15" s="338"/>
    </row>
  </sheetData>
  <mergeCells count="6">
    <mergeCell ref="A2:D2"/>
    <mergeCell ref="A4:A6"/>
    <mergeCell ref="B4:D4"/>
    <mergeCell ref="B5:B6"/>
    <mergeCell ref="C5:D5"/>
    <mergeCell ref="A13:D13"/>
  </mergeCells>
  <pageMargins left="0.70866141732283472" right="0.70866141732283472" top="0.74803149606299213" bottom="0.74803149606299213" header="0.31496062992125984" footer="0.31496062992125984"/>
  <pageSetup paperSize="14" scale="120" orientation="landscape" r:id="rId1"/>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FCB21-5FAB-43A0-8124-90155996424D}">
  <sheetPr codeName="Hoja187"/>
  <dimension ref="A2:N25"/>
  <sheetViews>
    <sheetView zoomScaleNormal="100" workbookViewId="0">
      <selection activeCell="D42" sqref="D42"/>
    </sheetView>
  </sheetViews>
  <sheetFormatPr baseColWidth="10" defaultRowHeight="13.2" x14ac:dyDescent="0.25"/>
  <cols>
    <col min="1" max="1" width="29" customWidth="1"/>
    <col min="2" max="2" width="11.88671875" bestFit="1" customWidth="1"/>
  </cols>
  <sheetData>
    <row r="2" spans="1:14" x14ac:dyDescent="0.25">
      <c r="A2" s="331" t="s">
        <v>2262</v>
      </c>
    </row>
    <row r="3" spans="1:14" x14ac:dyDescent="0.25">
      <c r="A3" s="321"/>
      <c r="B3" s="990"/>
      <c r="C3" s="990"/>
      <c r="D3" s="321"/>
      <c r="E3" s="321"/>
      <c r="F3" s="321"/>
      <c r="G3" s="321"/>
      <c r="H3" s="321"/>
      <c r="I3" s="2"/>
      <c r="J3" s="2"/>
      <c r="K3" s="2"/>
      <c r="L3" s="2"/>
      <c r="M3" s="2"/>
      <c r="N3" s="2"/>
    </row>
    <row r="4" spans="1:14" x14ac:dyDescent="0.25">
      <c r="A4" s="298" t="s">
        <v>0</v>
      </c>
      <c r="B4" s="685" t="s">
        <v>2220</v>
      </c>
      <c r="C4" s="685"/>
      <c r="D4" s="685"/>
      <c r="E4" s="685"/>
      <c r="F4" s="685"/>
      <c r="G4" s="685"/>
      <c r="H4" s="685"/>
      <c r="I4" s="685"/>
      <c r="J4" s="685"/>
      <c r="K4" s="685"/>
      <c r="L4" s="685"/>
      <c r="M4" s="685"/>
      <c r="N4" s="685"/>
    </row>
    <row r="5" spans="1:14" x14ac:dyDescent="0.25">
      <c r="A5" s="298"/>
      <c r="B5" s="644" t="s">
        <v>3</v>
      </c>
      <c r="C5" s="644" t="s">
        <v>2221</v>
      </c>
      <c r="D5" s="644" t="s">
        <v>2222</v>
      </c>
      <c r="E5" s="644" t="s">
        <v>2223</v>
      </c>
      <c r="F5" s="644" t="s">
        <v>2224</v>
      </c>
      <c r="G5" s="644" t="s">
        <v>2225</v>
      </c>
      <c r="H5" s="644" t="s">
        <v>2226</v>
      </c>
      <c r="I5" s="644" t="s">
        <v>2227</v>
      </c>
      <c r="J5" s="644" t="s">
        <v>2228</v>
      </c>
      <c r="K5" s="644" t="s">
        <v>2229</v>
      </c>
      <c r="L5" s="644" t="s">
        <v>2230</v>
      </c>
      <c r="M5" s="644" t="s">
        <v>2231</v>
      </c>
      <c r="N5" s="644" t="s">
        <v>2232</v>
      </c>
    </row>
    <row r="6" spans="1:14" x14ac:dyDescent="0.25">
      <c r="A6" s="884" t="s">
        <v>3</v>
      </c>
      <c r="B6" s="622">
        <v>3013399</v>
      </c>
      <c r="C6" s="622">
        <f>SUM(C7:C21)</f>
        <v>218857</v>
      </c>
      <c r="D6" s="622">
        <f t="shared" ref="D6:N6" si="0">SUM(D7:D21)</f>
        <v>301551</v>
      </c>
      <c r="E6" s="622">
        <f t="shared" si="0"/>
        <v>204119</v>
      </c>
      <c r="F6" s="622">
        <f t="shared" si="0"/>
        <v>224029</v>
      </c>
      <c r="G6" s="622">
        <f t="shared" si="0"/>
        <v>249166</v>
      </c>
      <c r="H6" s="622">
        <f t="shared" si="0"/>
        <v>191110</v>
      </c>
      <c r="I6" s="622">
        <f t="shared" si="0"/>
        <v>219480</v>
      </c>
      <c r="J6" s="622">
        <f t="shared" si="0"/>
        <v>218827</v>
      </c>
      <c r="K6" s="622">
        <f t="shared" si="0"/>
        <v>243236</v>
      </c>
      <c r="L6" s="622">
        <f t="shared" si="0"/>
        <v>378080</v>
      </c>
      <c r="M6" s="622">
        <f t="shared" si="0"/>
        <v>329881</v>
      </c>
      <c r="N6" s="622">
        <f t="shared" si="0"/>
        <v>235063</v>
      </c>
    </row>
    <row r="7" spans="1:14" ht="14.4" x14ac:dyDescent="0.25">
      <c r="A7" s="288" t="s">
        <v>4</v>
      </c>
      <c r="B7" s="622">
        <f>SUM(C7:N7)</f>
        <v>13531</v>
      </c>
      <c r="C7" s="877">
        <v>3300</v>
      </c>
      <c r="D7" s="877">
        <v>3393</v>
      </c>
      <c r="E7" s="877">
        <v>4666</v>
      </c>
      <c r="F7" s="877">
        <v>543</v>
      </c>
      <c r="G7" s="877">
        <v>543</v>
      </c>
      <c r="H7" s="877">
        <v>543</v>
      </c>
      <c r="I7" s="877">
        <v>0</v>
      </c>
      <c r="J7" s="877">
        <v>543</v>
      </c>
      <c r="K7" s="877">
        <v>0</v>
      </c>
      <c r="L7" s="877">
        <v>0</v>
      </c>
      <c r="M7" s="877">
        <v>0</v>
      </c>
      <c r="N7" s="877">
        <v>0</v>
      </c>
    </row>
    <row r="8" spans="1:14" ht="14.4" x14ac:dyDescent="0.25">
      <c r="A8" s="288" t="s">
        <v>5</v>
      </c>
      <c r="B8" s="622">
        <f t="shared" ref="B8:B21" si="1">SUM(C8:N8)</f>
        <v>25489</v>
      </c>
      <c r="C8" s="877">
        <v>6000</v>
      </c>
      <c r="D8" s="877">
        <v>2280</v>
      </c>
      <c r="E8" s="877">
        <v>3000</v>
      </c>
      <c r="F8" s="877">
        <v>0</v>
      </c>
      <c r="G8" s="877">
        <v>200</v>
      </c>
      <c r="H8" s="877">
        <v>0</v>
      </c>
      <c r="I8" s="877">
        <v>5740</v>
      </c>
      <c r="J8" s="877">
        <v>4650</v>
      </c>
      <c r="K8" s="877">
        <v>394</v>
      </c>
      <c r="L8" s="877">
        <v>25</v>
      </c>
      <c r="M8" s="877">
        <v>0</v>
      </c>
      <c r="N8" s="877">
        <v>3200</v>
      </c>
    </row>
    <row r="9" spans="1:14" ht="14.4" x14ac:dyDescent="0.25">
      <c r="A9" s="288" t="s">
        <v>6</v>
      </c>
      <c r="B9" s="622">
        <f t="shared" si="1"/>
        <v>53347</v>
      </c>
      <c r="C9" s="877">
        <v>2214</v>
      </c>
      <c r="D9" s="877">
        <v>0</v>
      </c>
      <c r="E9" s="877">
        <v>2250</v>
      </c>
      <c r="F9" s="877">
        <v>1537</v>
      </c>
      <c r="G9" s="877">
        <v>9727</v>
      </c>
      <c r="H9" s="877">
        <v>8930</v>
      </c>
      <c r="I9" s="877">
        <v>3527</v>
      </c>
      <c r="J9" s="877">
        <v>4880</v>
      </c>
      <c r="K9" s="877">
        <v>5543</v>
      </c>
      <c r="L9" s="877">
        <v>6327</v>
      </c>
      <c r="M9" s="877">
        <v>5005</v>
      </c>
      <c r="N9" s="877">
        <v>3407</v>
      </c>
    </row>
    <row r="10" spans="1:14" ht="14.4" x14ac:dyDescent="0.25">
      <c r="A10" s="288" t="s">
        <v>7</v>
      </c>
      <c r="B10" s="622">
        <f t="shared" si="1"/>
        <v>76170</v>
      </c>
      <c r="C10" s="877">
        <v>7230</v>
      </c>
      <c r="D10" s="877">
        <v>23000</v>
      </c>
      <c r="E10" s="877">
        <v>2200</v>
      </c>
      <c r="F10" s="877">
        <v>3200</v>
      </c>
      <c r="G10" s="877">
        <v>2940</v>
      </c>
      <c r="H10" s="877">
        <v>5100</v>
      </c>
      <c r="I10" s="877">
        <v>4800</v>
      </c>
      <c r="J10" s="877">
        <v>10700</v>
      </c>
      <c r="K10" s="877">
        <v>5250</v>
      </c>
      <c r="L10" s="877">
        <v>5910</v>
      </c>
      <c r="M10" s="877">
        <v>1040</v>
      </c>
      <c r="N10" s="877">
        <v>4800</v>
      </c>
    </row>
    <row r="11" spans="1:14" ht="14.4" x14ac:dyDescent="0.25">
      <c r="A11" s="288" t="s">
        <v>8</v>
      </c>
      <c r="B11" s="622">
        <f t="shared" si="1"/>
        <v>71739</v>
      </c>
      <c r="C11" s="877">
        <v>3575</v>
      </c>
      <c r="D11" s="877">
        <v>4285</v>
      </c>
      <c r="E11" s="877">
        <v>7580</v>
      </c>
      <c r="F11" s="877">
        <v>2165</v>
      </c>
      <c r="G11" s="877">
        <v>6434</v>
      </c>
      <c r="H11" s="877">
        <v>4145</v>
      </c>
      <c r="I11" s="877">
        <v>2785</v>
      </c>
      <c r="J11" s="877">
        <v>9680</v>
      </c>
      <c r="K11" s="877">
        <v>2040</v>
      </c>
      <c r="L11" s="877">
        <v>13990</v>
      </c>
      <c r="M11" s="877">
        <v>7760</v>
      </c>
      <c r="N11" s="877">
        <v>7300</v>
      </c>
    </row>
    <row r="12" spans="1:14" ht="14.4" x14ac:dyDescent="0.25">
      <c r="A12" s="288" t="s">
        <v>9</v>
      </c>
      <c r="B12" s="622">
        <f t="shared" si="1"/>
        <v>315360</v>
      </c>
      <c r="C12" s="877">
        <v>39923</v>
      </c>
      <c r="D12" s="877">
        <v>109190</v>
      </c>
      <c r="E12" s="877">
        <v>21599</v>
      </c>
      <c r="F12" s="877">
        <v>5997</v>
      </c>
      <c r="G12" s="877">
        <v>18862</v>
      </c>
      <c r="H12" s="877">
        <v>17305</v>
      </c>
      <c r="I12" s="877">
        <v>12310</v>
      </c>
      <c r="J12" s="877">
        <v>11472</v>
      </c>
      <c r="K12" s="877">
        <v>23468</v>
      </c>
      <c r="L12" s="877">
        <v>27480</v>
      </c>
      <c r="M12" s="877">
        <v>16449</v>
      </c>
      <c r="N12" s="877">
        <v>11305</v>
      </c>
    </row>
    <row r="13" spans="1:14" ht="14.4" x14ac:dyDescent="0.25">
      <c r="A13" s="288" t="s">
        <v>10</v>
      </c>
      <c r="B13" s="622">
        <f t="shared" si="1"/>
        <v>1803875</v>
      </c>
      <c r="C13" s="877">
        <v>91347</v>
      </c>
      <c r="D13" s="877">
        <v>53287</v>
      </c>
      <c r="E13" s="877">
        <v>132321</v>
      </c>
      <c r="F13" s="877">
        <v>170528</v>
      </c>
      <c r="G13" s="877">
        <v>169249</v>
      </c>
      <c r="H13" s="877">
        <v>116972</v>
      </c>
      <c r="I13" s="877">
        <v>153681</v>
      </c>
      <c r="J13" s="877">
        <v>131925</v>
      </c>
      <c r="K13" s="877">
        <v>157240</v>
      </c>
      <c r="L13" s="877">
        <v>243678</v>
      </c>
      <c r="M13" s="877">
        <v>237116</v>
      </c>
      <c r="N13" s="877">
        <v>146531</v>
      </c>
    </row>
    <row r="14" spans="1:14" ht="14.4" x14ac:dyDescent="0.25">
      <c r="A14" s="288" t="s">
        <v>134</v>
      </c>
      <c r="B14" s="622">
        <f t="shared" si="1"/>
        <v>67226</v>
      </c>
      <c r="C14" s="877">
        <v>3860</v>
      </c>
      <c r="D14" s="877">
        <v>8490</v>
      </c>
      <c r="E14" s="877">
        <v>3570</v>
      </c>
      <c r="F14" s="877">
        <v>10800</v>
      </c>
      <c r="G14" s="877">
        <v>3603</v>
      </c>
      <c r="H14" s="877">
        <v>3560</v>
      </c>
      <c r="I14" s="877">
        <v>4635</v>
      </c>
      <c r="J14" s="877">
        <v>4878</v>
      </c>
      <c r="K14" s="877">
        <v>3940</v>
      </c>
      <c r="L14" s="877">
        <v>8175</v>
      </c>
      <c r="M14" s="877">
        <v>6925</v>
      </c>
      <c r="N14" s="877">
        <v>4790</v>
      </c>
    </row>
    <row r="15" spans="1:14" ht="14.4" x14ac:dyDescent="0.25">
      <c r="A15" s="288" t="s">
        <v>12</v>
      </c>
      <c r="B15" s="622">
        <f t="shared" si="1"/>
        <v>91598</v>
      </c>
      <c r="C15" s="877">
        <v>4010</v>
      </c>
      <c r="D15" s="877">
        <v>6866</v>
      </c>
      <c r="E15" s="877">
        <v>7482</v>
      </c>
      <c r="F15" s="877">
        <v>4135</v>
      </c>
      <c r="G15" s="877">
        <v>4447</v>
      </c>
      <c r="H15" s="877">
        <v>4898</v>
      </c>
      <c r="I15" s="877">
        <v>6089</v>
      </c>
      <c r="J15" s="877">
        <v>9857</v>
      </c>
      <c r="K15" s="877">
        <v>10478</v>
      </c>
      <c r="L15" s="877">
        <v>18860</v>
      </c>
      <c r="M15" s="877">
        <v>8989</v>
      </c>
      <c r="N15" s="877">
        <v>5487</v>
      </c>
    </row>
    <row r="16" spans="1:14" ht="14.4" x14ac:dyDescent="0.25">
      <c r="A16" s="288" t="s">
        <v>13</v>
      </c>
      <c r="B16" s="622">
        <f t="shared" si="1"/>
        <v>177643</v>
      </c>
      <c r="C16" s="877">
        <v>28344</v>
      </c>
      <c r="D16" s="877">
        <v>44966</v>
      </c>
      <c r="E16" s="877">
        <v>8880</v>
      </c>
      <c r="F16" s="877">
        <v>9265</v>
      </c>
      <c r="G16" s="877">
        <v>11900</v>
      </c>
      <c r="H16" s="877">
        <v>9075</v>
      </c>
      <c r="I16" s="877">
        <v>6139</v>
      </c>
      <c r="J16" s="877">
        <v>9428</v>
      </c>
      <c r="K16" s="877">
        <v>11641</v>
      </c>
      <c r="L16" s="877">
        <v>18953</v>
      </c>
      <c r="M16" s="877">
        <v>11064</v>
      </c>
      <c r="N16" s="877">
        <v>7988</v>
      </c>
    </row>
    <row r="17" spans="1:14" ht="14.4" x14ac:dyDescent="0.25">
      <c r="A17" s="288" t="s">
        <v>47</v>
      </c>
      <c r="B17" s="622">
        <f t="shared" si="1"/>
        <v>149071</v>
      </c>
      <c r="C17" s="877">
        <v>13195</v>
      </c>
      <c r="D17" s="877">
        <v>18430</v>
      </c>
      <c r="E17" s="877">
        <v>2790</v>
      </c>
      <c r="F17" s="877">
        <v>9585</v>
      </c>
      <c r="G17" s="877">
        <v>10115</v>
      </c>
      <c r="H17" s="877">
        <v>7010</v>
      </c>
      <c r="I17" s="877">
        <v>10970</v>
      </c>
      <c r="J17" s="877">
        <v>7270</v>
      </c>
      <c r="K17" s="877">
        <v>8606</v>
      </c>
      <c r="L17" s="877">
        <v>14900</v>
      </c>
      <c r="M17" s="877">
        <v>22710</v>
      </c>
      <c r="N17" s="877">
        <v>23490</v>
      </c>
    </row>
    <row r="18" spans="1:14" ht="14.4" x14ac:dyDescent="0.25">
      <c r="A18" s="288" t="s">
        <v>135</v>
      </c>
      <c r="B18" s="622">
        <f t="shared" si="1"/>
        <v>58440</v>
      </c>
      <c r="C18" s="877">
        <v>7574</v>
      </c>
      <c r="D18" s="877">
        <v>4202</v>
      </c>
      <c r="E18" s="877">
        <v>1152</v>
      </c>
      <c r="F18" s="877">
        <v>2538</v>
      </c>
      <c r="G18" s="877">
        <v>4071</v>
      </c>
      <c r="H18" s="877">
        <v>7025</v>
      </c>
      <c r="I18" s="877">
        <v>2248</v>
      </c>
      <c r="J18" s="877">
        <v>5852</v>
      </c>
      <c r="K18" s="877">
        <v>7853</v>
      </c>
      <c r="L18" s="877">
        <v>4345</v>
      </c>
      <c r="M18" s="877">
        <v>2743</v>
      </c>
      <c r="N18" s="877">
        <v>8837</v>
      </c>
    </row>
    <row r="19" spans="1:14" ht="14.4" x14ac:dyDescent="0.25">
      <c r="A19" s="288" t="s">
        <v>136</v>
      </c>
      <c r="B19" s="622">
        <f t="shared" si="1"/>
        <v>93227</v>
      </c>
      <c r="C19" s="877">
        <v>7835</v>
      </c>
      <c r="D19" s="877">
        <v>21412</v>
      </c>
      <c r="E19" s="877">
        <v>6429</v>
      </c>
      <c r="F19" s="877">
        <v>3736</v>
      </c>
      <c r="G19" s="877">
        <v>7075</v>
      </c>
      <c r="H19" s="877">
        <v>5947</v>
      </c>
      <c r="I19" s="877">
        <v>5996</v>
      </c>
      <c r="J19" s="877">
        <v>3992</v>
      </c>
      <c r="K19" s="877">
        <v>5660</v>
      </c>
      <c r="L19" s="877">
        <v>10637</v>
      </c>
      <c r="M19" s="877">
        <v>8180</v>
      </c>
      <c r="N19" s="877">
        <v>6328</v>
      </c>
    </row>
    <row r="20" spans="1:14" ht="14.4" x14ac:dyDescent="0.25">
      <c r="A20" s="288" t="s">
        <v>17</v>
      </c>
      <c r="B20" s="622">
        <f t="shared" si="1"/>
        <v>3210</v>
      </c>
      <c r="C20" s="877">
        <v>450</v>
      </c>
      <c r="D20" s="877">
        <v>950</v>
      </c>
      <c r="E20" s="877">
        <v>200</v>
      </c>
      <c r="F20" s="877">
        <v>0</v>
      </c>
      <c r="G20" s="877">
        <v>0</v>
      </c>
      <c r="H20" s="877">
        <v>0</v>
      </c>
      <c r="I20" s="877">
        <v>260</v>
      </c>
      <c r="J20" s="877">
        <v>0</v>
      </c>
      <c r="K20" s="877">
        <v>200</v>
      </c>
      <c r="L20" s="877">
        <v>1000</v>
      </c>
      <c r="M20" s="877">
        <v>0</v>
      </c>
      <c r="N20" s="877">
        <v>150</v>
      </c>
    </row>
    <row r="21" spans="1:14" ht="14.4" x14ac:dyDescent="0.25">
      <c r="A21" s="284" t="s">
        <v>18</v>
      </c>
      <c r="B21" s="622">
        <f t="shared" si="1"/>
        <v>13473</v>
      </c>
      <c r="C21" s="877">
        <v>0</v>
      </c>
      <c r="D21" s="877">
        <v>800</v>
      </c>
      <c r="E21" s="877">
        <v>0</v>
      </c>
      <c r="F21" s="877">
        <v>0</v>
      </c>
      <c r="G21" s="877">
        <v>0</v>
      </c>
      <c r="H21" s="877">
        <v>600</v>
      </c>
      <c r="I21" s="877">
        <v>300</v>
      </c>
      <c r="J21" s="877">
        <v>3700</v>
      </c>
      <c r="K21" s="877">
        <v>923</v>
      </c>
      <c r="L21" s="877">
        <v>3800</v>
      </c>
      <c r="M21" s="877">
        <v>1900</v>
      </c>
      <c r="N21" s="877">
        <v>1450</v>
      </c>
    </row>
    <row r="22" spans="1:14" ht="14.4" x14ac:dyDescent="0.25">
      <c r="A22" s="288"/>
      <c r="B22" s="655"/>
      <c r="C22" s="890"/>
      <c r="D22" s="890"/>
      <c r="E22" s="890"/>
      <c r="F22" s="890"/>
      <c r="G22" s="890"/>
      <c r="H22" s="890"/>
      <c r="I22" s="890"/>
      <c r="J22" s="890"/>
      <c r="K22" s="890"/>
      <c r="L22" s="890"/>
      <c r="M22" s="890"/>
      <c r="N22" s="890"/>
    </row>
    <row r="23" spans="1:14" ht="25.5" customHeight="1" x14ac:dyDescent="0.25">
      <c r="A23" s="982" t="s">
        <v>2376</v>
      </c>
      <c r="B23" s="982"/>
      <c r="C23" s="982"/>
      <c r="D23" s="982"/>
      <c r="E23" s="982"/>
      <c r="F23" s="982"/>
      <c r="G23" s="982"/>
      <c r="H23" s="982"/>
      <c r="I23" s="991"/>
      <c r="J23" s="991"/>
      <c r="K23" s="991"/>
      <c r="L23" s="991"/>
      <c r="M23" s="991"/>
      <c r="N23" s="991"/>
    </row>
    <row r="24" spans="1:14" x14ac:dyDescent="0.25">
      <c r="A24" s="881" t="s">
        <v>197</v>
      </c>
      <c r="B24" s="882"/>
      <c r="C24" s="882"/>
      <c r="D24" s="882"/>
      <c r="E24" s="882"/>
      <c r="F24" s="882"/>
      <c r="G24" s="882"/>
      <c r="H24" s="882"/>
      <c r="I24" s="701"/>
      <c r="J24" s="701"/>
      <c r="K24" s="701"/>
      <c r="L24" s="701"/>
      <c r="M24" s="701"/>
      <c r="N24" s="701"/>
    </row>
    <row r="25" spans="1:14" x14ac:dyDescent="0.25">
      <c r="A25" s="336" t="s">
        <v>2213</v>
      </c>
      <c r="B25" s="667"/>
      <c r="C25" s="667"/>
      <c r="D25" s="667"/>
      <c r="E25" s="667"/>
      <c r="F25" s="667"/>
      <c r="G25" s="667"/>
      <c r="H25" s="667"/>
      <c r="I25" s="667"/>
      <c r="J25" s="667"/>
      <c r="K25" s="667"/>
      <c r="L25" s="667"/>
      <c r="M25" s="667"/>
      <c r="N25" s="667"/>
    </row>
  </sheetData>
  <mergeCells count="3">
    <mergeCell ref="A4:A5"/>
    <mergeCell ref="B4:N4"/>
    <mergeCell ref="A23:N23"/>
  </mergeCells>
  <pageMargins left="0.7" right="0.7" top="0.75" bottom="0.75" header="0.3" footer="0.3"/>
  <pageSetup paperSize="14" scale="85" orientation="landscape" r:id="rId1"/>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F6C50-6F20-4D19-BD0E-E754352E0F66}">
  <sheetPr codeName="Hoja188"/>
  <dimension ref="A1:U36"/>
  <sheetViews>
    <sheetView zoomScaleNormal="100" workbookViewId="0"/>
  </sheetViews>
  <sheetFormatPr baseColWidth="10" defaultRowHeight="13.2" x14ac:dyDescent="0.25"/>
  <cols>
    <col min="1" max="1" width="3.33203125" bestFit="1" customWidth="1"/>
    <col min="3" max="3" width="24.88671875" customWidth="1"/>
    <col min="4" max="4" width="13.109375" customWidth="1"/>
    <col min="5" max="5" width="11.109375" bestFit="1" customWidth="1"/>
    <col min="6" max="6" width="3.33203125" bestFit="1" customWidth="1"/>
    <col min="7" max="7" width="17.6640625" customWidth="1"/>
    <col min="8" max="8" width="22.109375" customWidth="1"/>
    <col min="9" max="9" width="11.33203125" bestFit="1" customWidth="1"/>
    <col min="10" max="10" width="12.5546875" customWidth="1"/>
  </cols>
  <sheetData>
    <row r="1" spans="1:21" ht="15.6" x14ac:dyDescent="0.25">
      <c r="A1" s="687"/>
    </row>
    <row r="2" spans="1:21" ht="30" customHeight="1" x14ac:dyDescent="0.25">
      <c r="A2" s="308" t="s">
        <v>2263</v>
      </c>
      <c r="B2" s="308"/>
      <c r="C2" s="308"/>
      <c r="D2" s="308"/>
      <c r="E2" s="308"/>
      <c r="F2" s="308"/>
      <c r="G2" s="308"/>
      <c r="H2" s="308"/>
      <c r="I2" s="308"/>
      <c r="J2" s="308"/>
    </row>
    <row r="3" spans="1:21" s="2" customFormat="1" ht="10.199999999999999" x14ac:dyDescent="0.2"/>
    <row r="4" spans="1:21" s="2" customFormat="1" ht="12.75" customHeight="1" x14ac:dyDescent="0.2">
      <c r="A4" s="992" t="s">
        <v>2394</v>
      </c>
      <c r="B4" s="992"/>
      <c r="C4" s="992"/>
      <c r="D4" s="992"/>
      <c r="E4" s="992"/>
      <c r="F4" s="993" t="s">
        <v>2395</v>
      </c>
      <c r="G4" s="993"/>
      <c r="H4" s="993"/>
      <c r="I4" s="993"/>
      <c r="J4" s="993"/>
      <c r="Q4" s="309"/>
      <c r="R4" s="309"/>
      <c r="S4" s="309"/>
      <c r="T4" s="309"/>
      <c r="U4" s="309"/>
    </row>
    <row r="5" spans="1:21" s="2" customFormat="1" ht="20.399999999999999" x14ac:dyDescent="0.2">
      <c r="A5" s="994" t="s">
        <v>2396</v>
      </c>
      <c r="B5" s="994" t="s">
        <v>2397</v>
      </c>
      <c r="C5" s="994" t="s">
        <v>2398</v>
      </c>
      <c r="D5" s="994" t="s">
        <v>2399</v>
      </c>
      <c r="E5" s="994" t="s">
        <v>2400</v>
      </c>
      <c r="F5" s="994" t="s">
        <v>2396</v>
      </c>
      <c r="G5" s="994" t="s">
        <v>2397</v>
      </c>
      <c r="H5" s="994" t="s">
        <v>2398</v>
      </c>
      <c r="I5" s="994" t="s">
        <v>2400</v>
      </c>
      <c r="J5" s="994" t="s">
        <v>2399</v>
      </c>
      <c r="L5" s="995"/>
      <c r="M5" s="995"/>
      <c r="N5" s="995"/>
      <c r="O5" s="995"/>
      <c r="P5" s="995"/>
      <c r="Q5" s="995"/>
      <c r="R5" s="995"/>
      <c r="S5" s="995"/>
      <c r="T5" s="995"/>
      <c r="U5" s="995"/>
    </row>
    <row r="6" spans="1:21" s="997" customFormat="1" ht="20.399999999999999" x14ac:dyDescent="0.2">
      <c r="A6" s="641">
        <v>1</v>
      </c>
      <c r="B6" s="996" t="s">
        <v>2401</v>
      </c>
      <c r="C6" s="996" t="s">
        <v>2402</v>
      </c>
      <c r="D6" s="996" t="s">
        <v>2403</v>
      </c>
      <c r="E6" s="996" t="s">
        <v>2404</v>
      </c>
      <c r="F6" s="641">
        <v>1</v>
      </c>
      <c r="G6" s="996" t="s">
        <v>2405</v>
      </c>
      <c r="H6" s="996" t="s">
        <v>2406</v>
      </c>
      <c r="I6" s="996" t="s">
        <v>2407</v>
      </c>
      <c r="J6" s="996" t="s">
        <v>2408</v>
      </c>
      <c r="L6" s="2"/>
      <c r="M6" s="309"/>
      <c r="N6" s="309"/>
      <c r="O6" s="309"/>
      <c r="P6" s="309"/>
      <c r="Q6" s="2"/>
      <c r="R6" s="309"/>
      <c r="S6" s="309"/>
      <c r="T6" s="309"/>
      <c r="U6" s="2"/>
    </row>
    <row r="7" spans="1:21" s="997" customFormat="1" ht="51" x14ac:dyDescent="0.2">
      <c r="A7" s="641">
        <v>2</v>
      </c>
      <c r="B7" s="996" t="s">
        <v>2409</v>
      </c>
      <c r="C7" s="996" t="s">
        <v>2410</v>
      </c>
      <c r="D7" s="996" t="s">
        <v>2403</v>
      </c>
      <c r="E7" s="996" t="s">
        <v>2411</v>
      </c>
      <c r="F7" s="641">
        <v>2</v>
      </c>
      <c r="G7" s="996" t="s">
        <v>2412</v>
      </c>
      <c r="H7" s="996" t="s">
        <v>2413</v>
      </c>
      <c r="I7" s="996" t="s">
        <v>2414</v>
      </c>
      <c r="J7" s="641" t="s">
        <v>2415</v>
      </c>
      <c r="L7" s="2"/>
      <c r="M7" s="309"/>
      <c r="N7" s="309"/>
      <c r="O7" s="309"/>
      <c r="P7" s="309"/>
      <c r="Q7" s="2"/>
      <c r="R7" s="309"/>
      <c r="S7" s="309"/>
      <c r="T7" s="309"/>
      <c r="U7" s="2"/>
    </row>
    <row r="8" spans="1:21" s="997" customFormat="1" ht="20.399999999999999" x14ac:dyDescent="0.2">
      <c r="A8" s="641">
        <v>3</v>
      </c>
      <c r="B8" s="996" t="s">
        <v>2405</v>
      </c>
      <c r="C8" s="996" t="s">
        <v>2416</v>
      </c>
      <c r="D8" s="996" t="s">
        <v>2408</v>
      </c>
      <c r="E8" s="996" t="s">
        <v>2407</v>
      </c>
      <c r="F8" s="641">
        <v>3</v>
      </c>
      <c r="G8" s="996" t="s">
        <v>2417</v>
      </c>
      <c r="H8" s="996" t="s">
        <v>2418</v>
      </c>
      <c r="I8" s="996" t="s">
        <v>2419</v>
      </c>
      <c r="J8" s="641" t="s">
        <v>2415</v>
      </c>
      <c r="L8" s="2"/>
      <c r="M8" s="309"/>
      <c r="N8" s="309"/>
      <c r="O8" s="309"/>
      <c r="P8" s="309"/>
      <c r="Q8" s="2"/>
      <c r="R8" s="309"/>
      <c r="S8" s="309"/>
      <c r="T8" s="309"/>
      <c r="U8" s="2"/>
    </row>
    <row r="9" spans="1:21" s="997" customFormat="1" ht="30.6" x14ac:dyDescent="0.2">
      <c r="A9" s="641">
        <v>4</v>
      </c>
      <c r="B9" s="996" t="s">
        <v>2420</v>
      </c>
      <c r="C9" s="996" t="s">
        <v>2421</v>
      </c>
      <c r="D9" s="996" t="s">
        <v>2408</v>
      </c>
      <c r="E9" s="996" t="s">
        <v>2407</v>
      </c>
      <c r="F9" s="641">
        <v>4</v>
      </c>
      <c r="G9" s="996" t="s">
        <v>2422</v>
      </c>
      <c r="H9" s="996" t="s">
        <v>2423</v>
      </c>
      <c r="I9" s="996" t="s">
        <v>2424</v>
      </c>
      <c r="J9" s="996" t="s">
        <v>2403</v>
      </c>
      <c r="L9" s="2"/>
      <c r="M9" s="309"/>
      <c r="N9" s="309"/>
      <c r="O9" s="309"/>
      <c r="P9" s="309"/>
      <c r="Q9" s="2"/>
      <c r="R9" s="309"/>
      <c r="S9" s="309"/>
      <c r="T9" s="309"/>
      <c r="U9" s="2"/>
    </row>
    <row r="10" spans="1:21" s="997" customFormat="1" ht="20.399999999999999" x14ac:dyDescent="0.2">
      <c r="A10" s="641">
        <v>5</v>
      </c>
      <c r="B10" s="996" t="s">
        <v>2425</v>
      </c>
      <c r="C10" s="996" t="s">
        <v>2426</v>
      </c>
      <c r="D10" s="996" t="s">
        <v>2403</v>
      </c>
      <c r="E10" s="996" t="s">
        <v>2427</v>
      </c>
      <c r="F10" s="641">
        <v>5</v>
      </c>
      <c r="G10" s="996" t="s">
        <v>2428</v>
      </c>
      <c r="H10" s="996" t="s">
        <v>2426</v>
      </c>
      <c r="I10" s="996" t="s">
        <v>2427</v>
      </c>
      <c r="J10" s="996" t="s">
        <v>2403</v>
      </c>
      <c r="L10" s="2"/>
      <c r="M10" s="309"/>
      <c r="N10" s="309"/>
      <c r="O10" s="309"/>
      <c r="P10" s="309"/>
      <c r="Q10" s="2"/>
      <c r="R10" s="309"/>
      <c r="S10" s="309"/>
      <c r="T10" s="309"/>
      <c r="U10" s="2"/>
    </row>
    <row r="11" spans="1:21" s="997" customFormat="1" ht="30.6" x14ac:dyDescent="0.2">
      <c r="A11" s="641">
        <v>6</v>
      </c>
      <c r="B11" s="996" t="s">
        <v>2429</v>
      </c>
      <c r="C11" s="996" t="s">
        <v>2430</v>
      </c>
      <c r="D11" s="996" t="s">
        <v>2415</v>
      </c>
      <c r="E11" s="996" t="s">
        <v>2414</v>
      </c>
      <c r="F11" s="641">
        <v>6</v>
      </c>
      <c r="G11" s="996" t="s">
        <v>2431</v>
      </c>
      <c r="H11" s="996" t="s">
        <v>2432</v>
      </c>
      <c r="I11" s="996" t="s">
        <v>2433</v>
      </c>
      <c r="J11" s="641" t="s">
        <v>2434</v>
      </c>
      <c r="L11" s="2"/>
      <c r="M11" s="309"/>
      <c r="N11" s="309"/>
      <c r="O11" s="309"/>
      <c r="P11" s="309"/>
      <c r="Q11" s="2"/>
      <c r="R11" s="309"/>
      <c r="S11" s="309"/>
      <c r="T11" s="309"/>
      <c r="U11" s="2"/>
    </row>
    <row r="12" spans="1:21" s="997" customFormat="1" ht="20.399999999999999" x14ac:dyDescent="0.2">
      <c r="A12" s="641">
        <v>7</v>
      </c>
      <c r="B12" s="996" t="s">
        <v>2435</v>
      </c>
      <c r="C12" s="996" t="s">
        <v>2436</v>
      </c>
      <c r="D12" s="996" t="s">
        <v>2415</v>
      </c>
      <c r="E12" s="996" t="s">
        <v>2437</v>
      </c>
      <c r="F12" s="641">
        <v>7</v>
      </c>
      <c r="G12" s="996" t="s">
        <v>2438</v>
      </c>
      <c r="H12" s="996" t="s">
        <v>2439</v>
      </c>
      <c r="I12" s="996" t="s">
        <v>2440</v>
      </c>
      <c r="J12" s="996" t="s">
        <v>2403</v>
      </c>
      <c r="L12" s="2"/>
      <c r="M12" s="309"/>
      <c r="N12" s="309"/>
      <c r="O12" s="309"/>
      <c r="P12" s="309"/>
      <c r="Q12" s="2"/>
      <c r="R12" s="309"/>
      <c r="S12" s="309"/>
      <c r="T12" s="309"/>
      <c r="U12" s="2"/>
    </row>
    <row r="13" spans="1:21" s="997" customFormat="1" ht="20.399999999999999" x14ac:dyDescent="0.2">
      <c r="A13" s="641">
        <v>8</v>
      </c>
      <c r="B13" s="996" t="s">
        <v>2441</v>
      </c>
      <c r="C13" s="996" t="s">
        <v>2442</v>
      </c>
      <c r="D13" s="996" t="s">
        <v>2403</v>
      </c>
      <c r="E13" s="996" t="s">
        <v>2443</v>
      </c>
      <c r="F13" s="641">
        <v>8</v>
      </c>
      <c r="G13" s="996" t="s">
        <v>2444</v>
      </c>
      <c r="H13" s="996" t="s">
        <v>2445</v>
      </c>
      <c r="I13" s="996" t="s">
        <v>2446</v>
      </c>
      <c r="J13" s="996" t="s">
        <v>2403</v>
      </c>
      <c r="L13" s="2"/>
      <c r="M13" s="309"/>
      <c r="N13" s="309"/>
      <c r="O13" s="309"/>
      <c r="P13" s="309"/>
      <c r="Q13" s="2"/>
      <c r="R13" s="309"/>
      <c r="S13" s="309"/>
      <c r="T13" s="309"/>
      <c r="U13" s="2"/>
    </row>
    <row r="14" spans="1:21" s="997" customFormat="1" ht="30.6" x14ac:dyDescent="0.2">
      <c r="A14" s="641">
        <v>9</v>
      </c>
      <c r="B14" s="996" t="s">
        <v>2447</v>
      </c>
      <c r="C14" s="996" t="s">
        <v>2448</v>
      </c>
      <c r="D14" s="996" t="s">
        <v>2408</v>
      </c>
      <c r="E14" s="996" t="s">
        <v>2419</v>
      </c>
      <c r="F14" s="641">
        <v>9</v>
      </c>
      <c r="G14" s="996" t="s">
        <v>2449</v>
      </c>
      <c r="H14" s="996" t="s">
        <v>2450</v>
      </c>
      <c r="I14" s="996" t="s">
        <v>2451</v>
      </c>
      <c r="J14" s="641" t="s">
        <v>2415</v>
      </c>
      <c r="L14" s="2"/>
      <c r="M14" s="309"/>
      <c r="N14" s="309"/>
      <c r="O14" s="309"/>
      <c r="P14" s="309"/>
      <c r="Q14" s="2"/>
      <c r="R14" s="309"/>
      <c r="S14" s="309"/>
      <c r="T14" s="309"/>
      <c r="U14" s="2"/>
    </row>
    <row r="15" spans="1:21" s="997" customFormat="1" ht="20.399999999999999" x14ac:dyDescent="0.2">
      <c r="A15" s="641">
        <v>10</v>
      </c>
      <c r="B15" s="996" t="s">
        <v>2452</v>
      </c>
      <c r="C15" s="996" t="s">
        <v>2418</v>
      </c>
      <c r="D15" s="996" t="s">
        <v>2453</v>
      </c>
      <c r="E15" s="996" t="s">
        <v>2419</v>
      </c>
      <c r="F15" s="641">
        <v>10</v>
      </c>
      <c r="G15" s="996" t="s">
        <v>2429</v>
      </c>
      <c r="H15" s="996" t="s">
        <v>2413</v>
      </c>
      <c r="I15" s="996" t="s">
        <v>2414</v>
      </c>
      <c r="J15" s="641" t="s">
        <v>2415</v>
      </c>
      <c r="L15" s="2"/>
      <c r="M15" s="309"/>
      <c r="N15" s="309"/>
      <c r="O15" s="309"/>
      <c r="P15" s="309"/>
      <c r="Q15" s="2"/>
      <c r="R15" s="309"/>
      <c r="S15" s="309"/>
      <c r="T15" s="309"/>
      <c r="U15" s="2"/>
    </row>
    <row r="16" spans="1:21" s="997" customFormat="1" ht="30.6" x14ac:dyDescent="0.2">
      <c r="A16" s="641">
        <v>11</v>
      </c>
      <c r="B16" s="996" t="s">
        <v>2454</v>
      </c>
      <c r="C16" s="996" t="s">
        <v>2455</v>
      </c>
      <c r="D16" s="996" t="s">
        <v>2408</v>
      </c>
      <c r="E16" s="996" t="s">
        <v>2456</v>
      </c>
      <c r="F16" s="641">
        <v>11</v>
      </c>
      <c r="G16" s="996" t="s">
        <v>2454</v>
      </c>
      <c r="H16" s="996" t="s">
        <v>2455</v>
      </c>
      <c r="I16" s="996" t="s">
        <v>2456</v>
      </c>
      <c r="J16" s="996" t="s">
        <v>2408</v>
      </c>
      <c r="L16" s="2"/>
      <c r="M16" s="309"/>
      <c r="N16" s="309"/>
      <c r="O16" s="309"/>
      <c r="P16" s="309"/>
      <c r="Q16" s="2"/>
      <c r="R16" s="309"/>
      <c r="S16" s="309"/>
      <c r="T16" s="309"/>
      <c r="U16" s="2"/>
    </row>
    <row r="17" spans="1:21" s="997" customFormat="1" ht="20.399999999999999" x14ac:dyDescent="0.2">
      <c r="A17" s="641">
        <v>12</v>
      </c>
      <c r="B17" s="996" t="s">
        <v>889</v>
      </c>
      <c r="C17" s="996" t="s">
        <v>2442</v>
      </c>
      <c r="D17" s="996" t="s">
        <v>2403</v>
      </c>
      <c r="E17" s="996" t="s">
        <v>2457</v>
      </c>
      <c r="F17" s="641">
        <v>12</v>
      </c>
      <c r="G17" s="996" t="s">
        <v>2458</v>
      </c>
      <c r="H17" s="996" t="s">
        <v>2418</v>
      </c>
      <c r="I17" s="996" t="s">
        <v>2419</v>
      </c>
      <c r="J17" s="996" t="s">
        <v>2408</v>
      </c>
      <c r="L17" s="2"/>
      <c r="M17" s="309"/>
      <c r="N17" s="309"/>
      <c r="O17" s="309"/>
      <c r="P17" s="309"/>
      <c r="Q17" s="2"/>
      <c r="R17" s="309"/>
      <c r="S17" s="309"/>
      <c r="T17" s="309"/>
      <c r="U17" s="2"/>
    </row>
    <row r="18" spans="1:21" s="997" customFormat="1" ht="20.399999999999999" x14ac:dyDescent="0.2">
      <c r="A18" s="641">
        <v>13</v>
      </c>
      <c r="B18" s="996" t="s">
        <v>2459</v>
      </c>
      <c r="C18" s="996" t="s">
        <v>2460</v>
      </c>
      <c r="D18" s="996" t="s">
        <v>2403</v>
      </c>
      <c r="E18" s="996" t="s">
        <v>2461</v>
      </c>
      <c r="F18" s="641">
        <v>13</v>
      </c>
      <c r="G18" s="996" t="s">
        <v>2462</v>
      </c>
      <c r="H18" s="996" t="s">
        <v>2463</v>
      </c>
      <c r="I18" s="996" t="s">
        <v>2464</v>
      </c>
      <c r="J18" s="996" t="s">
        <v>2408</v>
      </c>
      <c r="L18" s="2"/>
      <c r="M18" s="309"/>
      <c r="N18" s="309"/>
      <c r="O18" s="309"/>
      <c r="P18" s="309"/>
      <c r="Q18" s="2"/>
      <c r="R18" s="309"/>
      <c r="S18" s="309"/>
      <c r="T18" s="309"/>
      <c r="U18" s="2"/>
    </row>
    <row r="19" spans="1:21" s="997" customFormat="1" ht="20.399999999999999" x14ac:dyDescent="0.2">
      <c r="A19" s="641">
        <v>14</v>
      </c>
      <c r="B19" s="996" t="s">
        <v>2417</v>
      </c>
      <c r="C19" s="996" t="s">
        <v>2418</v>
      </c>
      <c r="D19" s="996" t="s">
        <v>2415</v>
      </c>
      <c r="E19" s="996" t="s">
        <v>2419</v>
      </c>
      <c r="F19" s="641">
        <v>14</v>
      </c>
      <c r="G19" s="996" t="s">
        <v>2401</v>
      </c>
      <c r="H19" s="996" t="s">
        <v>2402</v>
      </c>
      <c r="I19" s="996" t="s">
        <v>2404</v>
      </c>
      <c r="J19" s="996" t="s">
        <v>2403</v>
      </c>
      <c r="L19" s="2"/>
      <c r="M19" s="309"/>
      <c r="N19" s="309"/>
      <c r="O19" s="309"/>
      <c r="P19" s="309"/>
      <c r="Q19" s="2"/>
      <c r="R19" s="309"/>
      <c r="S19" s="309"/>
      <c r="T19" s="309"/>
      <c r="U19" s="2"/>
    </row>
    <row r="20" spans="1:21" s="997" customFormat="1" ht="20.399999999999999" x14ac:dyDescent="0.2">
      <c r="A20" s="641">
        <v>15</v>
      </c>
      <c r="B20" s="996" t="s">
        <v>2465</v>
      </c>
      <c r="C20" s="996" t="s">
        <v>2466</v>
      </c>
      <c r="D20" s="996" t="s">
        <v>2403</v>
      </c>
      <c r="E20" s="996" t="s">
        <v>2467</v>
      </c>
      <c r="F20" s="641">
        <v>15</v>
      </c>
      <c r="G20" s="996" t="s">
        <v>2468</v>
      </c>
      <c r="H20" s="996" t="s">
        <v>2418</v>
      </c>
      <c r="I20" s="996" t="s">
        <v>2419</v>
      </c>
      <c r="J20" s="641" t="s">
        <v>2408</v>
      </c>
      <c r="L20" s="2"/>
      <c r="M20" s="309"/>
      <c r="N20" s="309"/>
      <c r="O20" s="309"/>
      <c r="P20" s="309"/>
      <c r="Q20" s="2"/>
      <c r="R20" s="309"/>
      <c r="S20" s="309"/>
      <c r="T20" s="309"/>
      <c r="U20" s="2"/>
    </row>
    <row r="21" spans="1:21" s="997" customFormat="1" ht="30.6" x14ac:dyDescent="0.2">
      <c r="A21" s="641">
        <v>16</v>
      </c>
      <c r="B21" s="996" t="s">
        <v>2449</v>
      </c>
      <c r="C21" s="996" t="s">
        <v>2469</v>
      </c>
      <c r="D21" s="996" t="s">
        <v>2415</v>
      </c>
      <c r="E21" s="996" t="s">
        <v>2451</v>
      </c>
      <c r="F21" s="641">
        <v>16</v>
      </c>
      <c r="G21" s="996" t="s">
        <v>2470</v>
      </c>
      <c r="H21" s="996" t="s">
        <v>2471</v>
      </c>
      <c r="I21" s="996" t="s">
        <v>2411</v>
      </c>
      <c r="J21" s="996" t="s">
        <v>2403</v>
      </c>
      <c r="L21" s="2"/>
      <c r="M21" s="309"/>
      <c r="N21" s="309"/>
      <c r="O21" s="309"/>
      <c r="P21" s="309"/>
      <c r="Q21" s="2"/>
      <c r="R21" s="309"/>
      <c r="S21" s="309"/>
      <c r="T21" s="309"/>
      <c r="U21" s="2"/>
    </row>
    <row r="22" spans="1:21" s="997" customFormat="1" ht="20.399999999999999" x14ac:dyDescent="0.2">
      <c r="A22" s="641">
        <v>17</v>
      </c>
      <c r="B22" s="996" t="s">
        <v>2472</v>
      </c>
      <c r="C22" s="996" t="s">
        <v>2426</v>
      </c>
      <c r="D22" s="996" t="s">
        <v>2403</v>
      </c>
      <c r="E22" s="996" t="s">
        <v>2427</v>
      </c>
      <c r="F22" s="641">
        <v>17</v>
      </c>
      <c r="G22" s="996" t="s">
        <v>2473</v>
      </c>
      <c r="H22" s="996" t="s">
        <v>2418</v>
      </c>
      <c r="I22" s="996" t="s">
        <v>2419</v>
      </c>
      <c r="J22" s="641" t="s">
        <v>2474</v>
      </c>
      <c r="L22" s="2"/>
      <c r="M22" s="309"/>
      <c r="N22" s="309"/>
      <c r="O22" s="309"/>
      <c r="P22" s="309"/>
      <c r="Q22" s="2"/>
      <c r="R22" s="309"/>
      <c r="S22" s="309"/>
      <c r="T22" s="309"/>
      <c r="U22" s="2"/>
    </row>
    <row r="23" spans="1:21" s="997" customFormat="1" ht="30.6" x14ac:dyDescent="0.2">
      <c r="A23" s="641">
        <v>18</v>
      </c>
      <c r="B23" s="996" t="s">
        <v>2475</v>
      </c>
      <c r="C23" s="996" t="s">
        <v>2418</v>
      </c>
      <c r="D23" s="996" t="s">
        <v>2474</v>
      </c>
      <c r="E23" s="996" t="s">
        <v>2419</v>
      </c>
      <c r="F23" s="641">
        <v>18</v>
      </c>
      <c r="G23" s="996" t="s">
        <v>2476</v>
      </c>
      <c r="H23" s="996" t="s">
        <v>2463</v>
      </c>
      <c r="I23" s="996" t="s">
        <v>2464</v>
      </c>
      <c r="J23" s="996" t="s">
        <v>2408</v>
      </c>
      <c r="L23" s="2"/>
      <c r="M23" s="309"/>
      <c r="N23" s="309"/>
      <c r="O23" s="309"/>
      <c r="P23" s="309"/>
      <c r="Q23" s="2"/>
      <c r="R23" s="309"/>
      <c r="S23" s="309"/>
      <c r="T23" s="309"/>
      <c r="U23" s="2"/>
    </row>
    <row r="24" spans="1:21" s="997" customFormat="1" ht="20.399999999999999" x14ac:dyDescent="0.2">
      <c r="A24" s="641">
        <v>19</v>
      </c>
      <c r="B24" s="996" t="s">
        <v>2477</v>
      </c>
      <c r="C24" s="996" t="s">
        <v>2478</v>
      </c>
      <c r="D24" s="996" t="s">
        <v>2415</v>
      </c>
      <c r="E24" s="996" t="s">
        <v>2479</v>
      </c>
      <c r="F24" s="641">
        <v>19</v>
      </c>
      <c r="G24" s="996" t="s">
        <v>2425</v>
      </c>
      <c r="H24" s="996" t="s">
        <v>2426</v>
      </c>
      <c r="I24" s="996" t="s">
        <v>2427</v>
      </c>
      <c r="J24" s="996" t="s">
        <v>2403</v>
      </c>
      <c r="L24" s="2"/>
      <c r="M24" s="309"/>
      <c r="N24" s="309"/>
      <c r="O24" s="309"/>
      <c r="P24" s="309"/>
      <c r="Q24" s="2"/>
      <c r="R24" s="309"/>
      <c r="S24" s="309"/>
      <c r="T24" s="309"/>
      <c r="U24" s="2"/>
    </row>
    <row r="25" spans="1:21" s="997" customFormat="1" ht="20.399999999999999" x14ac:dyDescent="0.2">
      <c r="A25" s="641">
        <v>20</v>
      </c>
      <c r="B25" s="996" t="s">
        <v>2480</v>
      </c>
      <c r="C25" s="996" t="s">
        <v>2418</v>
      </c>
      <c r="D25" s="996" t="s">
        <v>2408</v>
      </c>
      <c r="E25" s="996" t="s">
        <v>2419</v>
      </c>
      <c r="F25" s="641">
        <v>20</v>
      </c>
      <c r="G25" s="996" t="s">
        <v>2481</v>
      </c>
      <c r="H25" s="996" t="s">
        <v>2482</v>
      </c>
      <c r="I25" s="996" t="s">
        <v>2483</v>
      </c>
      <c r="J25" s="996" t="s">
        <v>2408</v>
      </c>
      <c r="L25" s="2"/>
      <c r="M25" s="309"/>
      <c r="N25" s="309"/>
      <c r="O25" s="309"/>
      <c r="P25" s="309"/>
      <c r="Q25" s="2"/>
      <c r="R25" s="309"/>
      <c r="S25" s="309"/>
      <c r="T25" s="309"/>
      <c r="U25" s="2"/>
    </row>
    <row r="26" spans="1:21" s="997" customFormat="1" ht="30.6" x14ac:dyDescent="0.2">
      <c r="A26" s="641">
        <v>21</v>
      </c>
      <c r="B26" s="996" t="s">
        <v>2484</v>
      </c>
      <c r="C26" s="996" t="s">
        <v>2485</v>
      </c>
      <c r="D26" s="996" t="s">
        <v>2486</v>
      </c>
      <c r="E26" s="996" t="s">
        <v>2487</v>
      </c>
      <c r="F26" s="641">
        <v>21</v>
      </c>
      <c r="G26" s="996" t="s">
        <v>2435</v>
      </c>
      <c r="H26" s="996" t="s">
        <v>2488</v>
      </c>
      <c r="I26" s="996" t="s">
        <v>2437</v>
      </c>
      <c r="J26" s="641" t="s">
        <v>2489</v>
      </c>
      <c r="L26" s="2"/>
      <c r="M26" s="309"/>
      <c r="N26" s="309"/>
      <c r="O26" s="309"/>
      <c r="P26" s="309"/>
      <c r="Q26" s="2"/>
      <c r="R26" s="309"/>
      <c r="S26" s="309"/>
      <c r="T26" s="309"/>
      <c r="U26" s="2"/>
    </row>
    <row r="27" spans="1:21" s="997" customFormat="1" ht="30.6" x14ac:dyDescent="0.2">
      <c r="A27" s="641">
        <v>22</v>
      </c>
      <c r="B27" s="996" t="s">
        <v>2490</v>
      </c>
      <c r="C27" s="996" t="s">
        <v>2491</v>
      </c>
      <c r="D27" s="996" t="s">
        <v>2415</v>
      </c>
      <c r="E27" s="996" t="s">
        <v>2492</v>
      </c>
      <c r="F27" s="641">
        <v>22</v>
      </c>
      <c r="G27" s="996" t="s">
        <v>2493</v>
      </c>
      <c r="H27" s="996" t="s">
        <v>2494</v>
      </c>
      <c r="I27" s="996" t="s">
        <v>2495</v>
      </c>
      <c r="J27" s="996" t="s">
        <v>2408</v>
      </c>
      <c r="L27" s="2"/>
      <c r="M27" s="309"/>
      <c r="N27" s="309"/>
      <c r="O27" s="309"/>
      <c r="P27" s="309"/>
      <c r="Q27" s="2"/>
      <c r="R27" s="309"/>
      <c r="S27" s="309"/>
      <c r="T27" s="309"/>
      <c r="U27" s="2"/>
    </row>
    <row r="28" spans="1:21" s="997" customFormat="1" ht="51" x14ac:dyDescent="0.2">
      <c r="A28" s="641">
        <v>23</v>
      </c>
      <c r="B28" s="996" t="s">
        <v>2496</v>
      </c>
      <c r="C28" s="996" t="s">
        <v>2497</v>
      </c>
      <c r="D28" s="996" t="s">
        <v>2498</v>
      </c>
      <c r="E28" s="996" t="s">
        <v>2499</v>
      </c>
      <c r="F28" s="641">
        <v>23</v>
      </c>
      <c r="G28" s="996" t="s">
        <v>2500</v>
      </c>
      <c r="H28" s="996" t="s">
        <v>2501</v>
      </c>
      <c r="I28" s="996" t="s">
        <v>2502</v>
      </c>
      <c r="J28" s="641" t="s">
        <v>2415</v>
      </c>
      <c r="L28" s="2"/>
      <c r="M28" s="309"/>
      <c r="N28" s="309"/>
      <c r="O28" s="309"/>
      <c r="P28" s="309"/>
      <c r="Q28" s="2"/>
      <c r="R28" s="309"/>
      <c r="S28" s="309"/>
      <c r="T28" s="309"/>
      <c r="U28" s="2"/>
    </row>
    <row r="29" spans="1:21" s="997" customFormat="1" ht="20.399999999999999" x14ac:dyDescent="0.2">
      <c r="A29" s="641">
        <v>24</v>
      </c>
      <c r="B29" s="996" t="s">
        <v>2503</v>
      </c>
      <c r="C29" s="996" t="s">
        <v>2504</v>
      </c>
      <c r="D29" s="996" t="s">
        <v>2415</v>
      </c>
      <c r="E29" s="996" t="s">
        <v>2505</v>
      </c>
      <c r="F29" s="641">
        <v>24</v>
      </c>
      <c r="G29" s="996" t="s">
        <v>2506</v>
      </c>
      <c r="H29" s="996" t="s">
        <v>2507</v>
      </c>
      <c r="I29" s="996" t="s">
        <v>2495</v>
      </c>
      <c r="J29" s="996" t="s">
        <v>2408</v>
      </c>
      <c r="L29" s="2"/>
      <c r="M29" s="309"/>
      <c r="N29" s="309"/>
      <c r="O29" s="309"/>
      <c r="P29" s="309"/>
      <c r="Q29" s="2"/>
      <c r="R29" s="309"/>
      <c r="S29" s="309"/>
      <c r="T29" s="309"/>
      <c r="U29" s="2"/>
    </row>
    <row r="30" spans="1:21" s="997" customFormat="1" ht="20.399999999999999" x14ac:dyDescent="0.2">
      <c r="A30" s="641">
        <v>25</v>
      </c>
      <c r="B30" s="996" t="s">
        <v>2508</v>
      </c>
      <c r="C30" s="996" t="s">
        <v>2426</v>
      </c>
      <c r="D30" s="996" t="s">
        <v>2403</v>
      </c>
      <c r="E30" s="996" t="s">
        <v>2427</v>
      </c>
      <c r="F30" s="641">
        <v>25</v>
      </c>
      <c r="G30" s="996" t="s">
        <v>2509</v>
      </c>
      <c r="H30" s="996" t="s">
        <v>2426</v>
      </c>
      <c r="I30" s="996" t="s">
        <v>2427</v>
      </c>
      <c r="J30" s="996" t="s">
        <v>2403</v>
      </c>
      <c r="L30" s="2"/>
      <c r="M30" s="309"/>
      <c r="N30" s="309"/>
      <c r="O30" s="309"/>
      <c r="P30" s="309"/>
      <c r="Q30" s="2"/>
      <c r="R30" s="309"/>
      <c r="S30" s="309"/>
      <c r="T30" s="309"/>
      <c r="U30" s="2"/>
    </row>
    <row r="31" spans="1:21" s="2" customFormat="1" ht="10.199999999999999" x14ac:dyDescent="0.2">
      <c r="A31" s="998"/>
      <c r="B31" s="999"/>
      <c r="C31" s="999"/>
      <c r="D31" s="1000"/>
    </row>
    <row r="32" spans="1:21" s="2" customFormat="1" ht="10.199999999999999" x14ac:dyDescent="0.2">
      <c r="A32" s="715" t="s">
        <v>2273</v>
      </c>
      <c r="B32" s="715"/>
      <c r="C32" s="715"/>
      <c r="D32" s="715"/>
      <c r="E32" s="715"/>
      <c r="F32" s="715"/>
      <c r="G32" s="715"/>
      <c r="H32" s="715"/>
      <c r="I32" s="715"/>
      <c r="J32" s="715"/>
    </row>
    <row r="33" s="2" customFormat="1" ht="10.199999999999999" x14ac:dyDescent="0.2"/>
    <row r="34" s="2" customFormat="1" ht="10.199999999999999" x14ac:dyDescent="0.2"/>
    <row r="35" s="2" customFormat="1" ht="10.199999999999999" x14ac:dyDescent="0.2"/>
    <row r="36" s="2" customFormat="1" ht="10.199999999999999" x14ac:dyDescent="0.2"/>
  </sheetData>
  <mergeCells count="4">
    <mergeCell ref="A2:J2"/>
    <mergeCell ref="A4:E4"/>
    <mergeCell ref="F4:J4"/>
    <mergeCell ref="A32:J32"/>
  </mergeCells>
  <pageMargins left="0.7" right="0.7" top="0.75" bottom="0.75" header="0.3" footer="0.3"/>
  <pageSetup paperSize="14" scale="70" orientation="portrait" r:id="rId1"/>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3751A-36D3-46DC-B7A3-CECC818678AF}">
  <sheetPr codeName="Hoja189">
    <tabColor theme="8"/>
  </sheetPr>
  <dimension ref="A2:A23"/>
  <sheetViews>
    <sheetView workbookViewId="0">
      <selection activeCell="B34" sqref="B34"/>
    </sheetView>
  </sheetViews>
  <sheetFormatPr baseColWidth="10" defaultColWidth="11.44140625" defaultRowHeight="10.199999999999999" x14ac:dyDescent="0.2"/>
  <cols>
    <col min="1" max="16384" width="11.44140625" style="24"/>
  </cols>
  <sheetData>
    <row r="2" spans="1:1" x14ac:dyDescent="0.2">
      <c r="A2" s="24" t="s">
        <v>2510</v>
      </c>
    </row>
    <row r="4" spans="1:1" x14ac:dyDescent="0.2">
      <c r="A4" s="24" t="s">
        <v>2511</v>
      </c>
    </row>
    <row r="6" spans="1:1" x14ac:dyDescent="0.2">
      <c r="A6" s="182" t="s">
        <v>2512</v>
      </c>
    </row>
    <row r="7" spans="1:1" x14ac:dyDescent="0.2">
      <c r="A7" s="182" t="s">
        <v>2513</v>
      </c>
    </row>
    <row r="8" spans="1:1" x14ac:dyDescent="0.2">
      <c r="A8" s="182" t="s">
        <v>2514</v>
      </c>
    </row>
    <row r="9" spans="1:1" x14ac:dyDescent="0.2">
      <c r="A9" s="182" t="s">
        <v>2515</v>
      </c>
    </row>
    <row r="10" spans="1:1" x14ac:dyDescent="0.2">
      <c r="A10" s="182" t="s">
        <v>2516</v>
      </c>
    </row>
    <row r="11" spans="1:1" x14ac:dyDescent="0.2">
      <c r="A11" s="182" t="s">
        <v>2517</v>
      </c>
    </row>
    <row r="12" spans="1:1" x14ac:dyDescent="0.2">
      <c r="A12" s="182" t="s">
        <v>2518</v>
      </c>
    </row>
    <row r="13" spans="1:1" x14ac:dyDescent="0.2">
      <c r="A13" s="182" t="s">
        <v>2519</v>
      </c>
    </row>
    <row r="14" spans="1:1" x14ac:dyDescent="0.2">
      <c r="A14" s="182" t="s">
        <v>2520</v>
      </c>
    </row>
    <row r="15" spans="1:1" x14ac:dyDescent="0.2">
      <c r="A15" s="182" t="s">
        <v>2521</v>
      </c>
    </row>
    <row r="16" spans="1:1" x14ac:dyDescent="0.2">
      <c r="A16" s="182" t="s">
        <v>2522</v>
      </c>
    </row>
    <row r="17" spans="1:1" x14ac:dyDescent="0.2">
      <c r="A17" s="182" t="s">
        <v>2523</v>
      </c>
    </row>
    <row r="18" spans="1:1" x14ac:dyDescent="0.2">
      <c r="A18" s="182" t="s">
        <v>2524</v>
      </c>
    </row>
    <row r="19" spans="1:1" x14ac:dyDescent="0.2">
      <c r="A19" s="182" t="s">
        <v>2525</v>
      </c>
    </row>
    <row r="20" spans="1:1" x14ac:dyDescent="0.2">
      <c r="A20" s="182" t="s">
        <v>2526</v>
      </c>
    </row>
    <row r="21" spans="1:1" x14ac:dyDescent="0.2">
      <c r="A21" s="182" t="s">
        <v>2527</v>
      </c>
    </row>
    <row r="22" spans="1:1" x14ac:dyDescent="0.2">
      <c r="A22" s="182" t="s">
        <v>2528</v>
      </c>
    </row>
    <row r="23" spans="1:1" x14ac:dyDescent="0.2">
      <c r="A23" s="182" t="s">
        <v>2529</v>
      </c>
    </row>
  </sheetData>
  <hyperlinks>
    <hyperlink ref="A6" location="'3.6.1-01'!A1" display="CUADRO 3.6.1-01: RED DE BIBLIOTECAS PÚBLICAS, NÚMERO DE BIBLIOTECAS DEPENDIENTES O EN CONVENIOS CON LA DIRECCIÓN DE BIBLIOTECAS, ARCHIVOS Y MUSEOS (DIBAM), SEGÚN REGIÓN. 2013" xr:uid="{D2ED75AD-BD64-4C5D-BF11-F7C225543192}"/>
    <hyperlink ref="A7" location="'3.6.1-02'!A1" display="CUADRO: 3.6.1-02: NÚMERO DE SERVICIOS MÓVILES DE LA DIRECCIÓN DE BIBLIOTECAS, ARCHIVOS Y MUSEOS (DIBAM), SEGÚN REGIÓN. 2009-2013" xr:uid="{832C52B3-EEAF-4095-AB83-63924925DADD}"/>
    <hyperlink ref="A8" location="'3.6.1-03'!A1" display="CUADRO 3.6.1-03: NÚMERO DE BIBLIOTECAS PÚBLICAS DE LA DIRECCIÓN DE BIBLIOTECAS, ARCHIVOS Y MUSEOS (DIBAM) CON ACCESO GRATUITO A INTERNET. 2009-2013" xr:uid="{1976F4F7-9D27-4BEE-96A7-A0AB753A9408}"/>
    <hyperlink ref="A9" location="'3.6.1-04'!A1" display="CUADRO 3.6.1-04: NÚMERO DE TÍTULOS (OBRAS) Y EJEMPLARES COMPRADOS EN EL SISTEMA NACIONAL DE BIBLIOTECAS PUBLICAS PARA LAS BIBLIOTECAS PÚBLICAS DE  LA DIRECCIÓN DE BIBLIOTECAS, ARCHIVOS Y MUSEOS (DIBAM). 2013" xr:uid="{7FD992FE-32F1-4654-8CC8-C6DFB9543FB8}"/>
    <hyperlink ref="A10" location="'3.6.1-05'!A1" display="CUADRO 3.6.1-05: NÚMERO DE EJEMPLARES INGRESADOS EN BIBLIOTECAS PÚBLICAS DE LA DIRECCIÓN DE BIBLIOTECAS, ARCHIVOS Y MUSEOS (DIBAM), SEGÚN TIPO DE COLECCIÓN. 2010-2013" xr:uid="{C7551C2A-0B25-416A-9F38-F74186363C89}"/>
    <hyperlink ref="A11" location="'3.6.1-06'!A1" display="CUADRO 3.6.1-06: NÚMERO DE EJEMPLARES EN BIBLIOTECAS PÚBLICAS DE LA DIRECCIÓN DE BIBLIOTECAS, ARCHIVOS Y MUSEOS (DIBAM), SEGÚN MATERIA. 2010-2013" xr:uid="{48E5549C-E68A-468F-AA27-0F44E4653B9F}"/>
    <hyperlink ref="A12" location="'3.6.1-07'!A1" display="CUADRO 3.6.1-07: NÚMERO DE EJEMPLARES EN BIBLIOTECAS PÚBLICAS DE LA DIRECCIÓN DE BIBLIOTECAS, ARCHIVOS Y MUSEOS (DIBAM), SEGÚN COLECCIÓN. 2010-2013" xr:uid="{043A9F94-318C-47EE-BB6F-3A472979A2A7}"/>
    <hyperlink ref="A13" location="'3.6.1-08'!A1" display="CUADRO 3.6.1-08: NÚMERO DE PÁGINAS DIGITALIZADAS Y PUBLICADAS Y TEMAS PUBLICADOS EN EL PORTAL WWW.MEMORIACHILENA.CL. 2009-2013" xr:uid="{76070C75-6D09-4754-A1C6-23D449824839}"/>
    <hyperlink ref="A14" location="'3.6.1-09'!A1" display="CUADRO 3.6.1-09: NÚMERO DE USUARIOS REGISTRADOS EN BIBLIOTECAS PÚBLICAS Y BIBLIOREDES. 2009-2013" xr:uid="{E6110B4D-497C-4C5E-B3C7-9D678F4A7901}"/>
    <hyperlink ref="A15" location="'3.6.1-10'!A1" display="CUADRO 3.6.1-10: NÚMERO DE SESIONES DE ACCESO GRATUITO A INTERNET EN LAS BIBLIOTECAS PÚBLICAS DE LA DIRECCIÓN DE BIBLIOTECAS, ARCHIVOS Y MUSEOS (DIBAM). 2009-2013" xr:uid="{66174D61-0CDB-462C-86FB-86BFA379F680}"/>
    <hyperlink ref="A16" location="'3.6.1-11'!A1" display="CUADRO 3.6.1-11: NÚMERO DE VISITAS A PORTALES DE BIBLIOREDES. 2013/a" xr:uid="{1011632D-9B48-42AA-A84D-4D6E9324813E}"/>
    <hyperlink ref="A17" location="'3.6.1-12'!A1" display="CUADRO 3.6.1-12: NÚMERO DE CONSULTAS POR INTERNET A SITIOS WEB DE LA DIRECCIÓN DE BIBLIOTECAS, ARCHIVOS Y MUSEOS (DIBAM). 2009-2013" xr:uid="{AB72F581-7556-4564-BF59-226ECE212759}"/>
    <hyperlink ref="A18" location="'3.6.1-13'!A1" display="CUADRO 3.6.1-13: NÚMERO DE VISITANTES ESTIMADOS Y ARCHIVOS DESCARGADOS DESDE SITIOS WEB DE LA DIRECCIÓN DE BIBLIOTECAS, ARCHIVOS Y MUSEOS (DIBAM), SEGÚN SITIO WEB. 2009-2013" xr:uid="{B89DC948-5A50-4E02-9B72-19FFE13F3619}"/>
    <hyperlink ref="A19" location="'3.6.1-14'!A1" display="CUADRO 3.6.1-14: NÚMERO DE USUARIOS DE BIBLIOTECAS PÚBLICAS DE LA DIRECCIÓN DE BIBLIOTECAS, ARCHIVOS Y MUSEOS (DIBAM) QUE CIRCULAN AUTOMATIZADAS POR GRUPOS DE EDAD, SEGÚN REGIÓN. 2013" xr:uid="{C212629C-205E-46C8-B487-B317D4DD5D29}"/>
    <hyperlink ref="A20" location="'3.6.1-15'!A1" display="CUADRO 3.6.1-15: NÚMERO DE USUARIOS DE BIBLIOTECA NACIONAL, BIBLIOTECA DE SANTIAGO, BIBLIOMETRO. 2009-2013" xr:uid="{EF0E5C11-042D-47AC-ACA2-836D3E68A53C}"/>
    <hyperlink ref="A21" location="'3.6.1-16'!A1" display="CUADRO 3.6.1-16: PRÉSTAMOS DE MATERIAL BIBLIOGRÁFICO DE BIBLIOTECAS PÚBLICAS DE LA DIRECCIÓN DE BIBLIOTECAS, ARCHIVOS Y MUSEOS (DIBAM)A DOMICILIO, SEGÚN REGIÓN. 2009-2013/a" xr:uid="{C7B0FD58-E6C9-4C05-B76F-301F8365D2B1}"/>
    <hyperlink ref="A22" location="'3.6.1-17'!A1" display="CUADRO 3.6.1-17: PRÉSTAMOS DE MATERIAL BIBLIOGRÁFICO DE BIBLIOTECAS PÚBLICAS DE LA DIRECCIÓN DE BIBLIOTECAS, ARCHIVOS Y MUSEOS (DIBAM) A DOMICILIO, SEGÚN MES. 2009-2013/a" xr:uid="{6A5AA019-1A3E-4154-863B-68797B888D3F}"/>
    <hyperlink ref="A23" location="'3.6.1-18'!A1" display="CUADRO 3.6.1-18: PRÉSTAMOS DE MATERIAL BIBLIOGRÁFICO EN FORMATO DIGITAL, SEGÚN REGIÓN. 2013/a" xr:uid="{AC01E76C-F04B-4DF0-B430-0081DA81E47E}"/>
  </hyperlinks>
  <pageMargins left="0.7" right="0.7" top="0.75" bottom="0.75" header="0.3" footer="0.3"/>
  <pageSetup paperSize="14"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86AD5C-5279-4E37-84E1-F0AAE25F6D8D}">
  <sheetPr codeName="Hoja19"/>
  <dimension ref="A2:E75"/>
  <sheetViews>
    <sheetView workbookViewId="0">
      <selection activeCell="E20" sqref="E20"/>
    </sheetView>
  </sheetViews>
  <sheetFormatPr baseColWidth="10" defaultColWidth="11.44140625" defaultRowHeight="10.199999999999999" x14ac:dyDescent="0.2"/>
  <cols>
    <col min="1" max="1" width="60" style="62" customWidth="1"/>
    <col min="2" max="2" width="19.44140625" style="62" customWidth="1"/>
    <col min="3" max="3" width="20" style="62" customWidth="1"/>
    <col min="4" max="16384" width="11.44140625" style="62"/>
  </cols>
  <sheetData>
    <row r="2" spans="1:3" ht="28.5" customHeight="1" x14ac:dyDescent="0.2">
      <c r="A2" s="193" t="s">
        <v>315</v>
      </c>
      <c r="B2" s="193"/>
      <c r="C2" s="193"/>
    </row>
    <row r="3" spans="1:3" x14ac:dyDescent="0.2">
      <c r="A3" s="129"/>
      <c r="B3" s="129"/>
      <c r="C3" s="129"/>
    </row>
    <row r="4" spans="1:3" ht="34.5" customHeight="1" x14ac:dyDescent="0.2">
      <c r="A4" s="159" t="s">
        <v>316</v>
      </c>
      <c r="B4" s="159" t="s">
        <v>317</v>
      </c>
      <c r="C4" s="159" t="s">
        <v>318</v>
      </c>
    </row>
    <row r="5" spans="1:3" x14ac:dyDescent="0.2">
      <c r="A5" s="194" t="s">
        <v>319</v>
      </c>
      <c r="B5" s="195">
        <f>SUM(B6+B23+B40+B46+B56+B61+B66)</f>
        <v>1291989244.25</v>
      </c>
      <c r="C5" s="195">
        <f>SUM(C6+C23+C40+C46+C56+C61+C66)</f>
        <v>128937347.89000002</v>
      </c>
    </row>
    <row r="6" spans="1:3" x14ac:dyDescent="0.2">
      <c r="A6" s="116" t="s">
        <v>24</v>
      </c>
      <c r="B6" s="196">
        <f>SUM(B7)</f>
        <v>19140294.359999999</v>
      </c>
      <c r="C6" s="196">
        <f>SUM(C7)</f>
        <v>36278390.930000015</v>
      </c>
    </row>
    <row r="7" spans="1:3" s="63" customFormat="1" x14ac:dyDescent="0.2">
      <c r="A7" s="118" t="s">
        <v>24</v>
      </c>
      <c r="B7" s="196">
        <f>SUM(B8:B22)</f>
        <v>19140294.359999999</v>
      </c>
      <c r="C7" s="196">
        <f>SUM(C8:C22)</f>
        <v>36278390.930000015</v>
      </c>
    </row>
    <row r="8" spans="1:3" x14ac:dyDescent="0.2">
      <c r="A8" s="197" t="s">
        <v>320</v>
      </c>
      <c r="B8" s="198">
        <v>5485925.0299999993</v>
      </c>
      <c r="C8" s="198">
        <v>16100686.630000001</v>
      </c>
    </row>
    <row r="9" spans="1:3" x14ac:dyDescent="0.2">
      <c r="A9" s="197" t="s">
        <v>321</v>
      </c>
      <c r="B9" s="198">
        <v>81190.61</v>
      </c>
      <c r="C9" s="198">
        <v>16113826.74</v>
      </c>
    </row>
    <row r="10" spans="1:3" x14ac:dyDescent="0.2">
      <c r="A10" s="197" t="s">
        <v>322</v>
      </c>
      <c r="B10" s="198">
        <v>3499.74</v>
      </c>
      <c r="C10" s="198">
        <v>496920.82999999996</v>
      </c>
    </row>
    <row r="11" spans="1:3" x14ac:dyDescent="0.2">
      <c r="A11" s="197" t="s">
        <v>323</v>
      </c>
      <c r="B11" s="198">
        <v>2063423.58</v>
      </c>
      <c r="C11" s="198">
        <v>31320.71</v>
      </c>
    </row>
    <row r="12" spans="1:3" x14ac:dyDescent="0.2">
      <c r="A12" s="197" t="s">
        <v>324</v>
      </c>
      <c r="B12" s="198">
        <v>285513.8</v>
      </c>
      <c r="C12" s="198">
        <v>249911.6</v>
      </c>
    </row>
    <row r="13" spans="1:3" x14ac:dyDescent="0.2">
      <c r="A13" s="197" t="s">
        <v>325</v>
      </c>
      <c r="B13" s="198">
        <v>96079.69</v>
      </c>
      <c r="C13" s="198">
        <v>18752.780000000002</v>
      </c>
    </row>
    <row r="14" spans="1:3" x14ac:dyDescent="0.2">
      <c r="A14" s="197" t="s">
        <v>326</v>
      </c>
      <c r="B14" s="198">
        <v>179720.07</v>
      </c>
      <c r="C14" s="198">
        <v>615297.43999999994</v>
      </c>
    </row>
    <row r="15" spans="1:3" x14ac:dyDescent="0.2">
      <c r="A15" s="197" t="s">
        <v>327</v>
      </c>
      <c r="B15" s="198">
        <v>3458127.9999999995</v>
      </c>
      <c r="C15" s="198">
        <v>4794.59</v>
      </c>
    </row>
    <row r="16" spans="1:3" x14ac:dyDescent="0.2">
      <c r="A16" s="197" t="s">
        <v>328</v>
      </c>
      <c r="B16" s="198">
        <v>156848.09</v>
      </c>
      <c r="C16" s="198">
        <v>36672.06</v>
      </c>
    </row>
    <row r="17" spans="1:3" x14ac:dyDescent="0.2">
      <c r="A17" s="197" t="s">
        <v>329</v>
      </c>
      <c r="B17" s="198">
        <v>331121.07999999996</v>
      </c>
      <c r="C17" s="198">
        <v>585630.75</v>
      </c>
    </row>
    <row r="18" spans="1:3" x14ac:dyDescent="0.2">
      <c r="A18" s="197" t="s">
        <v>330</v>
      </c>
      <c r="B18" s="198">
        <v>2710529.3699999996</v>
      </c>
      <c r="C18" s="198">
        <v>24511.699999999997</v>
      </c>
    </row>
    <row r="19" spans="1:3" x14ac:dyDescent="0.2">
      <c r="A19" s="197" t="s">
        <v>331</v>
      </c>
      <c r="B19" s="198">
        <v>833860.34000000032</v>
      </c>
      <c r="C19" s="198">
        <v>1593733.24</v>
      </c>
    </row>
    <row r="20" spans="1:3" x14ac:dyDescent="0.2">
      <c r="A20" s="197" t="s">
        <v>332</v>
      </c>
      <c r="B20" s="198">
        <v>1336377.27</v>
      </c>
      <c r="C20" s="198">
        <v>404569.3</v>
      </c>
    </row>
    <row r="21" spans="1:3" x14ac:dyDescent="0.2">
      <c r="A21" s="197" t="s">
        <v>333</v>
      </c>
      <c r="B21" s="198">
        <v>979715.08000000007</v>
      </c>
      <c r="C21" s="198">
        <v>1762.56</v>
      </c>
    </row>
    <row r="22" spans="1:3" x14ac:dyDescent="0.2">
      <c r="A22" s="197" t="s">
        <v>334</v>
      </c>
      <c r="B22" s="198">
        <v>1138362.6099999999</v>
      </c>
      <c r="C22" s="198">
        <v>0</v>
      </c>
    </row>
    <row r="23" spans="1:3" x14ac:dyDescent="0.2">
      <c r="A23" s="116" t="s">
        <v>310</v>
      </c>
      <c r="B23" s="196">
        <f>SUM(B24+B31)</f>
        <v>189938052.78000003</v>
      </c>
      <c r="C23" s="196">
        <f>SUM(C24+C31)</f>
        <v>5784790.4399999995</v>
      </c>
    </row>
    <row r="24" spans="1:3" s="63" customFormat="1" x14ac:dyDescent="0.2">
      <c r="A24" s="118" t="s">
        <v>56</v>
      </c>
      <c r="B24" s="196">
        <f>SUM(B25:B30)</f>
        <v>21223201.09</v>
      </c>
      <c r="C24" s="196">
        <f>SUM(C25:C30)</f>
        <v>1463028.1099999999</v>
      </c>
    </row>
    <row r="25" spans="1:3" x14ac:dyDescent="0.2">
      <c r="A25" s="197" t="s">
        <v>335</v>
      </c>
      <c r="B25" s="198">
        <v>2282575.1299999994</v>
      </c>
      <c r="C25" s="198">
        <v>409067.81</v>
      </c>
    </row>
    <row r="26" spans="1:3" x14ac:dyDescent="0.2">
      <c r="A26" s="197" t="s">
        <v>336</v>
      </c>
      <c r="B26" s="198">
        <v>695883.76</v>
      </c>
      <c r="C26" s="198">
        <v>12551.04</v>
      </c>
    </row>
    <row r="27" spans="1:3" x14ac:dyDescent="0.2">
      <c r="A27" s="197" t="s">
        <v>337</v>
      </c>
      <c r="B27" s="198">
        <v>2592871.44</v>
      </c>
      <c r="C27" s="198">
        <v>329010.25</v>
      </c>
    </row>
    <row r="28" spans="1:3" x14ac:dyDescent="0.2">
      <c r="A28" s="197" t="s">
        <v>338</v>
      </c>
      <c r="B28" s="198">
        <v>12809276.67</v>
      </c>
      <c r="C28" s="198">
        <v>438247.25999999989</v>
      </c>
    </row>
    <row r="29" spans="1:3" x14ac:dyDescent="0.2">
      <c r="A29" s="197" t="s">
        <v>339</v>
      </c>
      <c r="B29" s="198">
        <v>7035</v>
      </c>
      <c r="C29" s="198">
        <v>0</v>
      </c>
    </row>
    <row r="30" spans="1:3" x14ac:dyDescent="0.2">
      <c r="A30" s="197" t="s">
        <v>340</v>
      </c>
      <c r="B30" s="198">
        <v>2835559.09</v>
      </c>
      <c r="C30" s="198">
        <v>274151.74999999994</v>
      </c>
    </row>
    <row r="31" spans="1:3" s="63" customFormat="1" x14ac:dyDescent="0.2">
      <c r="A31" s="118" t="s">
        <v>25</v>
      </c>
      <c r="B31" s="196">
        <f>SUM(B32:B39)</f>
        <v>168714851.69000003</v>
      </c>
      <c r="C31" s="196">
        <f>SUM(C32:C39)</f>
        <v>4321762.3299999991</v>
      </c>
    </row>
    <row r="32" spans="1:3" x14ac:dyDescent="0.2">
      <c r="A32" s="197" t="s">
        <v>341</v>
      </c>
      <c r="B32" s="198">
        <v>78335615.410000026</v>
      </c>
      <c r="C32" s="198">
        <v>849181.07000000007</v>
      </c>
    </row>
    <row r="33" spans="1:3" x14ac:dyDescent="0.2">
      <c r="A33" s="197" t="s">
        <v>342</v>
      </c>
      <c r="B33" s="198">
        <v>31062912.190000009</v>
      </c>
      <c r="C33" s="198">
        <v>450592.05</v>
      </c>
    </row>
    <row r="34" spans="1:3" x14ac:dyDescent="0.2">
      <c r="A34" s="197" t="s">
        <v>343</v>
      </c>
      <c r="B34" s="198">
        <v>11300303.43</v>
      </c>
      <c r="C34" s="198">
        <v>234498.48</v>
      </c>
    </row>
    <row r="35" spans="1:3" x14ac:dyDescent="0.2">
      <c r="A35" s="197" t="s">
        <v>344</v>
      </c>
      <c r="B35" s="198">
        <v>4305725.7</v>
      </c>
      <c r="C35" s="198">
        <v>16546.54</v>
      </c>
    </row>
    <row r="36" spans="1:3" x14ac:dyDescent="0.2">
      <c r="A36" s="197" t="s">
        <v>345</v>
      </c>
      <c r="B36" s="198">
        <v>5627162.3700000001</v>
      </c>
      <c r="C36" s="198">
        <v>104506.65</v>
      </c>
    </row>
    <row r="37" spans="1:3" x14ac:dyDescent="0.2">
      <c r="A37" s="197" t="s">
        <v>346</v>
      </c>
      <c r="B37" s="198">
        <v>64549.05</v>
      </c>
      <c r="C37" s="198">
        <v>0</v>
      </c>
    </row>
    <row r="38" spans="1:3" x14ac:dyDescent="0.2">
      <c r="A38" s="197" t="s">
        <v>347</v>
      </c>
      <c r="B38" s="198">
        <v>21746693.579999998</v>
      </c>
      <c r="C38" s="198">
        <v>2421334.7099999995</v>
      </c>
    </row>
    <row r="39" spans="1:3" x14ac:dyDescent="0.2">
      <c r="A39" s="197" t="s">
        <v>348</v>
      </c>
      <c r="B39" s="198">
        <v>16271889.960000001</v>
      </c>
      <c r="C39" s="198">
        <v>245102.83000000002</v>
      </c>
    </row>
    <row r="40" spans="1:3" x14ac:dyDescent="0.2">
      <c r="A40" s="116" t="s">
        <v>29</v>
      </c>
      <c r="B40" s="196">
        <f>SUM(B41)</f>
        <v>133245983.23000002</v>
      </c>
      <c r="C40" s="196">
        <f>SUM(C41)</f>
        <v>1648957.2599999998</v>
      </c>
    </row>
    <row r="41" spans="1:3" s="63" customFormat="1" x14ac:dyDescent="0.2">
      <c r="A41" s="118" t="s">
        <v>30</v>
      </c>
      <c r="B41" s="196">
        <f>SUM(B42:B45)</f>
        <v>133245983.23000002</v>
      </c>
      <c r="C41" s="196">
        <f>SUM(C42:C45)</f>
        <v>1648957.2599999998</v>
      </c>
    </row>
    <row r="42" spans="1:3" x14ac:dyDescent="0.2">
      <c r="A42" s="197" t="s">
        <v>349</v>
      </c>
      <c r="B42" s="198">
        <v>33223.879999999997</v>
      </c>
      <c r="C42" s="198">
        <v>0</v>
      </c>
    </row>
    <row r="43" spans="1:3" x14ac:dyDescent="0.2">
      <c r="A43" s="197" t="s">
        <v>350</v>
      </c>
      <c r="B43" s="198">
        <v>27794953.810000002</v>
      </c>
      <c r="C43" s="198">
        <v>198800.96</v>
      </c>
    </row>
    <row r="44" spans="1:3" x14ac:dyDescent="0.2">
      <c r="A44" s="197" t="s">
        <v>351</v>
      </c>
      <c r="B44" s="198">
        <v>5710850.0499999998</v>
      </c>
      <c r="C44" s="198">
        <v>15727.650000000001</v>
      </c>
    </row>
    <row r="45" spans="1:3" x14ac:dyDescent="0.2">
      <c r="A45" s="197" t="s">
        <v>352</v>
      </c>
      <c r="B45" s="198">
        <v>99706955.49000001</v>
      </c>
      <c r="C45" s="198">
        <v>1434428.65</v>
      </c>
    </row>
    <row r="46" spans="1:3" x14ac:dyDescent="0.2">
      <c r="A46" s="116" t="s">
        <v>70</v>
      </c>
      <c r="B46" s="196">
        <f>SUM(B47+B49)</f>
        <v>427135356.33000004</v>
      </c>
      <c r="C46" s="196">
        <f>SUM(C47+C49)</f>
        <v>70862946.570000008</v>
      </c>
    </row>
    <row r="47" spans="1:3" s="63" customFormat="1" x14ac:dyDescent="0.2">
      <c r="A47" s="118" t="s">
        <v>353</v>
      </c>
      <c r="B47" s="196">
        <f>SUM(B48)</f>
        <v>3505654.0100000002</v>
      </c>
      <c r="C47" s="196">
        <f>SUM(C48)</f>
        <v>64458812.020000011</v>
      </c>
    </row>
    <row r="48" spans="1:3" x14ac:dyDescent="0.2">
      <c r="A48" s="197" t="s">
        <v>354</v>
      </c>
      <c r="B48" s="198">
        <v>3505654.0100000002</v>
      </c>
      <c r="C48" s="198">
        <v>64458812.020000011</v>
      </c>
    </row>
    <row r="49" spans="1:3" s="63" customFormat="1" x14ac:dyDescent="0.2">
      <c r="A49" s="118" t="s">
        <v>31</v>
      </c>
      <c r="B49" s="196">
        <f>SUM(B50:B55)</f>
        <v>423629702.32000005</v>
      </c>
      <c r="C49" s="196">
        <f>SUM(C50:C55)</f>
        <v>6404134.5499999998</v>
      </c>
    </row>
    <row r="50" spans="1:3" x14ac:dyDescent="0.2">
      <c r="A50" s="197" t="s">
        <v>355</v>
      </c>
      <c r="B50" s="198">
        <v>3714433.3099999996</v>
      </c>
      <c r="C50" s="198">
        <v>90122.819999999992</v>
      </c>
    </row>
    <row r="51" spans="1:3" x14ac:dyDescent="0.2">
      <c r="A51" s="197" t="s">
        <v>339</v>
      </c>
      <c r="B51" s="198">
        <v>75720860.980000004</v>
      </c>
      <c r="C51" s="198">
        <v>1754132.31</v>
      </c>
    </row>
    <row r="52" spans="1:3" x14ac:dyDescent="0.2">
      <c r="A52" s="197" t="s">
        <v>356</v>
      </c>
      <c r="B52" s="198">
        <v>5386309.9700000007</v>
      </c>
      <c r="C52" s="198">
        <v>917641.98</v>
      </c>
    </row>
    <row r="53" spans="1:3" x14ac:dyDescent="0.2">
      <c r="A53" s="197" t="s">
        <v>357</v>
      </c>
      <c r="B53" s="198">
        <v>23540856.910000004</v>
      </c>
      <c r="C53" s="198">
        <v>821370.01000000013</v>
      </c>
    </row>
    <row r="54" spans="1:3" x14ac:dyDescent="0.2">
      <c r="A54" s="197" t="s">
        <v>358</v>
      </c>
      <c r="B54" s="198">
        <v>263593932.29000002</v>
      </c>
      <c r="C54" s="198">
        <v>699810.87999999966</v>
      </c>
    </row>
    <row r="55" spans="1:3" x14ac:dyDescent="0.2">
      <c r="A55" s="197" t="s">
        <v>359</v>
      </c>
      <c r="B55" s="198">
        <v>51673308.859999999</v>
      </c>
      <c r="C55" s="198">
        <v>2121056.5499999998</v>
      </c>
    </row>
    <row r="56" spans="1:3" x14ac:dyDescent="0.2">
      <c r="A56" s="116" t="s">
        <v>33</v>
      </c>
      <c r="B56" s="196">
        <f>SUM(B57)</f>
        <v>25359273.18</v>
      </c>
      <c r="C56" s="196">
        <f>SUM(C57)</f>
        <v>474199.10000000003</v>
      </c>
    </row>
    <row r="57" spans="1:3" s="63" customFormat="1" x14ac:dyDescent="0.2">
      <c r="A57" s="118" t="s">
        <v>34</v>
      </c>
      <c r="B57" s="196">
        <f>SUM(B58:B60)</f>
        <v>25359273.18</v>
      </c>
      <c r="C57" s="196">
        <f>SUM(C58:C60)</f>
        <v>474199.10000000003</v>
      </c>
    </row>
    <row r="58" spans="1:3" x14ac:dyDescent="0.2">
      <c r="A58" s="197" t="s">
        <v>360</v>
      </c>
      <c r="B58" s="198">
        <v>5813954.5800000001</v>
      </c>
      <c r="C58" s="198">
        <v>230081.38</v>
      </c>
    </row>
    <row r="59" spans="1:3" x14ac:dyDescent="0.2">
      <c r="A59" s="197" t="s">
        <v>361</v>
      </c>
      <c r="B59" s="198">
        <v>18968463.27</v>
      </c>
      <c r="C59" s="198">
        <v>158470.20000000001</v>
      </c>
    </row>
    <row r="60" spans="1:3" x14ac:dyDescent="0.2">
      <c r="A60" s="197" t="s">
        <v>362</v>
      </c>
      <c r="B60" s="198">
        <v>576855.33000000007</v>
      </c>
      <c r="C60" s="198">
        <v>85647.52</v>
      </c>
    </row>
    <row r="61" spans="1:3" x14ac:dyDescent="0.2">
      <c r="A61" s="116" t="s">
        <v>64</v>
      </c>
      <c r="B61" s="196">
        <f>SUM(B62+B64)</f>
        <v>3855632.43</v>
      </c>
      <c r="C61" s="196">
        <f>SUM(C62+C64)</f>
        <v>1412856.05</v>
      </c>
    </row>
    <row r="62" spans="1:3" s="63" customFormat="1" x14ac:dyDescent="0.2">
      <c r="A62" s="118" t="s">
        <v>37</v>
      </c>
      <c r="B62" s="196">
        <f>SUM(B63)</f>
        <v>2432588.27</v>
      </c>
      <c r="C62" s="196">
        <f>SUM(C63)</f>
        <v>1401631.73</v>
      </c>
    </row>
    <row r="63" spans="1:3" x14ac:dyDescent="0.2">
      <c r="A63" s="197" t="s">
        <v>363</v>
      </c>
      <c r="B63" s="198">
        <v>2432588.27</v>
      </c>
      <c r="C63" s="198">
        <v>1401631.73</v>
      </c>
    </row>
    <row r="64" spans="1:3" s="63" customFormat="1" x14ac:dyDescent="0.2">
      <c r="A64" s="118" t="s">
        <v>38</v>
      </c>
      <c r="B64" s="196">
        <f>SUM(B65)</f>
        <v>1423044.1600000001</v>
      </c>
      <c r="C64" s="196">
        <f>SUM(C65)</f>
        <v>11224.320000000002</v>
      </c>
    </row>
    <row r="65" spans="1:5" x14ac:dyDescent="0.2">
      <c r="A65" s="197" t="s">
        <v>364</v>
      </c>
      <c r="B65" s="198">
        <v>1423044.1600000001</v>
      </c>
      <c r="C65" s="198">
        <v>11224.320000000002</v>
      </c>
    </row>
    <row r="66" spans="1:5" x14ac:dyDescent="0.2">
      <c r="A66" s="116" t="s">
        <v>65</v>
      </c>
      <c r="B66" s="196">
        <f>SUM(B67)</f>
        <v>493314651.94</v>
      </c>
      <c r="C66" s="196">
        <f>SUM(C67)</f>
        <v>12475207.539999999</v>
      </c>
    </row>
    <row r="67" spans="1:5" s="63" customFormat="1" x14ac:dyDescent="0.2">
      <c r="A67" s="118" t="s">
        <v>365</v>
      </c>
      <c r="B67" s="196">
        <f>SUM(B68:B70)</f>
        <v>493314651.94</v>
      </c>
      <c r="C67" s="196">
        <f>SUM(C68:C70)</f>
        <v>12475207.539999999</v>
      </c>
    </row>
    <row r="68" spans="1:5" x14ac:dyDescent="0.2">
      <c r="A68" s="197" t="s">
        <v>366</v>
      </c>
      <c r="B68" s="198">
        <v>62670953.270000011</v>
      </c>
      <c r="C68" s="198">
        <v>2447425.4599999995</v>
      </c>
    </row>
    <row r="69" spans="1:5" x14ac:dyDescent="0.2">
      <c r="A69" s="197" t="s">
        <v>367</v>
      </c>
      <c r="B69" s="198">
        <v>61975010.159999989</v>
      </c>
      <c r="C69" s="198">
        <v>6020772.6699999999</v>
      </c>
    </row>
    <row r="70" spans="1:5" x14ac:dyDescent="0.2">
      <c r="A70" s="197" t="s">
        <v>339</v>
      </c>
      <c r="B70" s="198">
        <v>368668688.50999999</v>
      </c>
      <c r="C70" s="198">
        <v>4007009.4099999992</v>
      </c>
    </row>
    <row r="71" spans="1:5" x14ac:dyDescent="0.2">
      <c r="A71" s="197"/>
      <c r="B71" s="165"/>
      <c r="C71" s="165"/>
    </row>
    <row r="72" spans="1:5" ht="11.25" customHeight="1" x14ac:dyDescent="0.2">
      <c r="A72" s="191" t="s">
        <v>313</v>
      </c>
      <c r="B72" s="191"/>
      <c r="C72" s="191"/>
      <c r="D72" s="156"/>
      <c r="E72" s="156"/>
    </row>
    <row r="73" spans="1:5" ht="11.25" customHeight="1" x14ac:dyDescent="0.2">
      <c r="A73" s="191"/>
      <c r="B73" s="191"/>
      <c r="C73" s="191"/>
      <c r="D73" s="192"/>
      <c r="E73" s="192"/>
    </row>
    <row r="74" spans="1:5" ht="11.25" customHeight="1" x14ac:dyDescent="0.2">
      <c r="A74" s="140" t="s">
        <v>19</v>
      </c>
      <c r="B74" s="192"/>
      <c r="C74" s="192"/>
      <c r="D74" s="192"/>
      <c r="E74" s="192"/>
    </row>
    <row r="75" spans="1:5" ht="25.5" customHeight="1" x14ac:dyDescent="0.2">
      <c r="A75" s="199" t="s">
        <v>368</v>
      </c>
      <c r="B75" s="173"/>
      <c r="C75" s="173"/>
    </row>
  </sheetData>
  <mergeCells count="3">
    <mergeCell ref="A2:C2"/>
    <mergeCell ref="A72:C73"/>
    <mergeCell ref="A75:C75"/>
  </mergeCells>
  <pageMargins left="0.70866141732283472" right="0.70866141732283472" top="0.74803149606299213" bottom="0.74803149606299213" header="0.31496062992125984" footer="0.31496062992125984"/>
  <pageSetup paperSize="14" scale="90" orientation="portrait" r:id="rId1"/>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87DF9-2495-49C8-972C-B372E39211EB}">
  <sheetPr codeName="Hoja190"/>
  <dimension ref="A1:N26"/>
  <sheetViews>
    <sheetView workbookViewId="0">
      <selection activeCell="A53" sqref="A53"/>
    </sheetView>
  </sheetViews>
  <sheetFormatPr baseColWidth="10" defaultRowHeight="13.2" x14ac:dyDescent="0.25"/>
  <cols>
    <col min="1" max="1" width="25.33203125" customWidth="1"/>
    <col min="2" max="2" width="13.5546875" customWidth="1"/>
  </cols>
  <sheetData>
    <row r="1" spans="1:14" s="2" customFormat="1" ht="10.199999999999999" x14ac:dyDescent="0.2">
      <c r="A1" s="342"/>
    </row>
    <row r="2" spans="1:14" s="24" customFormat="1" ht="47.25" customHeight="1" x14ac:dyDescent="0.2">
      <c r="A2" s="45" t="s">
        <v>2512</v>
      </c>
      <c r="B2" s="45"/>
      <c r="C2" s="45"/>
      <c r="D2" s="45"/>
    </row>
    <row r="3" spans="1:14" s="2" customFormat="1" ht="10.199999999999999" x14ac:dyDescent="0.2"/>
    <row r="4" spans="1:14" s="2" customFormat="1" ht="32.4" x14ac:dyDescent="0.2">
      <c r="A4" s="621" t="s">
        <v>0</v>
      </c>
      <c r="B4" s="1001" t="s">
        <v>2550</v>
      </c>
      <c r="C4" s="1001" t="s">
        <v>2551</v>
      </c>
      <c r="D4" s="1001" t="s">
        <v>2552</v>
      </c>
      <c r="J4" s="1002"/>
      <c r="K4" s="1002"/>
      <c r="L4" s="1002"/>
    </row>
    <row r="5" spans="1:14" s="24" customFormat="1" ht="10.199999999999999" x14ac:dyDescent="0.2">
      <c r="A5" s="712" t="s">
        <v>3</v>
      </c>
      <c r="B5" s="622">
        <f>SUM(B6:B20)</f>
        <v>447</v>
      </c>
      <c r="C5" s="622">
        <f>SUM(C6:C20)</f>
        <v>404</v>
      </c>
      <c r="D5" s="622">
        <f>SUM(D6:D20)</f>
        <v>43</v>
      </c>
      <c r="K5" s="2"/>
      <c r="L5" s="2"/>
      <c r="M5" s="2"/>
      <c r="N5" s="2"/>
    </row>
    <row r="6" spans="1:14" s="2" customFormat="1" ht="10.199999999999999" x14ac:dyDescent="0.2">
      <c r="A6" s="1003" t="s">
        <v>4</v>
      </c>
      <c r="B6" s="622">
        <v>7</v>
      </c>
      <c r="C6" s="315">
        <f t="shared" ref="C6:C20" si="0">+B6-D6</f>
        <v>7</v>
      </c>
      <c r="D6" s="315">
        <v>0</v>
      </c>
      <c r="H6" s="24"/>
    </row>
    <row r="7" spans="1:14" s="2" customFormat="1" ht="10.199999999999999" x14ac:dyDescent="0.2">
      <c r="A7" s="1003" t="s">
        <v>5</v>
      </c>
      <c r="B7" s="622">
        <v>11</v>
      </c>
      <c r="C7" s="315">
        <f t="shared" si="0"/>
        <v>11</v>
      </c>
      <c r="D7" s="315">
        <v>0</v>
      </c>
      <c r="H7" s="24"/>
    </row>
    <row r="8" spans="1:14" s="2" customFormat="1" ht="10.199999999999999" x14ac:dyDescent="0.2">
      <c r="A8" s="1003" t="s">
        <v>6</v>
      </c>
      <c r="B8" s="622">
        <v>13</v>
      </c>
      <c r="C8" s="315">
        <f t="shared" si="0"/>
        <v>13</v>
      </c>
      <c r="D8" s="315">
        <v>0</v>
      </c>
      <c r="H8" s="24"/>
    </row>
    <row r="9" spans="1:14" s="2" customFormat="1" ht="10.199999999999999" x14ac:dyDescent="0.2">
      <c r="A9" s="1003" t="s">
        <v>7</v>
      </c>
      <c r="B9" s="622">
        <v>13</v>
      </c>
      <c r="C9" s="315">
        <f t="shared" si="0"/>
        <v>12</v>
      </c>
      <c r="D9" s="315">
        <v>1</v>
      </c>
      <c r="H9" s="24"/>
    </row>
    <row r="10" spans="1:14" s="2" customFormat="1" ht="10.199999999999999" x14ac:dyDescent="0.2">
      <c r="A10" s="1003" t="s">
        <v>8</v>
      </c>
      <c r="B10" s="622">
        <v>20</v>
      </c>
      <c r="C10" s="315">
        <f t="shared" si="0"/>
        <v>16</v>
      </c>
      <c r="D10" s="315">
        <v>4</v>
      </c>
      <c r="H10" s="24"/>
    </row>
    <row r="11" spans="1:14" s="2" customFormat="1" ht="10.199999999999999" x14ac:dyDescent="0.2">
      <c r="A11" s="1003" t="s">
        <v>9</v>
      </c>
      <c r="B11" s="622">
        <v>47</v>
      </c>
      <c r="C11" s="315">
        <f t="shared" si="0"/>
        <v>47</v>
      </c>
      <c r="D11" s="315">
        <v>0</v>
      </c>
      <c r="H11" s="24"/>
    </row>
    <row r="12" spans="1:14" s="2" customFormat="1" ht="10.199999999999999" x14ac:dyDescent="0.2">
      <c r="A12" s="1003" t="s">
        <v>10</v>
      </c>
      <c r="B12" s="622">
        <v>64</v>
      </c>
      <c r="C12" s="315">
        <f t="shared" si="0"/>
        <v>63</v>
      </c>
      <c r="D12" s="315">
        <v>1</v>
      </c>
      <c r="H12" s="24"/>
    </row>
    <row r="13" spans="1:14" s="2" customFormat="1" ht="10.199999999999999" x14ac:dyDescent="0.2">
      <c r="A13" s="1003" t="s">
        <v>134</v>
      </c>
      <c r="B13" s="622">
        <v>40</v>
      </c>
      <c r="C13" s="315">
        <f t="shared" si="0"/>
        <v>40</v>
      </c>
      <c r="D13" s="315">
        <v>0</v>
      </c>
      <c r="H13" s="24"/>
    </row>
    <row r="14" spans="1:14" s="2" customFormat="1" ht="10.199999999999999" x14ac:dyDescent="0.2">
      <c r="A14" s="1003" t="s">
        <v>12</v>
      </c>
      <c r="B14" s="622">
        <v>35</v>
      </c>
      <c r="C14" s="315">
        <f t="shared" si="0"/>
        <v>34</v>
      </c>
      <c r="D14" s="315">
        <v>1</v>
      </c>
      <c r="H14" s="24"/>
    </row>
    <row r="15" spans="1:14" s="2" customFormat="1" ht="10.199999999999999" x14ac:dyDescent="0.2">
      <c r="A15" s="1003" t="s">
        <v>13</v>
      </c>
      <c r="B15" s="622">
        <v>59</v>
      </c>
      <c r="C15" s="315">
        <f t="shared" si="0"/>
        <v>52</v>
      </c>
      <c r="D15" s="315">
        <v>7</v>
      </c>
      <c r="H15" s="24"/>
    </row>
    <row r="16" spans="1:14" s="2" customFormat="1" ht="10.199999999999999" x14ac:dyDescent="0.2">
      <c r="A16" s="1003" t="s">
        <v>47</v>
      </c>
      <c r="B16" s="622">
        <v>58</v>
      </c>
      <c r="C16" s="315">
        <f t="shared" si="0"/>
        <v>35</v>
      </c>
      <c r="D16" s="315">
        <v>23</v>
      </c>
      <c r="H16" s="24"/>
    </row>
    <row r="17" spans="1:13" s="2" customFormat="1" ht="12.75" customHeight="1" x14ac:dyDescent="0.2">
      <c r="A17" s="1003" t="s">
        <v>135</v>
      </c>
      <c r="B17" s="622">
        <v>13</v>
      </c>
      <c r="C17" s="315">
        <f t="shared" si="0"/>
        <v>13</v>
      </c>
      <c r="D17" s="315">
        <v>0</v>
      </c>
      <c r="H17" s="24"/>
    </row>
    <row r="18" spans="1:13" s="2" customFormat="1" ht="10.199999999999999" x14ac:dyDescent="0.2">
      <c r="A18" s="1003" t="s">
        <v>136</v>
      </c>
      <c r="B18" s="622">
        <v>35</v>
      </c>
      <c r="C18" s="315">
        <f t="shared" si="0"/>
        <v>34</v>
      </c>
      <c r="D18" s="315">
        <v>1</v>
      </c>
      <c r="H18" s="24"/>
    </row>
    <row r="19" spans="1:13" s="2" customFormat="1" ht="10.199999999999999" x14ac:dyDescent="0.2">
      <c r="A19" s="1003" t="s">
        <v>17</v>
      </c>
      <c r="B19" s="622">
        <v>18</v>
      </c>
      <c r="C19" s="315">
        <f t="shared" si="0"/>
        <v>14</v>
      </c>
      <c r="D19" s="315">
        <v>4</v>
      </c>
      <c r="H19" s="24"/>
    </row>
    <row r="20" spans="1:13" s="2" customFormat="1" ht="10.199999999999999" x14ac:dyDescent="0.2">
      <c r="A20" s="1003" t="s">
        <v>18</v>
      </c>
      <c r="B20" s="622">
        <v>14</v>
      </c>
      <c r="C20" s="315">
        <f t="shared" si="0"/>
        <v>13</v>
      </c>
      <c r="D20" s="315">
        <v>1</v>
      </c>
      <c r="H20" s="24"/>
    </row>
    <row r="21" spans="1:13" s="2" customFormat="1" ht="6.75" customHeight="1" x14ac:dyDescent="0.2">
      <c r="A21" s="288"/>
      <c r="B21" s="24"/>
      <c r="H21" s="24"/>
    </row>
    <row r="22" spans="1:13" s="2" customFormat="1" ht="55.5" customHeight="1" x14ac:dyDescent="0.2">
      <c r="A22" s="1004" t="s">
        <v>2553</v>
      </c>
      <c r="B22" s="1004"/>
      <c r="C22" s="1004"/>
      <c r="D22" s="1004"/>
      <c r="E22" s="1005"/>
      <c r="H22" s="1006"/>
      <c r="I22" s="1007"/>
      <c r="J22" s="1007"/>
      <c r="K22" s="1007"/>
      <c r="L22" s="1007"/>
      <c r="M22" s="1007"/>
    </row>
    <row r="23" spans="1:13" s="2" customFormat="1" ht="33" customHeight="1" x14ac:dyDescent="0.2">
      <c r="A23" s="1004" t="s">
        <v>2554</v>
      </c>
      <c r="B23" s="1004"/>
      <c r="C23" s="1004"/>
      <c r="D23" s="1004"/>
      <c r="E23" s="1005"/>
      <c r="H23" s="1006"/>
      <c r="I23" s="1007"/>
      <c r="J23" s="1007"/>
      <c r="K23" s="1007"/>
      <c r="L23" s="1007"/>
      <c r="M23" s="1007"/>
    </row>
    <row r="24" spans="1:13" s="2" customFormat="1" ht="10.199999999999999" x14ac:dyDescent="0.2">
      <c r="A24" s="745" t="s">
        <v>1178</v>
      </c>
      <c r="B24" s="745"/>
      <c r="C24" s="745"/>
      <c r="D24" s="745"/>
    </row>
    <row r="25" spans="1:13" s="2" customFormat="1" ht="10.199999999999999" x14ac:dyDescent="0.2">
      <c r="A25" s="745" t="s">
        <v>1128</v>
      </c>
      <c r="B25" s="745"/>
      <c r="C25" s="745"/>
      <c r="D25" s="745"/>
    </row>
    <row r="26" spans="1:13" s="2" customFormat="1" ht="10.199999999999999" x14ac:dyDescent="0.2"/>
  </sheetData>
  <mergeCells count="5">
    <mergeCell ref="A2:D2"/>
    <mergeCell ref="A22:D22"/>
    <mergeCell ref="A23:D23"/>
    <mergeCell ref="A24:D24"/>
    <mergeCell ref="A25:D25"/>
  </mergeCells>
  <pageMargins left="0.7" right="0.7" top="0.75" bottom="0.75" header="0.3" footer="0.3"/>
  <pageSetup paperSize="14" orientation="landscape"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A1033-75ED-40B2-9476-757A5A46AE6E}">
  <sheetPr codeName="Hoja191"/>
  <dimension ref="A2:I26"/>
  <sheetViews>
    <sheetView workbookViewId="0">
      <selection activeCell="A53" sqref="A53"/>
    </sheetView>
  </sheetViews>
  <sheetFormatPr baseColWidth="10" defaultRowHeight="13.2" x14ac:dyDescent="0.25"/>
  <cols>
    <col min="1" max="1" width="17.44140625" customWidth="1"/>
  </cols>
  <sheetData>
    <row r="2" spans="1:9" s="24" customFormat="1" ht="30.75" customHeight="1" x14ac:dyDescent="0.2">
      <c r="A2" s="872" t="s">
        <v>2513</v>
      </c>
      <c r="B2" s="872"/>
      <c r="C2" s="872"/>
      <c r="D2" s="872"/>
      <c r="E2" s="872"/>
      <c r="F2" s="872"/>
    </row>
    <row r="3" spans="1:9" s="2" customFormat="1" ht="10.199999999999999" x14ac:dyDescent="0.2">
      <c r="I3" s="141"/>
    </row>
    <row r="4" spans="1:9" s="337" customFormat="1" ht="17.25" customHeight="1" x14ac:dyDescent="0.25">
      <c r="A4" s="323" t="s">
        <v>0</v>
      </c>
      <c r="B4" s="298" t="s">
        <v>2555</v>
      </c>
      <c r="C4" s="298"/>
      <c r="D4" s="298"/>
      <c r="E4" s="298"/>
      <c r="F4" s="298"/>
      <c r="I4" s="717"/>
    </row>
    <row r="5" spans="1:9" s="337" customFormat="1" ht="17.25" customHeight="1" x14ac:dyDescent="0.25">
      <c r="A5" s="323"/>
      <c r="B5" s="621">
        <v>2009</v>
      </c>
      <c r="C5" s="621">
        <v>2010</v>
      </c>
      <c r="D5" s="621">
        <v>2011</v>
      </c>
      <c r="E5" s="621">
        <v>2012</v>
      </c>
      <c r="F5" s="621">
        <v>2013</v>
      </c>
    </row>
    <row r="6" spans="1:9" s="24" customFormat="1" ht="10.199999999999999" x14ac:dyDescent="0.2">
      <c r="A6" s="712" t="s">
        <v>3</v>
      </c>
      <c r="B6" s="622">
        <f>SUM(B7:B21)</f>
        <v>36</v>
      </c>
      <c r="C6" s="622">
        <f>SUM(C7:C21)</f>
        <v>40</v>
      </c>
      <c r="D6" s="622">
        <f>SUM(D7:D21)</f>
        <v>44</v>
      </c>
      <c r="E6" s="622">
        <f>SUM(E7:E21)</f>
        <v>51</v>
      </c>
      <c r="F6" s="622">
        <f>SUM(F7:F21)</f>
        <v>51</v>
      </c>
    </row>
    <row r="7" spans="1:9" s="2" customFormat="1" ht="10.199999999999999" x14ac:dyDescent="0.2">
      <c r="A7" s="1008" t="s">
        <v>4</v>
      </c>
      <c r="B7" s="315">
        <v>0</v>
      </c>
      <c r="C7" s="315">
        <v>0</v>
      </c>
      <c r="D7" s="315">
        <v>0</v>
      </c>
      <c r="E7" s="315">
        <v>0</v>
      </c>
      <c r="F7" s="626" t="s">
        <v>1224</v>
      </c>
      <c r="H7" s="646"/>
    </row>
    <row r="8" spans="1:9" s="2" customFormat="1" ht="10.199999999999999" x14ac:dyDescent="0.2">
      <c r="A8" s="1008" t="s">
        <v>5</v>
      </c>
      <c r="B8" s="315">
        <v>1</v>
      </c>
      <c r="C8" s="315">
        <v>1</v>
      </c>
      <c r="D8" s="315">
        <v>1</v>
      </c>
      <c r="E8" s="315">
        <v>0</v>
      </c>
      <c r="F8" s="626" t="s">
        <v>1224</v>
      </c>
      <c r="H8" s="646"/>
    </row>
    <row r="9" spans="1:9" s="2" customFormat="1" ht="10.199999999999999" x14ac:dyDescent="0.2">
      <c r="A9" s="1008" t="s">
        <v>6</v>
      </c>
      <c r="B9" s="315">
        <v>1</v>
      </c>
      <c r="C9" s="315">
        <v>0</v>
      </c>
      <c r="D9" s="315">
        <v>0</v>
      </c>
      <c r="E9" s="315">
        <v>0</v>
      </c>
      <c r="F9" s="626" t="s">
        <v>1224</v>
      </c>
      <c r="H9" s="646"/>
    </row>
    <row r="10" spans="1:9" s="2" customFormat="1" ht="10.199999999999999" x14ac:dyDescent="0.2">
      <c r="A10" s="1008" t="s">
        <v>7</v>
      </c>
      <c r="B10" s="315">
        <v>2</v>
      </c>
      <c r="C10" s="315">
        <v>1</v>
      </c>
      <c r="D10" s="315">
        <v>1</v>
      </c>
      <c r="E10" s="315">
        <v>0</v>
      </c>
      <c r="F10" s="626" t="s">
        <v>1224</v>
      </c>
      <c r="H10" s="646"/>
    </row>
    <row r="11" spans="1:9" s="2" customFormat="1" ht="10.199999999999999" x14ac:dyDescent="0.2">
      <c r="A11" s="1008" t="s">
        <v>8</v>
      </c>
      <c r="B11" s="315">
        <v>1</v>
      </c>
      <c r="C11" s="315">
        <v>1</v>
      </c>
      <c r="D11" s="315">
        <v>1</v>
      </c>
      <c r="E11" s="315">
        <v>1</v>
      </c>
      <c r="F11" s="315">
        <v>1</v>
      </c>
    </row>
    <row r="12" spans="1:9" s="2" customFormat="1" ht="10.199999999999999" x14ac:dyDescent="0.2">
      <c r="A12" s="1008" t="s">
        <v>9</v>
      </c>
      <c r="B12" s="315">
        <v>1</v>
      </c>
      <c r="C12" s="315">
        <v>2</v>
      </c>
      <c r="D12" s="315">
        <v>2</v>
      </c>
      <c r="E12" s="315">
        <v>0</v>
      </c>
      <c r="F12" s="315">
        <v>1</v>
      </c>
    </row>
    <row r="13" spans="1:9" s="2" customFormat="1" ht="10.199999999999999" x14ac:dyDescent="0.2">
      <c r="A13" s="1008" t="s">
        <v>10</v>
      </c>
      <c r="B13" s="315">
        <v>8</v>
      </c>
      <c r="C13" s="315">
        <v>5</v>
      </c>
      <c r="D13" s="315">
        <v>5</v>
      </c>
      <c r="E13" s="315">
        <v>5</v>
      </c>
      <c r="F13" s="315">
        <v>9</v>
      </c>
    </row>
    <row r="14" spans="1:9" s="2" customFormat="1" ht="10.199999999999999" x14ac:dyDescent="0.2">
      <c r="A14" s="1008" t="s">
        <v>134</v>
      </c>
      <c r="B14" s="315">
        <v>1</v>
      </c>
      <c r="C14" s="315">
        <v>1</v>
      </c>
      <c r="D14" s="315">
        <v>1</v>
      </c>
      <c r="E14" s="315">
        <v>1</v>
      </c>
      <c r="F14" s="315">
        <v>1</v>
      </c>
    </row>
    <row r="15" spans="1:9" s="2" customFormat="1" ht="10.199999999999999" x14ac:dyDescent="0.2">
      <c r="A15" s="1008" t="s">
        <v>12</v>
      </c>
      <c r="B15" s="315">
        <v>4</v>
      </c>
      <c r="C15" s="315">
        <v>3</v>
      </c>
      <c r="D15" s="315">
        <v>3</v>
      </c>
      <c r="E15" s="315">
        <v>2</v>
      </c>
      <c r="F15" s="315">
        <v>3</v>
      </c>
    </row>
    <row r="16" spans="1:9" s="2" customFormat="1" ht="10.199999999999999" x14ac:dyDescent="0.2">
      <c r="A16" s="1008" t="s">
        <v>13</v>
      </c>
      <c r="B16" s="315">
        <v>6</v>
      </c>
      <c r="C16" s="315">
        <v>12</v>
      </c>
      <c r="D16" s="315">
        <v>12</v>
      </c>
      <c r="E16" s="315">
        <v>15</v>
      </c>
      <c r="F16" s="315">
        <v>12</v>
      </c>
    </row>
    <row r="17" spans="1:8" s="2" customFormat="1" ht="10.199999999999999" x14ac:dyDescent="0.2">
      <c r="A17" s="1008" t="s">
        <v>47</v>
      </c>
      <c r="B17" s="315">
        <v>7</v>
      </c>
      <c r="C17" s="315">
        <v>10</v>
      </c>
      <c r="D17" s="315">
        <v>13</v>
      </c>
      <c r="E17" s="315">
        <v>8</v>
      </c>
      <c r="F17" s="315">
        <v>6</v>
      </c>
    </row>
    <row r="18" spans="1:8" s="2" customFormat="1" ht="10.199999999999999" x14ac:dyDescent="0.2">
      <c r="A18" s="1008" t="s">
        <v>135</v>
      </c>
      <c r="B18" s="315">
        <v>1</v>
      </c>
      <c r="C18" s="315">
        <v>0</v>
      </c>
      <c r="D18" s="315">
        <v>0</v>
      </c>
      <c r="E18" s="315">
        <v>9</v>
      </c>
      <c r="F18" s="315">
        <v>9</v>
      </c>
    </row>
    <row r="19" spans="1:8" s="2" customFormat="1" ht="10.199999999999999" x14ac:dyDescent="0.2">
      <c r="A19" s="1008" t="s">
        <v>136</v>
      </c>
      <c r="B19" s="315">
        <v>1</v>
      </c>
      <c r="C19" s="315">
        <v>3</v>
      </c>
      <c r="D19" s="315">
        <v>4</v>
      </c>
      <c r="E19" s="315">
        <v>9</v>
      </c>
      <c r="F19" s="315">
        <v>6</v>
      </c>
    </row>
    <row r="20" spans="1:8" s="2" customFormat="1" ht="10.199999999999999" x14ac:dyDescent="0.2">
      <c r="A20" s="1008" t="s">
        <v>17</v>
      </c>
      <c r="B20" s="315">
        <v>1</v>
      </c>
      <c r="C20" s="315">
        <v>1</v>
      </c>
      <c r="D20" s="315">
        <v>1</v>
      </c>
      <c r="E20" s="315">
        <v>1</v>
      </c>
      <c r="F20" s="626" t="s">
        <v>1224</v>
      </c>
      <c r="H20" s="646"/>
    </row>
    <row r="21" spans="1:8" s="2" customFormat="1" ht="10.199999999999999" x14ac:dyDescent="0.2">
      <c r="A21" s="1008" t="s">
        <v>18</v>
      </c>
      <c r="B21" s="315">
        <v>1</v>
      </c>
      <c r="C21" s="315">
        <v>0</v>
      </c>
      <c r="D21" s="315">
        <v>0</v>
      </c>
      <c r="E21" s="315">
        <v>0</v>
      </c>
      <c r="F21" s="315">
        <v>3</v>
      </c>
    </row>
    <row r="22" spans="1:8" s="2" customFormat="1" ht="10.199999999999999" x14ac:dyDescent="0.2">
      <c r="A22" s="288"/>
      <c r="C22" s="315"/>
      <c r="D22" s="315"/>
      <c r="E22" s="315"/>
    </row>
    <row r="23" spans="1:8" s="2" customFormat="1" ht="10.199999999999999" x14ac:dyDescent="0.2">
      <c r="A23" s="745" t="s">
        <v>2556</v>
      </c>
      <c r="B23" s="745"/>
      <c r="C23" s="745"/>
      <c r="D23" s="745"/>
      <c r="E23" s="745"/>
      <c r="F23" s="745"/>
    </row>
    <row r="24" spans="1:8" s="2" customFormat="1" ht="10.199999999999999" x14ac:dyDescent="0.2">
      <c r="A24" s="745" t="s">
        <v>1178</v>
      </c>
      <c r="B24" s="745"/>
      <c r="C24" s="745"/>
      <c r="D24" s="745"/>
      <c r="E24" s="745"/>
      <c r="F24" s="745"/>
    </row>
    <row r="25" spans="1:8" s="2" customFormat="1" ht="10.199999999999999" x14ac:dyDescent="0.2">
      <c r="A25" s="745" t="s">
        <v>1128</v>
      </c>
      <c r="B25" s="745"/>
      <c r="C25" s="745"/>
      <c r="D25" s="745"/>
      <c r="E25" s="745"/>
      <c r="F25" s="745"/>
    </row>
    <row r="26" spans="1:8" s="2" customFormat="1" ht="10.199999999999999" x14ac:dyDescent="0.2"/>
  </sheetData>
  <mergeCells count="6">
    <mergeCell ref="A2:F2"/>
    <mergeCell ref="A4:A5"/>
    <mergeCell ref="B4:F4"/>
    <mergeCell ref="A23:F23"/>
    <mergeCell ref="A24:F24"/>
    <mergeCell ref="A25:F25"/>
  </mergeCells>
  <pageMargins left="0.7" right="0.7" top="0.75" bottom="0.75" header="0.3" footer="0.3"/>
  <pageSetup paperSize="14" orientation="landscape" r:id="rId1"/>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F7F24-C573-48C3-9BAB-71A23FF5C1F3}">
  <sheetPr codeName="Hoja192"/>
  <dimension ref="A1:I14"/>
  <sheetViews>
    <sheetView workbookViewId="0">
      <selection activeCell="A53" sqref="A53"/>
    </sheetView>
  </sheetViews>
  <sheetFormatPr baseColWidth="10" defaultRowHeight="13.2" x14ac:dyDescent="0.25"/>
  <cols>
    <col min="1" max="1" width="33.5546875" customWidth="1"/>
    <col min="2" max="2" width="24.109375" customWidth="1"/>
    <col min="3" max="3" width="5.5546875" customWidth="1"/>
  </cols>
  <sheetData>
    <row r="1" spans="1:9" x14ac:dyDescent="0.25">
      <c r="A1" s="1009"/>
    </row>
    <row r="2" spans="1:9" s="2" customFormat="1" ht="32.25" customHeight="1" x14ac:dyDescent="0.2">
      <c r="A2" s="308" t="s">
        <v>2514</v>
      </c>
      <c r="B2" s="308"/>
      <c r="C2" s="24"/>
    </row>
    <row r="3" spans="1:9" s="2" customFormat="1" ht="10.199999999999999" x14ac:dyDescent="0.2">
      <c r="A3" s="24"/>
      <c r="F3" s="336"/>
      <c r="G3" s="1010"/>
      <c r="I3" s="141"/>
    </row>
    <row r="4" spans="1:9" s="2" customFormat="1" ht="18.75" customHeight="1" x14ac:dyDescent="0.2">
      <c r="A4" s="621" t="s">
        <v>825</v>
      </c>
      <c r="B4" s="621" t="s">
        <v>2557</v>
      </c>
      <c r="F4" s="321"/>
      <c r="I4" s="141"/>
    </row>
    <row r="5" spans="1:9" s="2" customFormat="1" ht="10.199999999999999" x14ac:dyDescent="0.2">
      <c r="A5" s="665">
        <v>2009</v>
      </c>
      <c r="B5" s="665">
        <v>403</v>
      </c>
      <c r="F5" s="321"/>
    </row>
    <row r="6" spans="1:9" s="2" customFormat="1" ht="10.199999999999999" x14ac:dyDescent="0.2">
      <c r="A6" s="665">
        <v>2010</v>
      </c>
      <c r="B6" s="665">
        <v>403</v>
      </c>
      <c r="F6" s="321"/>
    </row>
    <row r="7" spans="1:9" s="2" customFormat="1" ht="10.199999999999999" x14ac:dyDescent="0.2">
      <c r="A7" s="665">
        <v>2011</v>
      </c>
      <c r="B7" s="665">
        <v>408</v>
      </c>
      <c r="F7" s="321"/>
    </row>
    <row r="8" spans="1:9" s="2" customFormat="1" ht="10.199999999999999" x14ac:dyDescent="0.2">
      <c r="A8" s="665">
        <v>2012</v>
      </c>
      <c r="B8" s="665">
        <v>443</v>
      </c>
      <c r="F8" s="321"/>
    </row>
    <row r="9" spans="1:9" s="2" customFormat="1" ht="12" x14ac:dyDescent="0.2">
      <c r="A9" s="665" t="s">
        <v>2558</v>
      </c>
      <c r="B9" s="665">
        <v>457</v>
      </c>
      <c r="C9" s="1010"/>
      <c r="F9" s="321"/>
    </row>
    <row r="10" spans="1:9" s="2" customFormat="1" ht="4.5" customHeight="1" x14ac:dyDescent="0.2">
      <c r="A10" s="665"/>
      <c r="B10" s="665"/>
      <c r="F10" s="321"/>
    </row>
    <row r="11" spans="1:9" ht="55.5" customHeight="1" x14ac:dyDescent="0.25">
      <c r="A11" s="639" t="s">
        <v>2559</v>
      </c>
      <c r="B11" s="639"/>
    </row>
    <row r="12" spans="1:9" s="2" customFormat="1" x14ac:dyDescent="0.25">
      <c r="A12" s="652" t="s">
        <v>1128</v>
      </c>
      <c r="B12" s="652"/>
      <c r="C12" s="1011"/>
      <c r="F12" s="321"/>
    </row>
    <row r="13" spans="1:9" x14ac:dyDescent="0.25">
      <c r="A13" s="2"/>
      <c r="B13" s="2"/>
    </row>
    <row r="14" spans="1:9" x14ac:dyDescent="0.25">
      <c r="A14" s="2"/>
      <c r="B14" s="2"/>
    </row>
  </sheetData>
  <mergeCells count="3">
    <mergeCell ref="A2:B2"/>
    <mergeCell ref="A11:B11"/>
    <mergeCell ref="A12:B12"/>
  </mergeCells>
  <pageMargins left="0.7" right="0.7" top="0.75" bottom="0.75" header="0.3" footer="0.3"/>
  <pageSetup paperSize="14" orientation="landscape" r:id="rId1"/>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84A2D-0AA2-4020-804B-37C111B9CF98}">
  <sheetPr codeName="Hoja193"/>
  <dimension ref="A1:M46"/>
  <sheetViews>
    <sheetView workbookViewId="0">
      <selection activeCell="A53" sqref="A53"/>
    </sheetView>
  </sheetViews>
  <sheetFormatPr baseColWidth="10" defaultRowHeight="13.2" x14ac:dyDescent="0.25"/>
  <cols>
    <col min="1" max="1" width="43" customWidth="1"/>
    <col min="4" max="4" width="15" customWidth="1"/>
  </cols>
  <sheetData>
    <row r="1" spans="1:13" x14ac:dyDescent="0.25">
      <c r="A1" s="1012"/>
    </row>
    <row r="2" spans="1:13" s="2" customFormat="1" ht="33" customHeight="1" x14ac:dyDescent="0.25">
      <c r="A2" s="1013" t="s">
        <v>2515</v>
      </c>
      <c r="B2" s="1014"/>
      <c r="C2" s="1014"/>
      <c r="D2" s="1014"/>
      <c r="I2" s="338"/>
      <c r="J2" s="338"/>
      <c r="K2" s="338"/>
    </row>
    <row r="3" spans="1:13" s="2" customFormat="1" ht="10.199999999999999" x14ac:dyDescent="0.2"/>
    <row r="4" spans="1:13" s="2" customFormat="1" ht="22.2" x14ac:dyDescent="0.2">
      <c r="A4" s="621" t="s">
        <v>2560</v>
      </c>
      <c r="B4" s="644" t="s">
        <v>2561</v>
      </c>
      <c r="C4" s="644" t="s">
        <v>2562</v>
      </c>
      <c r="D4" s="644" t="s">
        <v>2563</v>
      </c>
      <c r="I4" s="665"/>
    </row>
    <row r="5" spans="1:13" s="24" customFormat="1" ht="10.199999999999999" x14ac:dyDescent="0.2">
      <c r="A5" s="712" t="s">
        <v>3</v>
      </c>
      <c r="B5" s="1015">
        <f>SUM(B6:B14)</f>
        <v>248</v>
      </c>
      <c r="C5" s="1015">
        <f>SUM(C6:C14)</f>
        <v>22252</v>
      </c>
      <c r="D5" s="1016">
        <f>SUM(D6:D14)</f>
        <v>1</v>
      </c>
      <c r="G5" s="2"/>
      <c r="H5" s="714"/>
      <c r="I5" s="643"/>
      <c r="J5" s="643"/>
      <c r="K5" s="1017"/>
      <c r="L5" s="1018"/>
    </row>
    <row r="6" spans="1:13" s="2" customFormat="1" ht="10.199999999999999" x14ac:dyDescent="0.2">
      <c r="A6" s="2" t="s">
        <v>2564</v>
      </c>
      <c r="B6" s="660">
        <v>5</v>
      </c>
      <c r="C6" s="626">
        <v>445</v>
      </c>
      <c r="D6" s="1019">
        <f>+C6/$C$5</f>
        <v>1.9998202408772245E-2</v>
      </c>
      <c r="I6" s="643"/>
      <c r="J6" s="1020"/>
      <c r="K6" s="1021"/>
      <c r="L6" s="1018"/>
      <c r="M6" s="24"/>
    </row>
    <row r="7" spans="1:13" s="2" customFormat="1" ht="10.199999999999999" x14ac:dyDescent="0.2">
      <c r="A7" s="2" t="s">
        <v>2565</v>
      </c>
      <c r="B7" s="660">
        <v>25</v>
      </c>
      <c r="C7" s="626">
        <v>2225</v>
      </c>
      <c r="D7" s="1019">
        <f t="shared" ref="D7:D14" si="0">+C7/$C$5</f>
        <v>9.9991012043861224E-2</v>
      </c>
      <c r="F7" s="1022"/>
      <c r="I7" s="643"/>
      <c r="J7" s="1020"/>
      <c r="K7" s="1021"/>
      <c r="L7" s="1018"/>
      <c r="M7" s="24"/>
    </row>
    <row r="8" spans="1:13" s="2" customFormat="1" ht="10.199999999999999" x14ac:dyDescent="0.2">
      <c r="A8" s="2" t="s">
        <v>2566</v>
      </c>
      <c r="B8" s="660">
        <v>0</v>
      </c>
      <c r="C8" s="626">
        <v>0</v>
      </c>
      <c r="D8" s="1019">
        <f t="shared" si="0"/>
        <v>0</v>
      </c>
      <c r="F8" s="1022"/>
      <c r="I8" s="643"/>
      <c r="J8" s="1020"/>
      <c r="K8" s="1021"/>
      <c r="L8" s="1018"/>
      <c r="M8" s="24"/>
    </row>
    <row r="9" spans="1:13" s="2" customFormat="1" ht="10.199999999999999" x14ac:dyDescent="0.2">
      <c r="A9" s="2" t="s">
        <v>2567</v>
      </c>
      <c r="B9" s="660">
        <v>15</v>
      </c>
      <c r="C9" s="626">
        <v>1335</v>
      </c>
      <c r="D9" s="1019">
        <f t="shared" si="0"/>
        <v>5.9994607226316735E-2</v>
      </c>
      <c r="F9" s="1022"/>
      <c r="I9" s="643"/>
      <c r="J9" s="1020"/>
      <c r="K9" s="1021"/>
      <c r="L9" s="1018"/>
      <c r="M9" s="24"/>
    </row>
    <row r="10" spans="1:13" s="2" customFormat="1" ht="10.199999999999999" x14ac:dyDescent="0.2">
      <c r="A10" s="2" t="s">
        <v>2568</v>
      </c>
      <c r="B10" s="660">
        <v>9</v>
      </c>
      <c r="C10" s="626">
        <v>801</v>
      </c>
      <c r="D10" s="1019">
        <f t="shared" si="0"/>
        <v>3.5996764335790042E-2</v>
      </c>
      <c r="F10" s="1022"/>
      <c r="I10" s="643"/>
      <c r="J10" s="1020"/>
      <c r="K10" s="1021"/>
      <c r="L10" s="1018"/>
      <c r="M10" s="24"/>
    </row>
    <row r="11" spans="1:13" s="2" customFormat="1" ht="10.199999999999999" x14ac:dyDescent="0.2">
      <c r="A11" s="2" t="s">
        <v>2569</v>
      </c>
      <c r="B11" s="660">
        <v>21</v>
      </c>
      <c r="C11" s="626">
        <v>1847</v>
      </c>
      <c r="D11" s="1019">
        <f t="shared" si="0"/>
        <v>8.300377494157829E-2</v>
      </c>
      <c r="F11" s="1022"/>
      <c r="I11" s="643"/>
      <c r="J11" s="1020"/>
      <c r="K11" s="1021"/>
      <c r="L11" s="1018"/>
      <c r="M11" s="24"/>
    </row>
    <row r="12" spans="1:13" s="2" customFormat="1" ht="10.199999999999999" x14ac:dyDescent="0.2">
      <c r="A12" s="2" t="s">
        <v>2570</v>
      </c>
      <c r="B12" s="660">
        <v>27</v>
      </c>
      <c r="C12" s="626">
        <v>2448</v>
      </c>
      <c r="D12" s="1019">
        <f t="shared" si="0"/>
        <v>0.11001258313859429</v>
      </c>
      <c r="F12" s="1022"/>
      <c r="I12" s="643"/>
      <c r="J12" s="1020"/>
      <c r="K12" s="1021"/>
      <c r="L12" s="1018"/>
      <c r="M12" s="24"/>
    </row>
    <row r="13" spans="1:13" s="2" customFormat="1" ht="10.199999999999999" x14ac:dyDescent="0.2">
      <c r="A13" s="2" t="s">
        <v>2571</v>
      </c>
      <c r="B13" s="660">
        <v>141</v>
      </c>
      <c r="C13" s="626">
        <v>12684</v>
      </c>
      <c r="D13" s="1019">
        <f t="shared" si="0"/>
        <v>0.57001617832104978</v>
      </c>
      <c r="F13" s="1022"/>
      <c r="I13" s="643"/>
      <c r="J13" s="1020"/>
      <c r="K13" s="1021"/>
      <c r="L13" s="1018"/>
      <c r="M13" s="24"/>
    </row>
    <row r="14" spans="1:13" s="2" customFormat="1" ht="10.199999999999999" x14ac:dyDescent="0.2">
      <c r="A14" s="2" t="s">
        <v>2572</v>
      </c>
      <c r="B14" s="660">
        <v>5</v>
      </c>
      <c r="C14" s="626">
        <v>467</v>
      </c>
      <c r="D14" s="1019">
        <f t="shared" si="0"/>
        <v>2.0986877584037389E-2</v>
      </c>
      <c r="F14" s="1022"/>
      <c r="I14" s="643"/>
      <c r="J14" s="1020"/>
      <c r="K14" s="1021"/>
      <c r="L14" s="24"/>
      <c r="M14" s="24"/>
    </row>
    <row r="15" spans="1:13" s="2" customFormat="1" ht="7.5" customHeight="1" x14ac:dyDescent="0.2">
      <c r="B15" s="655"/>
      <c r="C15" s="1020"/>
      <c r="D15" s="1021"/>
      <c r="F15" s="1022"/>
      <c r="I15" s="643"/>
      <c r="J15" s="1020"/>
      <c r="K15" s="1021"/>
      <c r="L15" s="24"/>
      <c r="M15" s="24"/>
    </row>
    <row r="16" spans="1:13" s="2" customFormat="1" ht="27" customHeight="1" x14ac:dyDescent="0.2">
      <c r="A16" s="697" t="s">
        <v>2573</v>
      </c>
      <c r="B16" s="697"/>
      <c r="C16" s="697"/>
      <c r="D16" s="697"/>
      <c r="L16" s="24"/>
      <c r="M16" s="24"/>
    </row>
    <row r="17" spans="1:13" s="2" customFormat="1" ht="10.199999999999999" x14ac:dyDescent="0.2">
      <c r="A17" s="2" t="s">
        <v>1178</v>
      </c>
      <c r="B17" s="682"/>
      <c r="C17" s="682"/>
      <c r="D17" s="682"/>
      <c r="L17" s="24"/>
      <c r="M17" s="24"/>
    </row>
    <row r="18" spans="1:13" s="2" customFormat="1" ht="12" customHeight="1" x14ac:dyDescent="0.25">
      <c r="A18" s="652" t="s">
        <v>1128</v>
      </c>
      <c r="B18" s="652"/>
      <c r="C18" s="652"/>
      <c r="D18" s="1011"/>
      <c r="I18" s="338"/>
      <c r="J18" s="338"/>
      <c r="K18" s="338"/>
      <c r="L18" s="24"/>
      <c r="M18" s="24"/>
    </row>
    <row r="19" spans="1:13" s="2" customFormat="1" ht="10.5" customHeight="1" x14ac:dyDescent="0.25">
      <c r="B19" s="1011"/>
      <c r="C19" s="1011"/>
      <c r="I19" s="338"/>
      <c r="J19" s="338"/>
      <c r="M19" s="24"/>
    </row>
    <row r="20" spans="1:13" s="2" customFormat="1" ht="10.5" customHeight="1" x14ac:dyDescent="0.2">
      <c r="A20" s="24" t="s">
        <v>2176</v>
      </c>
      <c r="M20" s="24"/>
    </row>
    <row r="21" spans="1:13" s="2" customFormat="1" ht="22.5" customHeight="1" x14ac:dyDescent="0.2">
      <c r="A21" s="644" t="s">
        <v>2574</v>
      </c>
      <c r="B21" s="644" t="s">
        <v>2575</v>
      </c>
      <c r="M21" s="24"/>
    </row>
    <row r="22" spans="1:13" s="2" customFormat="1" ht="10.5" customHeight="1" x14ac:dyDescent="0.2">
      <c r="A22" s="641" t="s">
        <v>2564</v>
      </c>
      <c r="B22" s="1023">
        <v>5</v>
      </c>
      <c r="M22" s="24"/>
    </row>
    <row r="23" spans="1:13" s="2" customFormat="1" ht="10.199999999999999" x14ac:dyDescent="0.2">
      <c r="A23" s="641" t="s">
        <v>2565</v>
      </c>
      <c r="B23" s="1023">
        <v>25</v>
      </c>
      <c r="M23" s="24"/>
    </row>
    <row r="24" spans="1:13" s="2" customFormat="1" ht="10.199999999999999" x14ac:dyDescent="0.2">
      <c r="A24" s="641" t="s">
        <v>2566</v>
      </c>
      <c r="B24" s="1023">
        <v>0</v>
      </c>
      <c r="M24" s="24"/>
    </row>
    <row r="25" spans="1:13" s="2" customFormat="1" ht="10.199999999999999" x14ac:dyDescent="0.2">
      <c r="A25" s="641" t="s">
        <v>2567</v>
      </c>
      <c r="B25" s="1023">
        <v>15</v>
      </c>
      <c r="I25" s="24"/>
      <c r="J25" s="24"/>
      <c r="K25" s="24"/>
      <c r="L25" s="24"/>
      <c r="M25" s="24"/>
    </row>
    <row r="26" spans="1:13" s="2" customFormat="1" ht="10.199999999999999" x14ac:dyDescent="0.2">
      <c r="A26" s="641" t="s">
        <v>2568</v>
      </c>
      <c r="B26" s="1023">
        <v>9</v>
      </c>
      <c r="I26" s="24"/>
      <c r="J26" s="24"/>
      <c r="K26" s="24"/>
      <c r="L26" s="24"/>
      <c r="M26" s="24"/>
    </row>
    <row r="27" spans="1:13" s="2" customFormat="1" ht="10.199999999999999" x14ac:dyDescent="0.2">
      <c r="A27" s="641" t="s">
        <v>2569</v>
      </c>
      <c r="B27" s="1023">
        <v>21</v>
      </c>
      <c r="I27" s="24"/>
      <c r="J27" s="24"/>
      <c r="K27" s="24"/>
      <c r="L27" s="24"/>
      <c r="M27" s="24"/>
    </row>
    <row r="28" spans="1:13" s="2" customFormat="1" ht="10.199999999999999" x14ac:dyDescent="0.2">
      <c r="A28" s="641" t="s">
        <v>2570</v>
      </c>
      <c r="B28" s="1023">
        <v>27</v>
      </c>
      <c r="I28" s="24"/>
      <c r="J28" s="24"/>
      <c r="K28" s="24"/>
      <c r="L28" s="24"/>
      <c r="M28" s="24"/>
    </row>
    <row r="29" spans="1:13" s="2" customFormat="1" ht="10.199999999999999" x14ac:dyDescent="0.2">
      <c r="A29" s="641" t="s">
        <v>2571</v>
      </c>
      <c r="B29" s="1023">
        <v>141</v>
      </c>
      <c r="I29" s="24"/>
      <c r="J29" s="24"/>
      <c r="K29" s="24"/>
      <c r="L29" s="24"/>
      <c r="M29" s="24"/>
    </row>
    <row r="30" spans="1:13" s="2" customFormat="1" ht="10.199999999999999" x14ac:dyDescent="0.2">
      <c r="A30" s="641" t="s">
        <v>2572</v>
      </c>
      <c r="B30" s="1023">
        <v>5</v>
      </c>
      <c r="I30" s="24"/>
      <c r="J30" s="24"/>
      <c r="K30" s="24"/>
      <c r="L30" s="24"/>
      <c r="M30" s="24"/>
    </row>
    <row r="31" spans="1:13" s="2" customFormat="1" ht="10.199999999999999" x14ac:dyDescent="0.2">
      <c r="A31" s="309"/>
      <c r="I31" s="24"/>
      <c r="J31" s="24"/>
      <c r="K31" s="24"/>
      <c r="L31" s="24"/>
      <c r="M31" s="24"/>
    </row>
    <row r="32" spans="1:13" s="2" customFormat="1" ht="10.199999999999999" x14ac:dyDescent="0.2">
      <c r="A32" s="309"/>
      <c r="I32" s="24"/>
      <c r="J32" s="24"/>
      <c r="K32" s="24"/>
      <c r="L32" s="24"/>
      <c r="M32" s="24"/>
    </row>
    <row r="33" spans="1:13" s="2" customFormat="1" ht="10.199999999999999" x14ac:dyDescent="0.2">
      <c r="A33" s="309"/>
      <c r="I33" s="24"/>
      <c r="J33" s="24"/>
      <c r="K33" s="24"/>
      <c r="L33" s="24"/>
      <c r="M33" s="24"/>
    </row>
    <row r="34" spans="1:13" s="2" customFormat="1" ht="10.199999999999999" x14ac:dyDescent="0.2">
      <c r="A34" s="309"/>
      <c r="I34" s="24"/>
      <c r="J34" s="24"/>
      <c r="K34" s="24"/>
      <c r="L34" s="24"/>
      <c r="M34" s="24"/>
    </row>
    <row r="35" spans="1:13" s="2" customFormat="1" ht="10.199999999999999" x14ac:dyDescent="0.2">
      <c r="A35" s="309"/>
      <c r="I35" s="24"/>
      <c r="J35" s="24"/>
      <c r="K35" s="24"/>
      <c r="L35" s="24"/>
      <c r="M35" s="24"/>
    </row>
    <row r="36" spans="1:13" s="2" customFormat="1" ht="10.199999999999999" x14ac:dyDescent="0.2">
      <c r="A36" s="309"/>
      <c r="I36" s="24"/>
      <c r="J36" s="24"/>
      <c r="K36" s="24"/>
      <c r="L36" s="24"/>
      <c r="M36" s="24"/>
    </row>
    <row r="37" spans="1:13" s="2" customFormat="1" ht="10.199999999999999" x14ac:dyDescent="0.2">
      <c r="A37" s="309"/>
      <c r="I37" s="24"/>
      <c r="J37" s="24"/>
      <c r="K37" s="24"/>
      <c r="L37" s="24"/>
      <c r="M37" s="24"/>
    </row>
    <row r="38" spans="1:13" s="2" customFormat="1" ht="10.199999999999999" x14ac:dyDescent="0.2">
      <c r="A38" s="309"/>
      <c r="I38" s="24"/>
      <c r="J38" s="24"/>
      <c r="K38" s="24"/>
      <c r="L38" s="24"/>
      <c r="M38" s="24"/>
    </row>
    <row r="39" spans="1:13" s="2" customFormat="1" ht="10.199999999999999" x14ac:dyDescent="0.2">
      <c r="A39" s="309"/>
      <c r="I39" s="24"/>
      <c r="J39" s="24"/>
      <c r="K39" s="24"/>
      <c r="L39" s="24"/>
      <c r="M39" s="24"/>
    </row>
    <row r="40" spans="1:13" s="2" customFormat="1" ht="10.199999999999999" x14ac:dyDescent="0.2">
      <c r="A40" s="309"/>
      <c r="I40" s="24"/>
      <c r="J40" s="24"/>
      <c r="K40" s="24"/>
      <c r="L40" s="24"/>
      <c r="M40" s="24"/>
    </row>
    <row r="41" spans="1:13" s="2" customFormat="1" ht="10.199999999999999" x14ac:dyDescent="0.2">
      <c r="A41" s="309"/>
      <c r="I41" s="24"/>
      <c r="J41" s="24"/>
      <c r="K41" s="24"/>
      <c r="L41" s="24"/>
      <c r="M41" s="24"/>
    </row>
    <row r="42" spans="1:13" s="2" customFormat="1" ht="10.199999999999999" x14ac:dyDescent="0.2">
      <c r="A42" s="309"/>
      <c r="I42" s="24"/>
      <c r="J42" s="24"/>
      <c r="K42" s="24"/>
      <c r="L42" s="24"/>
      <c r="M42" s="24"/>
    </row>
    <row r="43" spans="1:13" s="2" customFormat="1" ht="10.199999999999999" x14ac:dyDescent="0.2">
      <c r="A43" s="309"/>
      <c r="I43" s="24"/>
      <c r="J43" s="24"/>
      <c r="K43" s="24"/>
      <c r="L43" s="24"/>
      <c r="M43" s="24"/>
    </row>
    <row r="44" spans="1:13" s="2" customFormat="1" ht="12.75" customHeight="1" x14ac:dyDescent="0.25">
      <c r="A44" s="624"/>
      <c r="B44" s="1011"/>
      <c r="C44" s="1011"/>
      <c r="D44" s="1011"/>
      <c r="I44" s="24"/>
      <c r="J44" s="24"/>
      <c r="K44" s="24"/>
      <c r="L44" s="24"/>
      <c r="M44" s="24"/>
    </row>
    <row r="45" spans="1:13" s="2" customFormat="1" ht="12.75" customHeight="1" x14ac:dyDescent="0.25">
      <c r="A45" s="624"/>
      <c r="B45" s="1011"/>
      <c r="C45" s="1011"/>
      <c r="D45" s="1011"/>
      <c r="I45" s="24"/>
      <c r="J45" s="24"/>
      <c r="K45" s="24"/>
      <c r="L45" s="24"/>
      <c r="M45" s="24"/>
    </row>
    <row r="46" spans="1:13" s="2" customFormat="1" ht="24" customHeight="1" x14ac:dyDescent="0.2">
      <c r="A46" s="624"/>
      <c r="B46" s="624"/>
      <c r="C46" s="624"/>
      <c r="D46" s="624"/>
      <c r="E46" s="624"/>
      <c r="I46" s="24"/>
      <c r="J46" s="24"/>
      <c r="K46" s="24"/>
      <c r="L46" s="24"/>
      <c r="M46" s="24"/>
    </row>
  </sheetData>
  <mergeCells count="3">
    <mergeCell ref="A2:D2"/>
    <mergeCell ref="A16:D16"/>
    <mergeCell ref="A18:C18"/>
  </mergeCells>
  <pageMargins left="0.7" right="0.7" top="0.75" bottom="0.75" header="0.3" footer="0.3"/>
  <pageSetup paperSize="14" orientation="landscape" r:id="rId1"/>
  <drawing r:id="rId2"/>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3EFA5C-AD71-4CDE-8D69-69C45F012CBA}">
  <sheetPr codeName="Hoja194"/>
  <dimension ref="A1:M22"/>
  <sheetViews>
    <sheetView workbookViewId="0">
      <selection activeCell="A53" sqref="A53"/>
    </sheetView>
  </sheetViews>
  <sheetFormatPr baseColWidth="10" defaultRowHeight="13.2" x14ac:dyDescent="0.25"/>
  <cols>
    <col min="1" max="1" width="31.6640625" customWidth="1"/>
  </cols>
  <sheetData>
    <row r="1" spans="1:13" x14ac:dyDescent="0.25">
      <c r="A1" s="1012"/>
    </row>
    <row r="2" spans="1:13" ht="33.75" customHeight="1" x14ac:dyDescent="0.25">
      <c r="A2" s="308" t="s">
        <v>2516</v>
      </c>
      <c r="B2" s="308"/>
      <c r="C2" s="308"/>
      <c r="D2" s="308"/>
      <c r="E2" s="308"/>
    </row>
    <row r="3" spans="1:13" s="2" customFormat="1" ht="10.199999999999999" x14ac:dyDescent="0.2">
      <c r="I3" s="24"/>
      <c r="J3" s="24"/>
      <c r="K3" s="24"/>
      <c r="L3" s="24"/>
      <c r="M3" s="24"/>
    </row>
    <row r="4" spans="1:13" s="2" customFormat="1" ht="15" customHeight="1" x14ac:dyDescent="0.2">
      <c r="A4" s="323" t="s">
        <v>2576</v>
      </c>
      <c r="B4" s="298" t="s">
        <v>2577</v>
      </c>
      <c r="C4" s="298"/>
      <c r="D4" s="298"/>
      <c r="E4" s="298"/>
      <c r="F4" s="309"/>
      <c r="I4" s="24"/>
      <c r="J4" s="24"/>
      <c r="K4" s="24"/>
      <c r="L4" s="24"/>
      <c r="M4" s="24"/>
    </row>
    <row r="5" spans="1:13" s="2" customFormat="1" ht="15" customHeight="1" x14ac:dyDescent="0.2">
      <c r="A5" s="323"/>
      <c r="B5" s="621">
        <v>2010</v>
      </c>
      <c r="C5" s="621">
        <v>2011</v>
      </c>
      <c r="D5" s="621">
        <v>2012</v>
      </c>
      <c r="E5" s="621">
        <v>2013</v>
      </c>
      <c r="I5" s="24"/>
      <c r="J5" s="24"/>
      <c r="K5" s="24"/>
      <c r="L5" s="24"/>
      <c r="M5" s="24"/>
    </row>
    <row r="6" spans="1:13" s="2" customFormat="1" ht="10.199999999999999" x14ac:dyDescent="0.2">
      <c r="A6" s="712" t="s">
        <v>42</v>
      </c>
      <c r="B6" s="655">
        <f>SUM(B7:B16)</f>
        <v>340175</v>
      </c>
      <c r="C6" s="655">
        <f>SUM(C7:C16)</f>
        <v>415757</v>
      </c>
      <c r="D6" s="655">
        <f>SUM(D7:D16)</f>
        <v>302009</v>
      </c>
      <c r="E6" s="655">
        <f>SUM(E7:E16)</f>
        <v>391304</v>
      </c>
      <c r="F6" s="655"/>
      <c r="G6" s="655"/>
      <c r="H6" s="655"/>
      <c r="I6" s="655"/>
      <c r="J6" s="655"/>
      <c r="K6" s="24"/>
      <c r="L6" s="24"/>
      <c r="M6" s="24"/>
    </row>
    <row r="7" spans="1:13" s="2" customFormat="1" ht="10.199999999999999" x14ac:dyDescent="0.2">
      <c r="A7" s="2" t="s">
        <v>2578</v>
      </c>
      <c r="B7" s="909">
        <v>135367</v>
      </c>
      <c r="C7" s="643">
        <v>167364</v>
      </c>
      <c r="D7" s="643">
        <v>123710</v>
      </c>
      <c r="E7" s="643">
        <v>103658</v>
      </c>
      <c r="F7" s="643"/>
      <c r="G7" s="909"/>
      <c r="H7" s="643"/>
      <c r="I7" s="643"/>
      <c r="J7" s="643"/>
      <c r="K7" s="24"/>
      <c r="L7" s="24"/>
      <c r="M7" s="24"/>
    </row>
    <row r="8" spans="1:13" s="2" customFormat="1" ht="10.199999999999999" x14ac:dyDescent="0.2">
      <c r="A8" s="2" t="s">
        <v>2579</v>
      </c>
      <c r="B8" s="909">
        <v>58523</v>
      </c>
      <c r="C8" s="643">
        <v>72267</v>
      </c>
      <c r="D8" s="643">
        <v>55390</v>
      </c>
      <c r="E8" s="643">
        <v>41594</v>
      </c>
      <c r="F8" s="643"/>
      <c r="G8" s="909"/>
      <c r="H8" s="643"/>
      <c r="I8" s="643"/>
      <c r="J8" s="643"/>
      <c r="K8" s="24"/>
      <c r="L8" s="24"/>
      <c r="M8" s="24"/>
    </row>
    <row r="9" spans="1:13" s="2" customFormat="1" ht="10.199999999999999" x14ac:dyDescent="0.2">
      <c r="A9" s="2" t="s">
        <v>2580</v>
      </c>
      <c r="B9" s="909">
        <v>31615</v>
      </c>
      <c r="C9" s="643">
        <v>27812</v>
      </c>
      <c r="D9" s="643">
        <v>26552</v>
      </c>
      <c r="E9" s="643">
        <v>21219</v>
      </c>
      <c r="F9" s="643"/>
      <c r="G9" s="909"/>
      <c r="H9" s="643"/>
      <c r="I9" s="643"/>
      <c r="J9" s="643"/>
      <c r="K9" s="24"/>
      <c r="L9" s="24"/>
      <c r="M9" s="24"/>
    </row>
    <row r="10" spans="1:13" s="2" customFormat="1" ht="10.199999999999999" x14ac:dyDescent="0.2">
      <c r="A10" s="2" t="s">
        <v>2581</v>
      </c>
      <c r="B10" s="909">
        <v>47382</v>
      </c>
      <c r="C10" s="643">
        <v>56017</v>
      </c>
      <c r="D10" s="643">
        <v>37806</v>
      </c>
      <c r="E10" s="643">
        <v>29596</v>
      </c>
      <c r="F10" s="643"/>
      <c r="G10" s="909"/>
      <c r="H10" s="643"/>
      <c r="I10" s="643"/>
      <c r="J10" s="643"/>
      <c r="K10" s="24"/>
      <c r="L10" s="24"/>
      <c r="M10" s="24"/>
    </row>
    <row r="11" spans="1:13" s="2" customFormat="1" ht="10.199999999999999" x14ac:dyDescent="0.2">
      <c r="A11" s="2" t="s">
        <v>2582</v>
      </c>
      <c r="B11" s="909">
        <v>47271</v>
      </c>
      <c r="C11" s="643">
        <v>48657</v>
      </c>
      <c r="D11" s="643">
        <v>31968</v>
      </c>
      <c r="E11" s="643">
        <v>40739</v>
      </c>
      <c r="F11" s="643"/>
      <c r="G11" s="909"/>
      <c r="H11" s="643"/>
      <c r="I11" s="643"/>
      <c r="J11" s="643"/>
      <c r="K11" s="24"/>
      <c r="L11" s="24"/>
      <c r="M11" s="24"/>
    </row>
    <row r="12" spans="1:13" s="2" customFormat="1" ht="10.199999999999999" x14ac:dyDescent="0.2">
      <c r="A12" s="2" t="s">
        <v>2583</v>
      </c>
      <c r="B12" s="909">
        <v>755</v>
      </c>
      <c r="C12" s="643">
        <v>699</v>
      </c>
      <c r="D12" s="643">
        <v>975</v>
      </c>
      <c r="E12" s="643">
        <v>3672</v>
      </c>
      <c r="F12" s="643"/>
      <c r="G12" s="909"/>
      <c r="H12" s="643"/>
      <c r="I12" s="643"/>
      <c r="J12" s="643"/>
      <c r="K12" s="24"/>
      <c r="L12" s="24"/>
      <c r="M12" s="24"/>
    </row>
    <row r="13" spans="1:13" s="2" customFormat="1" ht="10.199999999999999" x14ac:dyDescent="0.2">
      <c r="A13" s="2" t="s">
        <v>2584</v>
      </c>
      <c r="B13" s="909">
        <v>18023</v>
      </c>
      <c r="C13" s="643">
        <v>13099</v>
      </c>
      <c r="D13" s="643">
        <v>5352</v>
      </c>
      <c r="E13" s="643">
        <v>4971</v>
      </c>
      <c r="F13" s="643"/>
      <c r="G13" s="909"/>
      <c r="H13" s="643"/>
      <c r="I13" s="643"/>
      <c r="J13" s="643"/>
      <c r="K13" s="24"/>
      <c r="L13" s="24"/>
      <c r="M13" s="24"/>
    </row>
    <row r="14" spans="1:13" s="2" customFormat="1" ht="10.199999999999999" x14ac:dyDescent="0.2">
      <c r="A14" s="2" t="s">
        <v>2585</v>
      </c>
      <c r="B14" s="909">
        <v>1238</v>
      </c>
      <c r="C14" s="643">
        <v>781</v>
      </c>
      <c r="D14" s="643">
        <v>1399</v>
      </c>
      <c r="E14" s="643">
        <v>1900</v>
      </c>
      <c r="F14" s="643"/>
      <c r="G14" s="909"/>
      <c r="H14" s="643"/>
      <c r="I14" s="643"/>
      <c r="J14" s="643"/>
      <c r="K14" s="24"/>
      <c r="L14" s="24"/>
      <c r="M14" s="24"/>
    </row>
    <row r="15" spans="1:13" s="2" customFormat="1" ht="10.199999999999999" x14ac:dyDescent="0.2">
      <c r="A15" s="2" t="s">
        <v>2586</v>
      </c>
      <c r="B15" s="909">
        <v>1</v>
      </c>
      <c r="C15" s="643">
        <v>2639</v>
      </c>
      <c r="D15" s="643">
        <v>13972</v>
      </c>
      <c r="E15" s="643">
        <v>12010</v>
      </c>
      <c r="F15" s="643"/>
      <c r="G15" s="909"/>
      <c r="H15" s="643"/>
      <c r="I15" s="643"/>
      <c r="J15" s="643"/>
      <c r="K15" s="24"/>
      <c r="L15" s="24"/>
      <c r="M15" s="24"/>
    </row>
    <row r="16" spans="1:13" s="2" customFormat="1" ht="12.75" customHeight="1" x14ac:dyDescent="0.2">
      <c r="A16" s="2" t="s">
        <v>2587</v>
      </c>
      <c r="B16" s="1024">
        <v>0</v>
      </c>
      <c r="C16" s="643">
        <v>26422</v>
      </c>
      <c r="D16" s="643">
        <v>4885</v>
      </c>
      <c r="E16" s="643">
        <v>131945</v>
      </c>
      <c r="F16" s="643"/>
      <c r="G16" s="1024"/>
      <c r="H16" s="643"/>
      <c r="I16" s="643"/>
      <c r="J16" s="643"/>
      <c r="K16" s="24"/>
      <c r="L16" s="24"/>
      <c r="M16" s="24"/>
    </row>
    <row r="17" spans="1:13" s="2" customFormat="1" ht="6" customHeight="1" x14ac:dyDescent="0.2">
      <c r="B17" s="1024"/>
      <c r="C17" s="643"/>
      <c r="D17" s="643"/>
      <c r="E17" s="643"/>
      <c r="F17" s="643"/>
      <c r="G17" s="1024"/>
      <c r="H17" s="643"/>
      <c r="I17" s="643"/>
      <c r="J17" s="643"/>
      <c r="K17" s="24"/>
      <c r="L17" s="24"/>
      <c r="M17" s="24"/>
    </row>
    <row r="18" spans="1:13" s="324" customFormat="1" ht="10.199999999999999" x14ac:dyDescent="0.25">
      <c r="A18" s="704" t="s">
        <v>2588</v>
      </c>
      <c r="B18" s="704"/>
      <c r="C18" s="704"/>
      <c r="D18" s="704"/>
      <c r="E18" s="704"/>
      <c r="I18" s="337"/>
      <c r="J18" s="337"/>
      <c r="K18" s="337"/>
      <c r="L18" s="337"/>
      <c r="M18" s="337"/>
    </row>
    <row r="19" spans="1:13" s="324" customFormat="1" ht="12.75" customHeight="1" x14ac:dyDescent="0.25">
      <c r="A19" s="1025" t="s">
        <v>2589</v>
      </c>
      <c r="B19" s="1025"/>
      <c r="C19" s="1025"/>
      <c r="D19" s="1025"/>
      <c r="E19" s="1025"/>
      <c r="I19" s="337"/>
      <c r="J19" s="337"/>
      <c r="K19" s="337"/>
      <c r="L19" s="337"/>
      <c r="M19" s="337"/>
    </row>
    <row r="20" spans="1:13" s="1010" customFormat="1" ht="10.199999999999999" x14ac:dyDescent="0.2">
      <c r="A20" s="745" t="s">
        <v>1185</v>
      </c>
      <c r="B20" s="745"/>
      <c r="C20" s="745"/>
      <c r="D20" s="745"/>
      <c r="E20" s="745"/>
      <c r="F20" s="2"/>
      <c r="G20" s="2"/>
      <c r="H20" s="2"/>
      <c r="I20" s="2"/>
    </row>
    <row r="21" spans="1:13" s="324" customFormat="1" x14ac:dyDescent="0.25">
      <c r="A21" s="1026" t="s">
        <v>1128</v>
      </c>
      <c r="B21" s="1014"/>
      <c r="C21" s="1014"/>
      <c r="I21" s="337"/>
      <c r="J21" s="337"/>
      <c r="K21" s="337"/>
      <c r="L21" s="337"/>
      <c r="M21" s="337"/>
    </row>
    <row r="22" spans="1:13" s="2" customFormat="1" ht="10.199999999999999" x14ac:dyDescent="0.2">
      <c r="A22" s="309"/>
      <c r="I22" s="24"/>
      <c r="J22" s="24"/>
      <c r="K22" s="24"/>
      <c r="L22" s="24"/>
      <c r="M22" s="24"/>
    </row>
  </sheetData>
  <mergeCells count="7">
    <mergeCell ref="A21:C21"/>
    <mergeCell ref="A2:E2"/>
    <mergeCell ref="A4:A5"/>
    <mergeCell ref="B4:E4"/>
    <mergeCell ref="A18:E18"/>
    <mergeCell ref="A19:E19"/>
    <mergeCell ref="A20:E20"/>
  </mergeCells>
  <pageMargins left="0.7" right="0.7" top="0.75" bottom="0.75" header="0.3" footer="0.3"/>
  <pageSetup paperSize="14" orientation="landscape" r:id="rId1"/>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9FC83-2161-4E92-8FB3-B85BFD9AFBE7}">
  <sheetPr codeName="Hoja195"/>
  <dimension ref="A2:M20"/>
  <sheetViews>
    <sheetView workbookViewId="0">
      <selection activeCell="A53" sqref="A53"/>
    </sheetView>
  </sheetViews>
  <sheetFormatPr baseColWidth="10" defaultRowHeight="13.2" x14ac:dyDescent="0.25"/>
  <cols>
    <col min="1" max="1" width="24.33203125" customWidth="1"/>
  </cols>
  <sheetData>
    <row r="2" spans="1:13" s="324" customFormat="1" ht="37.5" customHeight="1" x14ac:dyDescent="0.2">
      <c r="A2" s="308" t="s">
        <v>2517</v>
      </c>
      <c r="B2" s="308"/>
      <c r="C2" s="308"/>
      <c r="D2" s="308"/>
      <c r="E2" s="308"/>
      <c r="L2" s="337"/>
      <c r="M2" s="337"/>
    </row>
    <row r="3" spans="1:13" s="2" customFormat="1" ht="10.199999999999999" x14ac:dyDescent="0.2">
      <c r="L3" s="24"/>
      <c r="M3" s="24"/>
    </row>
    <row r="4" spans="1:13" s="2" customFormat="1" ht="13.5" customHeight="1" x14ac:dyDescent="0.2">
      <c r="A4" s="323" t="s">
        <v>2590</v>
      </c>
      <c r="B4" s="298" t="s">
        <v>2577</v>
      </c>
      <c r="C4" s="298"/>
      <c r="D4" s="298"/>
      <c r="E4" s="298"/>
      <c r="F4" s="309"/>
      <c r="H4" s="309"/>
      <c r="I4" s="309"/>
      <c r="J4" s="309"/>
      <c r="K4" s="309"/>
      <c r="L4" s="24"/>
      <c r="M4" s="24"/>
    </row>
    <row r="5" spans="1:13" s="2" customFormat="1" ht="13.5" customHeight="1" x14ac:dyDescent="0.2">
      <c r="A5" s="323"/>
      <c r="B5" s="621">
        <v>2010</v>
      </c>
      <c r="C5" s="621">
        <v>2011</v>
      </c>
      <c r="D5" s="621">
        <v>2012</v>
      </c>
      <c r="E5" s="621">
        <v>2013</v>
      </c>
      <c r="L5" s="24"/>
      <c r="M5" s="24"/>
    </row>
    <row r="6" spans="1:13" s="24" customFormat="1" ht="10.199999999999999" x14ac:dyDescent="0.2">
      <c r="A6" s="712" t="s">
        <v>3</v>
      </c>
      <c r="B6" s="655">
        <f>SUM(B7:B16)</f>
        <v>1944877</v>
      </c>
      <c r="C6" s="655">
        <f>SUM(C7:C16)</f>
        <v>2411109</v>
      </c>
      <c r="D6" s="655">
        <f>SUM(D7:D16)</f>
        <v>2502699</v>
      </c>
      <c r="E6" s="655">
        <f>SUM(E7:E16)</f>
        <v>2793829</v>
      </c>
      <c r="F6" s="655"/>
      <c r="G6" s="714"/>
      <c r="H6" s="643"/>
      <c r="I6" s="643"/>
      <c r="J6" s="643"/>
      <c r="K6" s="643"/>
    </row>
    <row r="7" spans="1:13" s="2" customFormat="1" ht="12.75" customHeight="1" x14ac:dyDescent="0.2">
      <c r="A7" s="2" t="s">
        <v>2591</v>
      </c>
      <c r="B7" s="269">
        <v>127256</v>
      </c>
      <c r="C7" s="269">
        <v>179766</v>
      </c>
      <c r="D7" s="643">
        <v>197899</v>
      </c>
      <c r="E7" s="643">
        <v>233240</v>
      </c>
      <c r="F7" s="643"/>
      <c r="H7" s="643"/>
      <c r="I7" s="387"/>
      <c r="J7" s="387"/>
      <c r="K7" s="643"/>
      <c r="L7" s="24"/>
      <c r="M7" s="24"/>
    </row>
    <row r="8" spans="1:13" s="2" customFormat="1" ht="12.75" customHeight="1" x14ac:dyDescent="0.2">
      <c r="A8" s="2" t="s">
        <v>2592</v>
      </c>
      <c r="B8" s="269">
        <v>67798</v>
      </c>
      <c r="C8" s="269">
        <v>87459</v>
      </c>
      <c r="D8" s="643">
        <v>93547</v>
      </c>
      <c r="E8" s="643">
        <v>104987</v>
      </c>
      <c r="F8" s="643"/>
      <c r="H8" s="643"/>
      <c r="I8" s="387"/>
      <c r="J8" s="387"/>
      <c r="K8" s="643"/>
      <c r="L8" s="24"/>
      <c r="M8" s="24"/>
    </row>
    <row r="9" spans="1:13" s="2" customFormat="1" ht="10.199999999999999" x14ac:dyDescent="0.2">
      <c r="A9" s="2" t="s">
        <v>2593</v>
      </c>
      <c r="B9" s="269">
        <v>198598</v>
      </c>
      <c r="C9" s="269">
        <v>277440</v>
      </c>
      <c r="D9" s="643">
        <v>289402</v>
      </c>
      <c r="E9" s="643">
        <v>318732</v>
      </c>
      <c r="F9" s="643"/>
      <c r="H9" s="643"/>
      <c r="I9" s="387"/>
      <c r="J9" s="387"/>
      <c r="K9" s="643"/>
      <c r="L9" s="24"/>
      <c r="M9" s="24"/>
    </row>
    <row r="10" spans="1:13" s="2" customFormat="1" ht="10.199999999999999" x14ac:dyDescent="0.2">
      <c r="A10" s="309" t="s">
        <v>2594</v>
      </c>
      <c r="B10" s="269">
        <v>46852</v>
      </c>
      <c r="C10" s="269">
        <v>63656</v>
      </c>
      <c r="D10" s="643">
        <v>63371</v>
      </c>
      <c r="E10" s="643">
        <v>71175</v>
      </c>
      <c r="F10" s="643"/>
      <c r="G10" s="309"/>
      <c r="H10" s="643"/>
      <c r="I10" s="387"/>
      <c r="J10" s="387"/>
      <c r="K10" s="643"/>
    </row>
    <row r="11" spans="1:13" s="2" customFormat="1" ht="10.199999999999999" x14ac:dyDescent="0.2">
      <c r="A11" s="2" t="s">
        <v>2595</v>
      </c>
      <c r="B11" s="269">
        <v>196824</v>
      </c>
      <c r="C11" s="269">
        <v>68123</v>
      </c>
      <c r="D11" s="643">
        <v>73531</v>
      </c>
      <c r="E11" s="643">
        <v>79438</v>
      </c>
      <c r="F11" s="643"/>
      <c r="H11" s="643"/>
      <c r="I11" s="387"/>
      <c r="J11" s="387"/>
      <c r="K11" s="643"/>
    </row>
    <row r="12" spans="1:13" s="2" customFormat="1" ht="10.199999999999999" x14ac:dyDescent="0.2">
      <c r="A12" s="2" t="s">
        <v>2596</v>
      </c>
      <c r="B12" s="269">
        <v>154379</v>
      </c>
      <c r="C12" s="269">
        <v>208372</v>
      </c>
      <c r="D12" s="643">
        <v>215164</v>
      </c>
      <c r="E12" s="643">
        <v>236093</v>
      </c>
      <c r="F12" s="643"/>
      <c r="H12" s="643"/>
      <c r="I12" s="387"/>
      <c r="J12" s="387"/>
      <c r="K12" s="643"/>
    </row>
    <row r="13" spans="1:13" s="2" customFormat="1" ht="10.199999999999999" x14ac:dyDescent="0.2">
      <c r="A13" s="2" t="s">
        <v>2597</v>
      </c>
      <c r="B13" s="269">
        <v>20350</v>
      </c>
      <c r="C13" s="269">
        <v>24657</v>
      </c>
      <c r="D13" s="643">
        <v>25941</v>
      </c>
      <c r="E13" s="643">
        <v>28391</v>
      </c>
      <c r="F13" s="643"/>
      <c r="H13" s="1027"/>
      <c r="I13" s="387"/>
      <c r="J13" s="387"/>
      <c r="K13" s="643"/>
    </row>
    <row r="14" spans="1:13" s="2" customFormat="1" ht="10.199999999999999" x14ac:dyDescent="0.2">
      <c r="A14" s="2" t="s">
        <v>2598</v>
      </c>
      <c r="B14" s="269">
        <v>995930</v>
      </c>
      <c r="C14" s="269">
        <v>1316411</v>
      </c>
      <c r="D14" s="643">
        <v>1351923</v>
      </c>
      <c r="E14" s="643">
        <v>1507202</v>
      </c>
      <c r="F14" s="643"/>
      <c r="H14" s="643"/>
      <c r="I14" s="387"/>
      <c r="J14" s="387"/>
      <c r="K14" s="643"/>
    </row>
    <row r="15" spans="1:13" s="2" customFormat="1" ht="10.199999999999999" x14ac:dyDescent="0.2">
      <c r="A15" s="2" t="s">
        <v>2599</v>
      </c>
      <c r="B15" s="269">
        <v>28007</v>
      </c>
      <c r="C15" s="269">
        <v>36892</v>
      </c>
      <c r="D15" s="643">
        <v>37396</v>
      </c>
      <c r="E15" s="643">
        <v>40608</v>
      </c>
      <c r="F15" s="643"/>
      <c r="H15" s="643"/>
      <c r="I15" s="387"/>
      <c r="J15" s="387"/>
      <c r="K15" s="643"/>
    </row>
    <row r="16" spans="1:13" s="2" customFormat="1" ht="10.199999999999999" x14ac:dyDescent="0.2">
      <c r="A16" s="2" t="s">
        <v>2600</v>
      </c>
      <c r="B16" s="269">
        <v>108883</v>
      </c>
      <c r="C16" s="269">
        <v>148333</v>
      </c>
      <c r="D16" s="643">
        <v>154525</v>
      </c>
      <c r="E16" s="643">
        <v>173963</v>
      </c>
      <c r="F16" s="643"/>
      <c r="H16" s="643"/>
      <c r="I16" s="387"/>
      <c r="J16" s="387"/>
      <c r="K16" s="643"/>
    </row>
    <row r="17" spans="1:11" s="2" customFormat="1" ht="5.25" customHeight="1" x14ac:dyDescent="0.2">
      <c r="B17" s="269"/>
      <c r="C17" s="269"/>
      <c r="D17" s="643"/>
      <c r="E17" s="643"/>
      <c r="F17" s="643"/>
      <c r="H17" s="643"/>
      <c r="I17" s="387"/>
      <c r="J17" s="387"/>
      <c r="K17" s="643"/>
    </row>
    <row r="18" spans="1:11" s="2" customFormat="1" ht="24" customHeight="1" x14ac:dyDescent="0.25">
      <c r="A18" s="638" t="s">
        <v>2601</v>
      </c>
      <c r="B18" s="698"/>
      <c r="C18" s="698"/>
      <c r="D18" s="698"/>
      <c r="E18" s="698"/>
      <c r="G18" s="309"/>
      <c r="H18" s="309"/>
      <c r="I18" s="309"/>
      <c r="J18" s="309"/>
      <c r="K18" s="309"/>
    </row>
    <row r="19" spans="1:11" s="2" customFormat="1" ht="10.199999999999999" x14ac:dyDescent="0.2">
      <c r="A19" s="745" t="s">
        <v>1128</v>
      </c>
      <c r="B19" s="745"/>
      <c r="C19" s="745"/>
      <c r="D19" s="745"/>
      <c r="E19" s="745"/>
    </row>
    <row r="20" spans="1:11" s="2" customFormat="1" ht="10.199999999999999" x14ac:dyDescent="0.2">
      <c r="B20" s="643"/>
    </row>
  </sheetData>
  <mergeCells count="5">
    <mergeCell ref="A2:E2"/>
    <mergeCell ref="A4:A5"/>
    <mergeCell ref="B4:E4"/>
    <mergeCell ref="A18:E18"/>
    <mergeCell ref="A19:E19"/>
  </mergeCells>
  <pageMargins left="0.7" right="0.7" top="0.75" bottom="0.75" header="0.3" footer="0.3"/>
  <pageSetup paperSize="14" orientation="landscape" r:id="rId1"/>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EA1771-07D2-4161-BAC8-8C7F7DCE3A30}">
  <sheetPr codeName="Hoja196"/>
  <dimension ref="A1:J22"/>
  <sheetViews>
    <sheetView workbookViewId="0">
      <selection activeCell="A53" sqref="A53"/>
    </sheetView>
  </sheetViews>
  <sheetFormatPr baseColWidth="10" defaultRowHeight="13.2" x14ac:dyDescent="0.25"/>
  <cols>
    <col min="1" max="1" width="36.33203125" customWidth="1"/>
    <col min="2" max="5" width="17.109375" customWidth="1"/>
  </cols>
  <sheetData>
    <row r="1" spans="1:10" s="2" customFormat="1" x14ac:dyDescent="0.2">
      <c r="A1" s="1009"/>
      <c r="B1" s="643"/>
    </row>
    <row r="2" spans="1:10" s="2" customFormat="1" ht="27.75" customHeight="1" x14ac:dyDescent="0.2">
      <c r="A2" s="308" t="s">
        <v>2518</v>
      </c>
      <c r="B2" s="308"/>
      <c r="C2" s="308"/>
      <c r="D2" s="308"/>
      <c r="E2" s="308"/>
    </row>
    <row r="3" spans="1:10" s="2" customFormat="1" ht="10.5" customHeight="1" x14ac:dyDescent="0.2">
      <c r="J3" s="141"/>
    </row>
    <row r="4" spans="1:10" s="2" customFormat="1" ht="13.5" customHeight="1" x14ac:dyDescent="0.2">
      <c r="A4" s="275" t="s">
        <v>1203</v>
      </c>
      <c r="B4" s="298" t="s">
        <v>2577</v>
      </c>
      <c r="C4" s="298"/>
      <c r="D4" s="298"/>
      <c r="E4" s="298"/>
      <c r="F4" s="309"/>
    </row>
    <row r="5" spans="1:10" s="2" customFormat="1" ht="13.5" customHeight="1" x14ac:dyDescent="0.2">
      <c r="A5" s="277"/>
      <c r="B5" s="621">
        <v>2010</v>
      </c>
      <c r="C5" s="621">
        <v>2011</v>
      </c>
      <c r="D5" s="621">
        <v>2012</v>
      </c>
      <c r="E5" s="621">
        <v>2013</v>
      </c>
    </row>
    <row r="6" spans="1:10" s="2" customFormat="1" ht="10.199999999999999" x14ac:dyDescent="0.2">
      <c r="A6" s="712" t="s">
        <v>3</v>
      </c>
      <c r="B6" s="655">
        <f>SUM(B7:B15)</f>
        <v>1794203</v>
      </c>
      <c r="C6" s="655">
        <f t="shared" ref="C6:D6" si="0">SUM(C7:C15)</f>
        <v>2066622</v>
      </c>
      <c r="D6" s="655">
        <f t="shared" si="0"/>
        <v>2467438</v>
      </c>
      <c r="E6" s="655">
        <f>SUM(E7:E15)</f>
        <v>2734913</v>
      </c>
      <c r="F6" s="655"/>
    </row>
    <row r="7" spans="1:10" s="2" customFormat="1" ht="12.75" customHeight="1" x14ac:dyDescent="0.2">
      <c r="A7" s="2" t="s">
        <v>2578</v>
      </c>
      <c r="B7" s="643">
        <v>862929</v>
      </c>
      <c r="C7" s="643">
        <v>929643</v>
      </c>
      <c r="D7" s="643">
        <v>1056049</v>
      </c>
      <c r="E7" s="643">
        <v>1159707</v>
      </c>
      <c r="F7" s="643"/>
    </row>
    <row r="8" spans="1:10" s="2" customFormat="1" ht="10.199999999999999" x14ac:dyDescent="0.2">
      <c r="A8" s="2" t="s">
        <v>2579</v>
      </c>
      <c r="B8" s="643">
        <v>239654</v>
      </c>
      <c r="C8" s="643">
        <v>314543</v>
      </c>
      <c r="D8" s="643">
        <v>370569</v>
      </c>
      <c r="E8" s="643">
        <v>412163</v>
      </c>
      <c r="F8" s="643"/>
    </row>
    <row r="9" spans="1:10" s="2" customFormat="1" ht="10.199999999999999" x14ac:dyDescent="0.2">
      <c r="A9" s="2" t="s">
        <v>2580</v>
      </c>
      <c r="B9" s="643">
        <v>108004</v>
      </c>
      <c r="C9" s="643">
        <v>129296</v>
      </c>
      <c r="D9" s="643">
        <v>164095</v>
      </c>
      <c r="E9" s="643">
        <v>185314</v>
      </c>
      <c r="F9" s="643"/>
    </row>
    <row r="10" spans="1:10" s="2" customFormat="1" ht="10.199999999999999" x14ac:dyDescent="0.2">
      <c r="A10" s="309" t="s">
        <v>2581</v>
      </c>
      <c r="B10" s="643">
        <v>247994</v>
      </c>
      <c r="C10" s="643">
        <v>280067</v>
      </c>
      <c r="D10" s="643">
        <v>337731</v>
      </c>
      <c r="E10" s="643">
        <v>367327</v>
      </c>
      <c r="F10" s="643"/>
    </row>
    <row r="11" spans="1:10" s="2" customFormat="1" ht="10.199999999999999" x14ac:dyDescent="0.2">
      <c r="A11" s="2" t="s">
        <v>2582</v>
      </c>
      <c r="B11" s="643">
        <v>243151</v>
      </c>
      <c r="C11" s="643">
        <v>235847</v>
      </c>
      <c r="D11" s="643">
        <v>338465</v>
      </c>
      <c r="E11" s="643">
        <v>379204</v>
      </c>
      <c r="F11" s="643"/>
    </row>
    <row r="12" spans="1:10" s="2" customFormat="1" ht="10.199999999999999" x14ac:dyDescent="0.2">
      <c r="A12" s="2" t="s">
        <v>2583</v>
      </c>
      <c r="B12" s="643">
        <v>7745</v>
      </c>
      <c r="C12" s="643">
        <v>77779</v>
      </c>
      <c r="D12" s="643">
        <v>9301</v>
      </c>
      <c r="E12" s="643">
        <v>12973</v>
      </c>
      <c r="F12" s="643"/>
    </row>
    <row r="13" spans="1:10" s="2" customFormat="1" ht="10.199999999999999" x14ac:dyDescent="0.2">
      <c r="A13" s="2" t="s">
        <v>2584</v>
      </c>
      <c r="B13" s="643">
        <v>66649</v>
      </c>
      <c r="C13" s="643">
        <v>70750</v>
      </c>
      <c r="D13" s="643">
        <v>153849</v>
      </c>
      <c r="E13" s="643">
        <v>158820</v>
      </c>
      <c r="F13" s="643"/>
    </row>
    <row r="14" spans="1:10" s="2" customFormat="1" ht="10.199999999999999" x14ac:dyDescent="0.2">
      <c r="A14" s="2" t="s">
        <v>2585</v>
      </c>
      <c r="B14" s="643">
        <v>5355</v>
      </c>
      <c r="C14" s="643">
        <v>14464</v>
      </c>
      <c r="D14" s="643">
        <v>8841</v>
      </c>
      <c r="E14" s="643">
        <v>10741</v>
      </c>
      <c r="F14" s="643"/>
    </row>
    <row r="15" spans="1:10" s="2" customFormat="1" ht="10.199999999999999" x14ac:dyDescent="0.2">
      <c r="A15" s="2" t="s">
        <v>2602</v>
      </c>
      <c r="B15" s="643">
        <v>12722</v>
      </c>
      <c r="C15" s="643">
        <v>14233</v>
      </c>
      <c r="D15" s="643">
        <v>28538</v>
      </c>
      <c r="E15" s="643">
        <v>48664</v>
      </c>
      <c r="F15" s="643"/>
    </row>
    <row r="16" spans="1:10" s="2" customFormat="1" ht="8.25" customHeight="1" x14ac:dyDescent="0.2">
      <c r="B16" s="643"/>
      <c r="C16" s="643"/>
      <c r="D16" s="643"/>
      <c r="E16" s="643"/>
      <c r="F16" s="643"/>
    </row>
    <row r="17" spans="1:5" s="2" customFormat="1" ht="24" customHeight="1" x14ac:dyDescent="0.25">
      <c r="A17" s="639" t="s">
        <v>2603</v>
      </c>
      <c r="B17" s="1028"/>
      <c r="C17" s="1028"/>
      <c r="D17" s="1028"/>
      <c r="E17" s="1028"/>
    </row>
    <row r="18" spans="1:5" s="2" customFormat="1" ht="10.199999999999999" x14ac:dyDescent="0.2">
      <c r="A18" s="745" t="s">
        <v>1128</v>
      </c>
      <c r="B18" s="745"/>
      <c r="C18" s="745"/>
      <c r="D18" s="745"/>
      <c r="E18" s="745"/>
    </row>
    <row r="19" spans="1:5" s="2" customFormat="1" ht="10.199999999999999" x14ac:dyDescent="0.2"/>
    <row r="20" spans="1:5" s="2" customFormat="1" ht="10.199999999999999" x14ac:dyDescent="0.2"/>
    <row r="21" spans="1:5" s="2" customFormat="1" ht="10.199999999999999" x14ac:dyDescent="0.2"/>
    <row r="22" spans="1:5" s="2" customFormat="1" ht="10.199999999999999" x14ac:dyDescent="0.2"/>
  </sheetData>
  <mergeCells count="5">
    <mergeCell ref="A2:E2"/>
    <mergeCell ref="A4:A5"/>
    <mergeCell ref="B4:E4"/>
    <mergeCell ref="A17:E17"/>
    <mergeCell ref="A18:E18"/>
  </mergeCells>
  <pageMargins left="0.7" right="0.7" top="0.75" bottom="0.75" header="0.3" footer="0.3"/>
  <pageSetup paperSize="14" orientation="landscape" r:id="rId1"/>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463FF-C482-4086-9FAE-66BF864A5330}">
  <sheetPr codeName="Hoja197"/>
  <dimension ref="A1:P10"/>
  <sheetViews>
    <sheetView workbookViewId="0">
      <selection activeCell="A53" sqref="A53"/>
    </sheetView>
  </sheetViews>
  <sheetFormatPr baseColWidth="10" defaultRowHeight="13.2" x14ac:dyDescent="0.25"/>
  <cols>
    <col min="1" max="1" width="23" customWidth="1"/>
  </cols>
  <sheetData>
    <row r="1" spans="1:16" x14ac:dyDescent="0.25">
      <c r="A1" s="1012"/>
    </row>
    <row r="2" spans="1:16" ht="23.25" customHeight="1" x14ac:dyDescent="0.25">
      <c r="A2" s="308" t="s">
        <v>2519</v>
      </c>
      <c r="B2" s="308"/>
      <c r="C2" s="308"/>
      <c r="D2" s="308"/>
      <c r="E2" s="308"/>
      <c r="F2" s="308"/>
    </row>
    <row r="3" spans="1:16" s="24" customFormat="1" ht="15" customHeight="1" x14ac:dyDescent="0.2">
      <c r="A3" s="662"/>
      <c r="B3" s="662"/>
      <c r="C3" s="662"/>
      <c r="D3" s="662"/>
      <c r="E3" s="662"/>
      <c r="F3" s="662"/>
      <c r="M3" s="2"/>
      <c r="N3" s="2"/>
      <c r="O3" s="2"/>
      <c r="P3" s="2"/>
    </row>
    <row r="4" spans="1:16" s="24" customFormat="1" ht="33.75" customHeight="1" x14ac:dyDescent="0.2">
      <c r="A4" s="644" t="s">
        <v>2604</v>
      </c>
      <c r="B4" s="621">
        <v>2009</v>
      </c>
      <c r="C4" s="621">
        <v>2010</v>
      </c>
      <c r="D4" s="621">
        <v>2011</v>
      </c>
      <c r="E4" s="621">
        <v>2012</v>
      </c>
      <c r="F4" s="621" t="s">
        <v>2605</v>
      </c>
    </row>
    <row r="5" spans="1:16" s="24" customFormat="1" ht="21" customHeight="1" x14ac:dyDescent="0.2">
      <c r="A5" s="309" t="s">
        <v>2606</v>
      </c>
      <c r="B5" s="643">
        <v>131000</v>
      </c>
      <c r="C5" s="643">
        <v>60231</v>
      </c>
      <c r="D5" s="643">
        <v>70000</v>
      </c>
      <c r="E5" s="643">
        <v>211895</v>
      </c>
      <c r="F5" s="643">
        <v>121934</v>
      </c>
      <c r="G5" s="442"/>
      <c r="H5" s="2"/>
    </row>
    <row r="6" spans="1:16" s="24" customFormat="1" ht="20.25" customHeight="1" x14ac:dyDescent="0.2">
      <c r="A6" s="309" t="s">
        <v>2607</v>
      </c>
      <c r="B6" s="643">
        <v>30</v>
      </c>
      <c r="C6" s="2">
        <v>33</v>
      </c>
      <c r="D6" s="643">
        <v>50</v>
      </c>
      <c r="E6" s="643">
        <v>51</v>
      </c>
      <c r="F6" s="643">
        <v>1</v>
      </c>
    </row>
    <row r="7" spans="1:16" s="24" customFormat="1" ht="6" customHeight="1" x14ac:dyDescent="0.2">
      <c r="A7" s="309"/>
      <c r="B7" s="643"/>
      <c r="C7" s="2"/>
      <c r="D7" s="643"/>
      <c r="E7" s="643"/>
      <c r="F7" s="643"/>
    </row>
    <row r="8" spans="1:16" s="24" customFormat="1" ht="71.25" customHeight="1" x14ac:dyDescent="0.2">
      <c r="A8" s="879" t="s">
        <v>2608</v>
      </c>
      <c r="B8" s="879"/>
      <c r="C8" s="879"/>
      <c r="D8" s="879"/>
      <c r="E8" s="879"/>
      <c r="F8" s="879"/>
    </row>
    <row r="9" spans="1:16" s="24" customFormat="1" ht="10.199999999999999" x14ac:dyDescent="0.2">
      <c r="A9" s="652" t="s">
        <v>1128</v>
      </c>
      <c r="B9" s="652"/>
      <c r="C9" s="652"/>
      <c r="D9" s="652"/>
      <c r="E9" s="652"/>
      <c r="F9" s="652"/>
    </row>
    <row r="10" spans="1:16" s="24" customFormat="1" ht="10.199999999999999" x14ac:dyDescent="0.2">
      <c r="A10" s="309"/>
      <c r="B10" s="1029"/>
    </row>
  </sheetData>
  <mergeCells count="3">
    <mergeCell ref="A2:F2"/>
    <mergeCell ref="A8:F8"/>
    <mergeCell ref="A9:F9"/>
  </mergeCells>
  <pageMargins left="0.7" right="0.7" top="0.75" bottom="0.75" header="0.3" footer="0.3"/>
  <pageSetup paperSize="14" orientation="landscape" r:id="rId1"/>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4D8D38-FB8B-4007-A712-B21871E6002E}">
  <sheetPr codeName="Hoja198"/>
  <dimension ref="A1:V71"/>
  <sheetViews>
    <sheetView workbookViewId="0">
      <selection activeCell="A53" sqref="A53"/>
    </sheetView>
  </sheetViews>
  <sheetFormatPr baseColWidth="10" defaultColWidth="11.44140625" defaultRowHeight="10.199999999999999" x14ac:dyDescent="0.2"/>
  <cols>
    <col min="1" max="1" width="42.88671875" style="2" customWidth="1"/>
    <col min="2" max="2" width="13.109375" style="2" customWidth="1"/>
    <col min="3" max="3" width="12.88671875" style="2" bestFit="1" customWidth="1"/>
    <col min="4" max="5" width="13.109375" style="2" bestFit="1" customWidth="1"/>
    <col min="6" max="6" width="11.44140625" style="2"/>
    <col min="7" max="7" width="12.88671875" style="2" bestFit="1" customWidth="1"/>
    <col min="8" max="8" width="11.44140625" style="2"/>
    <col min="9" max="9" width="12.88671875" style="2" bestFit="1" customWidth="1"/>
    <col min="10" max="10" width="11.44140625" style="2"/>
    <col min="11" max="11" width="12.88671875" style="2" bestFit="1" customWidth="1"/>
    <col min="12" max="16384" width="11.44140625" style="2"/>
  </cols>
  <sheetData>
    <row r="1" spans="1:10" ht="13.2" x14ac:dyDescent="0.2">
      <c r="A1" s="1012"/>
    </row>
    <row r="2" spans="1:10" x14ac:dyDescent="0.2">
      <c r="A2" s="24" t="s">
        <v>2520</v>
      </c>
    </row>
    <row r="3" spans="1:10" s="24" customFormat="1" x14ac:dyDescent="0.2">
      <c r="H3" s="141"/>
    </row>
    <row r="4" spans="1:10" s="664" customFormat="1" ht="15.75" customHeight="1" x14ac:dyDescent="0.2">
      <c r="A4" s="323" t="s">
        <v>2609</v>
      </c>
      <c r="B4" s="323" t="s">
        <v>2387</v>
      </c>
      <c r="C4" s="323"/>
      <c r="D4" s="323"/>
      <c r="E4" s="323"/>
      <c r="F4" s="323"/>
      <c r="G4" s="665"/>
    </row>
    <row r="5" spans="1:10" s="664" customFormat="1" ht="15.75" customHeight="1" x14ac:dyDescent="0.2">
      <c r="A5" s="323"/>
      <c r="B5" s="621">
        <v>2009</v>
      </c>
      <c r="C5" s="621">
        <v>2010</v>
      </c>
      <c r="D5" s="621">
        <v>2011</v>
      </c>
      <c r="E5" s="621">
        <v>2012</v>
      </c>
      <c r="F5" s="621">
        <v>2013</v>
      </c>
    </row>
    <row r="6" spans="1:10" s="24" customFormat="1" ht="22.5" customHeight="1" x14ac:dyDescent="0.2">
      <c r="A6" s="309" t="s">
        <v>2610</v>
      </c>
      <c r="B6" s="643">
        <v>253859</v>
      </c>
      <c r="C6" s="643">
        <v>11024</v>
      </c>
      <c r="D6" s="643">
        <v>63926</v>
      </c>
      <c r="E6" s="643">
        <v>89996</v>
      </c>
      <c r="F6" s="643">
        <v>121855</v>
      </c>
      <c r="G6" s="2"/>
    </row>
    <row r="7" spans="1:10" s="24" customFormat="1" ht="23.25" customHeight="1" x14ac:dyDescent="0.2">
      <c r="A7" s="309" t="s">
        <v>2611</v>
      </c>
      <c r="B7" s="643">
        <v>1020807</v>
      </c>
      <c r="C7" s="643">
        <v>1138831</v>
      </c>
      <c r="D7" s="643">
        <v>1267591</v>
      </c>
      <c r="E7" s="643">
        <v>1376539</v>
      </c>
      <c r="F7" s="643">
        <v>1567271</v>
      </c>
      <c r="G7" s="2"/>
    </row>
    <row r="8" spans="1:10" s="24" customFormat="1" ht="8.25" customHeight="1" x14ac:dyDescent="0.2">
      <c r="A8" s="2"/>
      <c r="B8" s="643"/>
      <c r="C8" s="643"/>
      <c r="D8" s="643"/>
      <c r="E8" s="643"/>
      <c r="F8" s="643"/>
      <c r="G8" s="2"/>
    </row>
    <row r="9" spans="1:10" s="24" customFormat="1" ht="12.75" customHeight="1" x14ac:dyDescent="0.2">
      <c r="A9" s="745" t="s">
        <v>2612</v>
      </c>
      <c r="B9" s="745"/>
      <c r="C9" s="745"/>
      <c r="D9" s="745"/>
      <c r="E9" s="745"/>
      <c r="F9" s="745"/>
      <c r="G9" s="2"/>
    </row>
    <row r="10" spans="1:10" s="24" customFormat="1" x14ac:dyDescent="0.2">
      <c r="A10" s="745" t="s">
        <v>1128</v>
      </c>
      <c r="B10" s="745"/>
      <c r="C10" s="745"/>
      <c r="D10" s="745"/>
      <c r="E10" s="745"/>
      <c r="F10" s="745"/>
      <c r="G10" s="2"/>
    </row>
    <row r="11" spans="1:10" s="24" customFormat="1" x14ac:dyDescent="0.2">
      <c r="A11" s="2"/>
      <c r="B11" s="655"/>
      <c r="E11" s="2"/>
      <c r="F11" s="2"/>
      <c r="G11" s="2"/>
    </row>
    <row r="12" spans="1:10" x14ac:dyDescent="0.2">
      <c r="A12" s="691"/>
    </row>
    <row r="13" spans="1:10" x14ac:dyDescent="0.2">
      <c r="A13" s="24"/>
    </row>
    <row r="14" spans="1:10" x14ac:dyDescent="0.2">
      <c r="A14" s="24"/>
    </row>
    <row r="15" spans="1:10" x14ac:dyDescent="0.2">
      <c r="A15" s="988"/>
      <c r="B15" s="24"/>
      <c r="C15" s="24"/>
      <c r="D15" s="24"/>
      <c r="E15" s="24"/>
      <c r="F15" s="24"/>
      <c r="H15" s="309"/>
      <c r="J15" s="665"/>
    </row>
    <row r="16" spans="1:10" x14ac:dyDescent="0.2">
      <c r="A16" s="988"/>
      <c r="B16" s="664"/>
      <c r="C16" s="664"/>
      <c r="D16" s="664"/>
      <c r="E16" s="664"/>
      <c r="F16" s="664"/>
      <c r="H16" s="309"/>
      <c r="J16" s="665"/>
    </row>
    <row r="17" spans="1:11" s="24" customFormat="1" x14ac:dyDescent="0.2">
      <c r="A17" s="624"/>
      <c r="B17" s="387"/>
      <c r="C17" s="1030"/>
      <c r="D17" s="643"/>
      <c r="E17" s="643"/>
      <c r="F17" s="387"/>
      <c r="G17" s="2"/>
      <c r="H17" s="2"/>
      <c r="I17" s="387"/>
      <c r="J17" s="1030"/>
      <c r="K17" s="643"/>
    </row>
    <row r="18" spans="1:11" s="24" customFormat="1" x14ac:dyDescent="0.2">
      <c r="A18" s="2"/>
      <c r="B18" s="387"/>
      <c r="C18" s="1030"/>
      <c r="D18" s="643"/>
      <c r="E18" s="643"/>
      <c r="F18" s="387"/>
      <c r="G18" s="2"/>
      <c r="H18" s="2"/>
      <c r="I18" s="387"/>
      <c r="J18" s="1030"/>
      <c r="K18" s="643"/>
    </row>
    <row r="19" spans="1:11" x14ac:dyDescent="0.2">
      <c r="A19" s="309"/>
      <c r="B19" s="309"/>
      <c r="C19" s="309"/>
      <c r="D19" s="309"/>
      <c r="E19" s="309"/>
      <c r="F19" s="309"/>
      <c r="H19" s="309"/>
      <c r="I19" s="309"/>
      <c r="J19" s="309"/>
      <c r="K19" s="309"/>
    </row>
    <row r="20" spans="1:11" s="24" customFormat="1" x14ac:dyDescent="0.2">
      <c r="A20" s="2"/>
      <c r="B20" s="655"/>
      <c r="E20" s="2"/>
      <c r="F20" s="2"/>
      <c r="G20" s="2"/>
      <c r="H20" s="2"/>
      <c r="I20" s="643"/>
      <c r="J20" s="2"/>
      <c r="K20" s="2"/>
    </row>
    <row r="21" spans="1:11" s="24" customFormat="1" x14ac:dyDescent="0.2">
      <c r="A21" s="2"/>
      <c r="B21" s="655"/>
      <c r="E21" s="2"/>
      <c r="F21" s="2"/>
      <c r="G21" s="2"/>
    </row>
    <row r="60" spans="1:22" s="24" customFormat="1" ht="10.5" customHeight="1" x14ac:dyDescent="0.2">
      <c r="A60" s="309"/>
      <c r="B60" s="1029"/>
      <c r="M60" s="2"/>
      <c r="N60" s="1007"/>
      <c r="O60" s="1007"/>
      <c r="P60" s="1007"/>
      <c r="Q60" s="1007"/>
      <c r="R60" s="1007"/>
      <c r="U60" s="2"/>
      <c r="V60" s="2"/>
    </row>
    <row r="61" spans="1:22" s="24" customFormat="1" ht="24" customHeight="1" x14ac:dyDescent="0.2">
      <c r="A61" s="988"/>
      <c r="B61" s="988"/>
      <c r="C61" s="988"/>
      <c r="D61" s="988"/>
      <c r="E61" s="988"/>
      <c r="F61" s="988"/>
      <c r="M61" s="2"/>
      <c r="N61" s="2"/>
      <c r="O61" s="2"/>
      <c r="P61" s="2"/>
    </row>
    <row r="62" spans="1:22" s="24" customFormat="1" ht="24" customHeight="1" x14ac:dyDescent="0.2">
      <c r="A62" s="662"/>
      <c r="B62" s="662"/>
      <c r="C62" s="662"/>
      <c r="D62" s="662"/>
      <c r="E62" s="662"/>
      <c r="F62" s="662"/>
      <c r="M62" s="2"/>
      <c r="N62" s="2"/>
      <c r="O62" s="2"/>
      <c r="P62" s="2"/>
    </row>
    <row r="63" spans="1:22" s="24" customFormat="1" ht="16.5" customHeight="1" x14ac:dyDescent="0.2">
      <c r="A63" s="1031"/>
      <c r="B63" s="637"/>
      <c r="C63" s="637"/>
      <c r="D63" s="637"/>
      <c r="E63" s="637"/>
      <c r="F63" s="637"/>
    </row>
    <row r="64" spans="1:22" s="24" customFormat="1" ht="21" customHeight="1" x14ac:dyDescent="0.2">
      <c r="A64" s="309"/>
      <c r="B64" s="643"/>
      <c r="C64" s="643"/>
      <c r="D64" s="643"/>
      <c r="E64" s="643"/>
      <c r="F64" s="643"/>
      <c r="G64" s="442"/>
      <c r="H64" s="2"/>
    </row>
    <row r="65" spans="1:6" s="24" customFormat="1" ht="12" customHeight="1" x14ac:dyDescent="0.2">
      <c r="A65" s="309"/>
      <c r="B65" s="643"/>
      <c r="C65" s="2"/>
      <c r="D65" s="643"/>
      <c r="E65" s="643"/>
      <c r="F65" s="643"/>
    </row>
    <row r="66" spans="1:6" s="24" customFormat="1" ht="6" customHeight="1" x14ac:dyDescent="0.2">
      <c r="A66" s="309"/>
      <c r="B66" s="643"/>
      <c r="C66" s="2"/>
      <c r="D66" s="643"/>
      <c r="E66" s="643"/>
      <c r="F66" s="643"/>
    </row>
    <row r="67" spans="1:6" s="24" customFormat="1" ht="44.25" customHeight="1" x14ac:dyDescent="0.2">
      <c r="A67" s="1032"/>
      <c r="B67" s="1032"/>
      <c r="C67" s="1032"/>
      <c r="D67" s="1032"/>
      <c r="E67" s="1032"/>
      <c r="F67" s="1032"/>
    </row>
    <row r="68" spans="1:6" s="24" customFormat="1" x14ac:dyDescent="0.2">
      <c r="A68" s="309"/>
      <c r="B68" s="309"/>
      <c r="C68" s="309"/>
      <c r="D68" s="309"/>
      <c r="E68" s="309"/>
      <c r="F68" s="309"/>
    </row>
    <row r="69" spans="1:6" s="24" customFormat="1" x14ac:dyDescent="0.2">
      <c r="A69" s="309"/>
      <c r="B69" s="1029"/>
    </row>
    <row r="70" spans="1:6" x14ac:dyDescent="0.2">
      <c r="A70" s="309"/>
      <c r="C70" s="24"/>
      <c r="D70" s="24"/>
      <c r="E70" s="24"/>
    </row>
    <row r="71" spans="1:6" x14ac:dyDescent="0.2">
      <c r="A71" s="309"/>
    </row>
  </sheetData>
  <mergeCells count="4">
    <mergeCell ref="A4:A5"/>
    <mergeCell ref="B4:F4"/>
    <mergeCell ref="A9:F9"/>
    <mergeCell ref="A10:F10"/>
  </mergeCells>
  <pageMargins left="0.7" right="0.7" top="0.75" bottom="0.75" header="0.3" footer="0.3"/>
  <pageSetup paperSize="14" orientation="landscape" r:id="rId1"/>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63DDF7-F490-495B-B8B1-19913C62B678}">
  <sheetPr codeName="Hoja199"/>
  <dimension ref="A1:K9"/>
  <sheetViews>
    <sheetView workbookViewId="0">
      <selection activeCell="A53" sqref="A53"/>
    </sheetView>
  </sheetViews>
  <sheetFormatPr baseColWidth="10" defaultRowHeight="13.2" x14ac:dyDescent="0.25"/>
  <cols>
    <col min="1" max="1" width="30.44140625" customWidth="1"/>
  </cols>
  <sheetData>
    <row r="1" spans="1:11" x14ac:dyDescent="0.25">
      <c r="A1" s="1012"/>
    </row>
    <row r="2" spans="1:11" s="2" customFormat="1" ht="33.75" customHeight="1" x14ac:dyDescent="0.2">
      <c r="A2" s="308" t="s">
        <v>2521</v>
      </c>
      <c r="B2" s="308"/>
      <c r="C2" s="308"/>
      <c r="D2" s="308"/>
      <c r="E2" s="308"/>
      <c r="F2" s="308"/>
    </row>
    <row r="3" spans="1:11" s="2" customFormat="1" ht="14.25" customHeight="1" x14ac:dyDescent="0.2">
      <c r="A3" s="24"/>
    </row>
    <row r="4" spans="1:11" s="2" customFormat="1" ht="14.25" customHeight="1" x14ac:dyDescent="0.2">
      <c r="A4" s="653" t="s">
        <v>2613</v>
      </c>
      <c r="B4" s="685" t="s">
        <v>2387</v>
      </c>
      <c r="C4" s="685"/>
      <c r="D4" s="685"/>
      <c r="E4" s="685"/>
      <c r="F4" s="685"/>
      <c r="H4" s="309"/>
      <c r="J4" s="665"/>
    </row>
    <row r="5" spans="1:11" s="2" customFormat="1" ht="14.25" customHeight="1" x14ac:dyDescent="0.2">
      <c r="A5" s="654"/>
      <c r="B5" s="1033">
        <v>2009</v>
      </c>
      <c r="C5" s="1033">
        <v>2010</v>
      </c>
      <c r="D5" s="1033">
        <v>2011</v>
      </c>
      <c r="E5" s="1033">
        <v>2012</v>
      </c>
      <c r="F5" s="1033">
        <v>2013</v>
      </c>
      <c r="H5" s="309"/>
      <c r="J5" s="665"/>
    </row>
    <row r="6" spans="1:11" s="24" customFormat="1" ht="10.199999999999999" x14ac:dyDescent="0.2">
      <c r="A6" s="624" t="s">
        <v>3</v>
      </c>
      <c r="B6" s="269">
        <v>2100429</v>
      </c>
      <c r="C6" s="1030">
        <v>1829145</v>
      </c>
      <c r="D6" s="643">
        <v>2554595</v>
      </c>
      <c r="E6" s="643">
        <v>2314502</v>
      </c>
      <c r="F6" s="387">
        <v>2724740</v>
      </c>
      <c r="G6" s="2"/>
      <c r="H6" s="2"/>
      <c r="I6" s="909"/>
      <c r="J6" s="1030"/>
      <c r="K6" s="643"/>
    </row>
    <row r="7" spans="1:11" s="24" customFormat="1" ht="4.5" customHeight="1" x14ac:dyDescent="0.2">
      <c r="A7" s="2"/>
      <c r="B7" s="269"/>
      <c r="C7" s="1030"/>
      <c r="D7" s="643"/>
      <c r="E7" s="643"/>
      <c r="F7" s="387"/>
      <c r="G7" s="2"/>
      <c r="H7" s="2"/>
      <c r="I7" s="909"/>
      <c r="J7" s="1030"/>
      <c r="K7" s="643"/>
    </row>
    <row r="8" spans="1:11" s="2" customFormat="1" ht="21.75" customHeight="1" x14ac:dyDescent="0.2">
      <c r="A8" s="652" t="s">
        <v>2614</v>
      </c>
      <c r="B8" s="652"/>
      <c r="C8" s="652"/>
      <c r="D8" s="652"/>
      <c r="E8" s="652"/>
      <c r="F8" s="652"/>
      <c r="H8" s="309"/>
      <c r="I8" s="309"/>
      <c r="J8" s="309"/>
      <c r="K8" s="309"/>
    </row>
    <row r="9" spans="1:11" s="24" customFormat="1" ht="10.199999999999999" x14ac:dyDescent="0.2">
      <c r="A9" s="2" t="s">
        <v>1128</v>
      </c>
      <c r="B9" s="655"/>
      <c r="E9" s="2"/>
      <c r="F9" s="2"/>
      <c r="G9" s="2"/>
      <c r="H9" s="2"/>
      <c r="I9" s="643"/>
      <c r="J9" s="2"/>
      <c r="K9" s="2"/>
    </row>
  </sheetData>
  <mergeCells count="4">
    <mergeCell ref="A2:F2"/>
    <mergeCell ref="A4:A5"/>
    <mergeCell ref="B4:F4"/>
    <mergeCell ref="A8:F8"/>
  </mergeCells>
  <pageMargins left="0.7" right="0.7" top="0.75" bottom="0.75" header="0.3" footer="0.3"/>
  <pageSetup paperSize="14"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dimension ref="A1:Q28"/>
  <sheetViews>
    <sheetView workbookViewId="0"/>
  </sheetViews>
  <sheetFormatPr baseColWidth="10" defaultColWidth="11.44140625" defaultRowHeight="9" x14ac:dyDescent="0.15"/>
  <cols>
    <col min="1" max="1" width="26.33203125" style="13" customWidth="1"/>
    <col min="2" max="5" width="23.5546875" style="13" customWidth="1"/>
    <col min="6" max="6" width="17.6640625" style="13" bestFit="1" customWidth="1"/>
    <col min="7" max="7" width="15.44140625" style="13" customWidth="1"/>
    <col min="8" max="8" width="14.88671875" style="13" customWidth="1"/>
    <col min="9" max="9" width="10.44140625" style="13" bestFit="1" customWidth="1"/>
    <col min="10" max="10" width="25.44140625" style="13" customWidth="1"/>
    <col min="11" max="11" width="7.33203125" style="13" customWidth="1"/>
    <col min="12" max="16384" width="11.44140625" style="13"/>
  </cols>
  <sheetData>
    <row r="1" spans="1:10" s="2" customFormat="1" ht="10.199999999999999" x14ac:dyDescent="0.2">
      <c r="A1" s="1"/>
    </row>
    <row r="2" spans="1:10" s="2" customFormat="1" ht="21.75" customHeight="1" x14ac:dyDescent="0.2">
      <c r="A2" s="45" t="s">
        <v>72</v>
      </c>
      <c r="B2" s="45"/>
      <c r="C2" s="45"/>
      <c r="D2" s="45"/>
      <c r="E2" s="45"/>
    </row>
    <row r="3" spans="1:10" s="2" customFormat="1" ht="10.199999999999999" x14ac:dyDescent="0.2"/>
    <row r="4" spans="1:10" s="2" customFormat="1" ht="65.25" customHeight="1" x14ac:dyDescent="0.2">
      <c r="A4" s="3" t="s">
        <v>0</v>
      </c>
      <c r="B4" s="3" t="s">
        <v>1</v>
      </c>
      <c r="C4" s="3" t="s">
        <v>80</v>
      </c>
      <c r="D4" s="3" t="s">
        <v>2</v>
      </c>
      <c r="E4" s="3" t="s">
        <v>81</v>
      </c>
      <c r="F4" s="4"/>
      <c r="G4" s="4"/>
      <c r="H4" s="4"/>
      <c r="I4" s="4"/>
      <c r="J4" s="4"/>
    </row>
    <row r="5" spans="1:10" s="2" customFormat="1" ht="10.199999999999999" x14ac:dyDescent="0.2">
      <c r="A5" s="5" t="s">
        <v>3</v>
      </c>
      <c r="B5" s="6">
        <f>SUM(B6:B20)</f>
        <v>3453</v>
      </c>
      <c r="C5" s="6">
        <f>SUM(C6:C20)</f>
        <v>102252</v>
      </c>
      <c r="D5" s="6">
        <f>SUM(D6:D20)</f>
        <v>73</v>
      </c>
      <c r="E5" s="6">
        <f>SUM(E6:E20)</f>
        <v>495</v>
      </c>
      <c r="F5" s="7"/>
      <c r="G5" s="7"/>
      <c r="H5" s="7"/>
      <c r="I5" s="7"/>
      <c r="J5" s="7"/>
    </row>
    <row r="6" spans="1:10" s="2" customFormat="1" ht="10.199999999999999" x14ac:dyDescent="0.2">
      <c r="A6" s="8" t="s">
        <v>4</v>
      </c>
      <c r="B6" s="9">
        <v>20</v>
      </c>
      <c r="C6" s="10">
        <v>1715</v>
      </c>
      <c r="D6" s="10">
        <v>1</v>
      </c>
      <c r="E6" s="10">
        <v>10</v>
      </c>
      <c r="F6" s="7"/>
      <c r="G6" s="7"/>
      <c r="H6" s="7"/>
      <c r="I6" s="7"/>
      <c r="J6" s="7"/>
    </row>
    <row r="7" spans="1:10" s="2" customFormat="1" ht="10.199999999999999" x14ac:dyDescent="0.2">
      <c r="A7" s="8" t="s">
        <v>5</v>
      </c>
      <c r="B7" s="9">
        <v>87</v>
      </c>
      <c r="C7" s="10">
        <v>2302</v>
      </c>
      <c r="D7" s="10">
        <v>1</v>
      </c>
      <c r="E7" s="10">
        <v>19</v>
      </c>
      <c r="F7" s="7"/>
      <c r="G7" s="7"/>
      <c r="H7" s="7"/>
      <c r="I7" s="7"/>
    </row>
    <row r="8" spans="1:10" s="2" customFormat="1" ht="10.199999999999999" x14ac:dyDescent="0.2">
      <c r="A8" s="8" t="s">
        <v>6</v>
      </c>
      <c r="B8" s="9">
        <v>155</v>
      </c>
      <c r="C8" s="10">
        <v>5586</v>
      </c>
      <c r="D8" s="10">
        <v>3</v>
      </c>
      <c r="E8" s="10">
        <v>15</v>
      </c>
      <c r="F8" s="7"/>
      <c r="G8" s="7"/>
      <c r="H8" s="7"/>
      <c r="I8" s="7"/>
    </row>
    <row r="9" spans="1:10" s="2" customFormat="1" ht="10.199999999999999" x14ac:dyDescent="0.2">
      <c r="A9" s="8" t="s">
        <v>7</v>
      </c>
      <c r="B9" s="9">
        <v>84</v>
      </c>
      <c r="C9" s="10">
        <v>4638</v>
      </c>
      <c r="D9" s="10">
        <v>2</v>
      </c>
      <c r="E9" s="10">
        <v>17</v>
      </c>
      <c r="F9" s="7"/>
      <c r="G9" s="7"/>
      <c r="H9" s="7"/>
      <c r="I9" s="7"/>
      <c r="J9" s="7"/>
    </row>
    <row r="10" spans="1:10" s="2" customFormat="1" ht="10.199999999999999" x14ac:dyDescent="0.2">
      <c r="A10" s="8" t="s">
        <v>8</v>
      </c>
      <c r="B10" s="9">
        <v>228</v>
      </c>
      <c r="C10" s="10">
        <v>5302</v>
      </c>
      <c r="D10" s="10">
        <v>5</v>
      </c>
      <c r="E10" s="10">
        <v>20</v>
      </c>
      <c r="F10" s="7"/>
      <c r="G10" s="7"/>
      <c r="H10" s="7"/>
      <c r="I10" s="7"/>
      <c r="J10" s="7"/>
    </row>
    <row r="11" spans="1:10" s="2" customFormat="1" ht="10.199999999999999" x14ac:dyDescent="0.2">
      <c r="A11" s="8" t="s">
        <v>9</v>
      </c>
      <c r="B11" s="9">
        <v>188</v>
      </c>
      <c r="C11" s="10">
        <v>9911</v>
      </c>
      <c r="D11" s="10">
        <v>4</v>
      </c>
      <c r="E11" s="10">
        <v>49</v>
      </c>
      <c r="F11" s="7"/>
      <c r="G11" s="7"/>
      <c r="H11" s="7"/>
      <c r="I11" s="7"/>
      <c r="J11" s="7"/>
    </row>
    <row r="12" spans="1:10" s="2" customFormat="1" ht="10.199999999999999" x14ac:dyDescent="0.2">
      <c r="A12" s="8" t="s">
        <v>10</v>
      </c>
      <c r="B12" s="9">
        <v>1696</v>
      </c>
      <c r="C12" s="10">
        <v>33354</v>
      </c>
      <c r="D12" s="10">
        <v>27</v>
      </c>
      <c r="E12" s="10">
        <v>161</v>
      </c>
      <c r="F12" s="7"/>
      <c r="G12" s="7"/>
      <c r="H12" s="7"/>
      <c r="I12" s="7"/>
      <c r="J12" s="7"/>
    </row>
    <row r="13" spans="1:10" s="2" customFormat="1" ht="10.199999999999999" x14ac:dyDescent="0.2">
      <c r="A13" s="8" t="s">
        <v>11</v>
      </c>
      <c r="B13" s="9">
        <v>210</v>
      </c>
      <c r="C13" s="10">
        <v>3651</v>
      </c>
      <c r="D13" s="10">
        <v>6</v>
      </c>
      <c r="E13" s="10">
        <v>14</v>
      </c>
      <c r="F13" s="7"/>
      <c r="G13" s="7"/>
      <c r="H13" s="7"/>
      <c r="I13" s="7"/>
      <c r="J13" s="7"/>
    </row>
    <row r="14" spans="1:10" s="2" customFormat="1" ht="10.199999999999999" x14ac:dyDescent="0.2">
      <c r="A14" s="8" t="s">
        <v>12</v>
      </c>
      <c r="B14" s="9">
        <v>280</v>
      </c>
      <c r="C14" s="10">
        <v>7057</v>
      </c>
      <c r="D14" s="10">
        <v>8</v>
      </c>
      <c r="E14" s="10">
        <v>42</v>
      </c>
      <c r="F14" s="7"/>
      <c r="G14" s="7"/>
      <c r="H14" s="7"/>
      <c r="I14" s="7"/>
      <c r="J14" s="7"/>
    </row>
    <row r="15" spans="1:10" s="2" customFormat="1" ht="10.199999999999999" x14ac:dyDescent="0.2">
      <c r="A15" s="8" t="s">
        <v>13</v>
      </c>
      <c r="B15" s="9">
        <v>183</v>
      </c>
      <c r="C15" s="10">
        <v>13148</v>
      </c>
      <c r="D15" s="10">
        <v>7</v>
      </c>
      <c r="E15" s="10">
        <v>62</v>
      </c>
      <c r="F15" s="7"/>
      <c r="G15" s="7"/>
      <c r="H15" s="7"/>
      <c r="I15" s="7"/>
      <c r="J15" s="7"/>
    </row>
    <row r="16" spans="1:10" s="2" customFormat="1" ht="10.199999999999999" x14ac:dyDescent="0.2">
      <c r="A16" s="8" t="s">
        <v>14</v>
      </c>
      <c r="B16" s="9">
        <v>243</v>
      </c>
      <c r="C16" s="10">
        <v>7306</v>
      </c>
      <c r="D16" s="10">
        <v>7</v>
      </c>
      <c r="E16" s="10">
        <v>39</v>
      </c>
      <c r="F16" s="7"/>
      <c r="G16" s="7"/>
      <c r="H16" s="7"/>
      <c r="I16" s="7"/>
      <c r="J16" s="7"/>
    </row>
    <row r="17" spans="1:17" s="2" customFormat="1" ht="10.199999999999999" x14ac:dyDescent="0.2">
      <c r="A17" s="8" t="s">
        <v>15</v>
      </c>
      <c r="B17" s="9">
        <v>0</v>
      </c>
      <c r="C17" s="10">
        <v>2830</v>
      </c>
      <c r="D17" s="10">
        <v>0</v>
      </c>
      <c r="E17" s="10">
        <v>15</v>
      </c>
      <c r="F17" s="7"/>
      <c r="G17" s="7"/>
      <c r="H17" s="7"/>
      <c r="I17" s="7"/>
      <c r="J17" s="7"/>
    </row>
    <row r="18" spans="1:17" s="2" customFormat="1" ht="10.199999999999999" x14ac:dyDescent="0.2">
      <c r="A18" s="8" t="s">
        <v>16</v>
      </c>
      <c r="B18" s="9">
        <v>50</v>
      </c>
      <c r="C18" s="10">
        <v>3764</v>
      </c>
      <c r="D18" s="10">
        <v>1</v>
      </c>
      <c r="E18" s="10">
        <v>21</v>
      </c>
      <c r="F18" s="7"/>
      <c r="G18" s="7"/>
      <c r="H18" s="7"/>
      <c r="I18" s="7"/>
      <c r="J18" s="7"/>
    </row>
    <row r="19" spans="1:17" s="2" customFormat="1" ht="10.199999999999999" x14ac:dyDescent="0.2">
      <c r="A19" s="8" t="s">
        <v>17</v>
      </c>
      <c r="B19" s="9">
        <v>0</v>
      </c>
      <c r="C19" s="10">
        <v>616</v>
      </c>
      <c r="D19" s="10">
        <v>0</v>
      </c>
      <c r="E19" s="10">
        <v>6</v>
      </c>
      <c r="F19" s="7"/>
      <c r="G19" s="7"/>
      <c r="H19" s="7"/>
      <c r="I19" s="7"/>
      <c r="J19" s="7"/>
    </row>
    <row r="20" spans="1:17" s="2" customFormat="1" ht="10.199999999999999" x14ac:dyDescent="0.2">
      <c r="A20" s="8" t="s">
        <v>18</v>
      </c>
      <c r="B20" s="9">
        <v>29</v>
      </c>
      <c r="C20" s="10">
        <v>1072</v>
      </c>
      <c r="D20" s="10">
        <v>1</v>
      </c>
      <c r="E20" s="10">
        <v>5</v>
      </c>
      <c r="F20" s="7"/>
      <c r="G20" s="7"/>
      <c r="H20" s="7"/>
      <c r="I20" s="7"/>
      <c r="J20" s="7"/>
    </row>
    <row r="21" spans="1:17" s="2" customFormat="1" ht="10.199999999999999" x14ac:dyDescent="0.2">
      <c r="A21" s="8"/>
      <c r="B21" s="9"/>
      <c r="C21" s="10"/>
      <c r="D21" s="10"/>
      <c r="E21" s="10"/>
      <c r="F21" s="7"/>
      <c r="G21" s="7"/>
      <c r="H21" s="7"/>
      <c r="I21" s="7"/>
      <c r="J21" s="7"/>
    </row>
    <row r="22" spans="1:17" s="2" customFormat="1" ht="10.5" customHeight="1" x14ac:dyDescent="0.2">
      <c r="A22" s="11" t="s">
        <v>19</v>
      </c>
      <c r="B22" s="11"/>
      <c r="C22" s="11"/>
      <c r="D22" s="11"/>
      <c r="E22" s="11"/>
      <c r="F22" s="11"/>
      <c r="G22" s="11"/>
      <c r="H22" s="11"/>
      <c r="I22" s="11"/>
      <c r="J22" s="11"/>
      <c r="K22" s="11"/>
      <c r="L22" s="11"/>
      <c r="M22" s="11"/>
      <c r="N22" s="11"/>
      <c r="O22" s="11"/>
      <c r="P22" s="11"/>
      <c r="Q22" s="11"/>
    </row>
    <row r="23" spans="1:17" s="2" customFormat="1" ht="10.199999999999999" x14ac:dyDescent="0.2">
      <c r="A23" s="12" t="s">
        <v>51</v>
      </c>
    </row>
    <row r="28" spans="1:17" x14ac:dyDescent="0.15">
      <c r="C28" s="13" t="s">
        <v>48</v>
      </c>
    </row>
  </sheetData>
  <mergeCells count="1">
    <mergeCell ref="A2:E2"/>
  </mergeCells>
  <pageMargins left="0.70866141732283472" right="0.70866141732283472" top="0.74803149606299213" bottom="0.74803149606299213" header="0.31496062992125984" footer="0.31496062992125984"/>
  <pageSetup paperSize="14"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A38DA3-3F7E-4EAF-966F-B21191B1D95E}">
  <sheetPr codeName="Hoja20"/>
  <dimension ref="A2:E59"/>
  <sheetViews>
    <sheetView workbookViewId="0">
      <selection activeCell="E20" sqref="E20"/>
    </sheetView>
  </sheetViews>
  <sheetFormatPr baseColWidth="10" defaultColWidth="11.44140625" defaultRowHeight="10.199999999999999" x14ac:dyDescent="0.2"/>
  <cols>
    <col min="1" max="1" width="59" style="62" customWidth="1"/>
    <col min="2" max="2" width="16.109375" style="62" customWidth="1"/>
    <col min="3" max="3" width="15.6640625" style="62" customWidth="1"/>
    <col min="4" max="16384" width="11.44140625" style="62"/>
  </cols>
  <sheetData>
    <row r="2" spans="1:3" ht="28.5" customHeight="1" x14ac:dyDescent="0.2">
      <c r="A2" s="200" t="s">
        <v>369</v>
      </c>
      <c r="B2" s="200"/>
      <c r="C2" s="200"/>
    </row>
    <row r="3" spans="1:3" x14ac:dyDescent="0.2">
      <c r="A3" s="124"/>
      <c r="B3" s="124"/>
      <c r="C3" s="124"/>
    </row>
    <row r="4" spans="1:3" ht="27" customHeight="1" x14ac:dyDescent="0.2">
      <c r="A4" s="160" t="s">
        <v>316</v>
      </c>
      <c r="B4" s="160" t="s">
        <v>370</v>
      </c>
      <c r="C4" s="160" t="s">
        <v>371</v>
      </c>
    </row>
    <row r="5" spans="1:3" x14ac:dyDescent="0.2">
      <c r="A5" s="201" t="s">
        <v>372</v>
      </c>
      <c r="B5" s="202">
        <f>SUM(B6+B9+B12+B20)</f>
        <v>2230829131.0099998</v>
      </c>
      <c r="C5" s="202">
        <f>SUM(C6+C9+C12+C20)</f>
        <v>33839143.380000003</v>
      </c>
    </row>
    <row r="6" spans="1:3" x14ac:dyDescent="0.2">
      <c r="A6" s="116" t="s">
        <v>29</v>
      </c>
      <c r="B6" s="196">
        <f>SUM(B7)</f>
        <v>6179423.1799999997</v>
      </c>
      <c r="C6" s="196">
        <f>SUM(C7)</f>
        <v>98132.790000000008</v>
      </c>
    </row>
    <row r="7" spans="1:3" s="63" customFormat="1" x14ac:dyDescent="0.2">
      <c r="A7" s="118" t="s">
        <v>30</v>
      </c>
      <c r="B7" s="196">
        <f>SUM(B8)</f>
        <v>6179423.1799999997</v>
      </c>
      <c r="C7" s="196">
        <f>SUM(C8)</f>
        <v>98132.790000000008</v>
      </c>
    </row>
    <row r="8" spans="1:3" x14ac:dyDescent="0.2">
      <c r="A8" s="197" t="s">
        <v>349</v>
      </c>
      <c r="B8" s="198">
        <v>6179423.1799999997</v>
      </c>
      <c r="C8" s="198">
        <v>98132.790000000008</v>
      </c>
    </row>
    <row r="9" spans="1:3" x14ac:dyDescent="0.2">
      <c r="A9" s="116" t="s">
        <v>310</v>
      </c>
      <c r="B9" s="196">
        <f>SUM(B10)</f>
        <v>252693.43999999997</v>
      </c>
      <c r="C9" s="196">
        <f>SUM(C10)</f>
        <v>0</v>
      </c>
    </row>
    <row r="10" spans="1:3" s="63" customFormat="1" x14ac:dyDescent="0.2">
      <c r="A10" s="118" t="s">
        <v>25</v>
      </c>
      <c r="B10" s="196">
        <f>SUM(B11)</f>
        <v>252693.43999999997</v>
      </c>
      <c r="C10" s="196">
        <f>SUM(C11)</f>
        <v>0</v>
      </c>
    </row>
    <row r="11" spans="1:3" x14ac:dyDescent="0.2">
      <c r="A11" s="197" t="s">
        <v>373</v>
      </c>
      <c r="B11" s="198">
        <v>252693.43999999997</v>
      </c>
      <c r="C11" s="198">
        <v>0</v>
      </c>
    </row>
    <row r="12" spans="1:3" x14ac:dyDescent="0.2">
      <c r="A12" s="116" t="s">
        <v>33</v>
      </c>
      <c r="B12" s="196">
        <f>SUM(B13+B16+B18)</f>
        <v>979010058.67000008</v>
      </c>
      <c r="C12" s="196">
        <f>SUM(C13+C16+C18)</f>
        <v>11570446.380000003</v>
      </c>
    </row>
    <row r="13" spans="1:3" s="63" customFormat="1" x14ac:dyDescent="0.2">
      <c r="A13" s="118" t="s">
        <v>34</v>
      </c>
      <c r="B13" s="196">
        <f>SUM(B14:B15)</f>
        <v>46927964.840000004</v>
      </c>
      <c r="C13" s="196">
        <f>SUM(C14:C15)</f>
        <v>1062224.49</v>
      </c>
    </row>
    <row r="14" spans="1:3" x14ac:dyDescent="0.2">
      <c r="A14" s="197" t="s">
        <v>360</v>
      </c>
      <c r="B14" s="198">
        <v>45847835.960000001</v>
      </c>
      <c r="C14" s="198">
        <v>1017524.49</v>
      </c>
    </row>
    <row r="15" spans="1:3" x14ac:dyDescent="0.2">
      <c r="A15" s="197" t="s">
        <v>362</v>
      </c>
      <c r="B15" s="198">
        <v>1080128.8800000001</v>
      </c>
      <c r="C15" s="198">
        <v>44700</v>
      </c>
    </row>
    <row r="16" spans="1:3" s="63" customFormat="1" x14ac:dyDescent="0.2">
      <c r="A16" s="118" t="s">
        <v>374</v>
      </c>
      <c r="B16" s="196">
        <f>SUM(B17)</f>
        <v>853080997.61000001</v>
      </c>
      <c r="C16" s="196">
        <f>SUM(C17)</f>
        <v>9949557.8100000024</v>
      </c>
    </row>
    <row r="17" spans="1:5" x14ac:dyDescent="0.2">
      <c r="A17" s="197" t="s">
        <v>375</v>
      </c>
      <c r="B17" s="198">
        <v>853080997.61000001</v>
      </c>
      <c r="C17" s="198">
        <v>9949557.8100000024</v>
      </c>
    </row>
    <row r="18" spans="1:5" s="63" customFormat="1" x14ac:dyDescent="0.2">
      <c r="A18" s="118" t="s">
        <v>376</v>
      </c>
      <c r="B18" s="196">
        <f>SUM(B19)</f>
        <v>79001096.220000014</v>
      </c>
      <c r="C18" s="196">
        <f>SUM(C19)</f>
        <v>558664.07999999996</v>
      </c>
    </row>
    <row r="19" spans="1:5" x14ac:dyDescent="0.2">
      <c r="A19" s="197" t="s">
        <v>377</v>
      </c>
      <c r="B19" s="198">
        <v>79001096.220000014</v>
      </c>
      <c r="C19" s="198">
        <v>558664.07999999996</v>
      </c>
    </row>
    <row r="20" spans="1:5" x14ac:dyDescent="0.2">
      <c r="A20" s="116" t="s">
        <v>65</v>
      </c>
      <c r="B20" s="196">
        <f>SUM(B21)</f>
        <v>1245386955.7199998</v>
      </c>
      <c r="C20" s="196">
        <f>SUM(C21)</f>
        <v>22170564.210000001</v>
      </c>
    </row>
    <row r="21" spans="1:5" s="63" customFormat="1" x14ac:dyDescent="0.2">
      <c r="A21" s="118" t="s">
        <v>365</v>
      </c>
      <c r="B21" s="196">
        <f>SUM(B22)</f>
        <v>1245386955.7199998</v>
      </c>
      <c r="C21" s="196">
        <f>SUM(C22)</f>
        <v>22170564.210000001</v>
      </c>
    </row>
    <row r="22" spans="1:5" x14ac:dyDescent="0.2">
      <c r="A22" s="197" t="s">
        <v>367</v>
      </c>
      <c r="B22" s="198">
        <v>1245386955.7199998</v>
      </c>
      <c r="C22" s="198">
        <v>22170564.210000001</v>
      </c>
    </row>
    <row r="23" spans="1:5" x14ac:dyDescent="0.2">
      <c r="A23" s="197"/>
      <c r="B23" s="165"/>
      <c r="C23" s="165"/>
    </row>
    <row r="24" spans="1:5" ht="21" customHeight="1" x14ac:dyDescent="0.2">
      <c r="A24" s="191" t="s">
        <v>313</v>
      </c>
      <c r="B24" s="191"/>
      <c r="C24" s="191"/>
      <c r="D24" s="156"/>
      <c r="E24" s="156"/>
    </row>
    <row r="25" spans="1:5" x14ac:dyDescent="0.2">
      <c r="A25" s="140" t="s">
        <v>19</v>
      </c>
      <c r="B25" s="192"/>
      <c r="C25" s="192"/>
      <c r="D25" s="156"/>
      <c r="E25" s="156"/>
    </row>
    <row r="26" spans="1:5" ht="42" customHeight="1" x14ac:dyDescent="0.2">
      <c r="A26" s="203" t="s">
        <v>378</v>
      </c>
      <c r="B26" s="173"/>
      <c r="C26" s="173"/>
    </row>
    <row r="44" spans="1:1" x14ac:dyDescent="0.2">
      <c r="A44" s="78"/>
    </row>
    <row r="45" spans="1:1" x14ac:dyDescent="0.2">
      <c r="A45" s="78"/>
    </row>
    <row r="46" spans="1:1" x14ac:dyDescent="0.2">
      <c r="A46" s="78"/>
    </row>
    <row r="47" spans="1:1" x14ac:dyDescent="0.2">
      <c r="A47" s="78"/>
    </row>
    <row r="48" spans="1:1" x14ac:dyDescent="0.2">
      <c r="A48" s="78"/>
    </row>
    <row r="49" spans="1:1" x14ac:dyDescent="0.2">
      <c r="A49" s="78"/>
    </row>
    <row r="50" spans="1:1" x14ac:dyDescent="0.2">
      <c r="A50" s="78"/>
    </row>
    <row r="51" spans="1:1" x14ac:dyDescent="0.2">
      <c r="A51" s="78"/>
    </row>
    <row r="53" spans="1:1" x14ac:dyDescent="0.2">
      <c r="A53" s="78"/>
    </row>
    <row r="54" spans="1:1" x14ac:dyDescent="0.2">
      <c r="A54" s="78"/>
    </row>
    <row r="55" spans="1:1" x14ac:dyDescent="0.2">
      <c r="A55" s="78"/>
    </row>
    <row r="56" spans="1:1" x14ac:dyDescent="0.2">
      <c r="A56" s="78"/>
    </row>
    <row r="57" spans="1:1" x14ac:dyDescent="0.2">
      <c r="A57" s="78"/>
    </row>
    <row r="58" spans="1:1" x14ac:dyDescent="0.2">
      <c r="A58" s="78"/>
    </row>
    <row r="59" spans="1:1" x14ac:dyDescent="0.2">
      <c r="A59" s="78"/>
    </row>
  </sheetData>
  <mergeCells count="3">
    <mergeCell ref="A2:C2"/>
    <mergeCell ref="A24:C24"/>
    <mergeCell ref="A26:C26"/>
  </mergeCells>
  <pageMargins left="0.70866141732283472" right="0.70866141732283472" top="0.74803149606299213" bottom="0.74803149606299213" header="0.31496062992125984" footer="0.31496062992125984"/>
  <pageSetup paperSize="14" orientation="portrait" verticalDpi="599" r:id="rId1"/>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FDC26C-A219-4063-AAFD-850B56385370}">
  <sheetPr codeName="Hoja200"/>
  <dimension ref="A2:H11"/>
  <sheetViews>
    <sheetView workbookViewId="0">
      <selection activeCell="A53" sqref="A53"/>
    </sheetView>
  </sheetViews>
  <sheetFormatPr baseColWidth="10" defaultRowHeight="13.2" x14ac:dyDescent="0.25"/>
  <cols>
    <col min="1" max="1" width="14.5546875" customWidth="1"/>
  </cols>
  <sheetData>
    <row r="2" spans="1:8" s="24" customFormat="1" ht="12" x14ac:dyDescent="0.2">
      <c r="A2" s="24" t="s">
        <v>2615</v>
      </c>
      <c r="B2" s="655"/>
    </row>
    <row r="3" spans="1:8" s="24" customFormat="1" ht="12.75" customHeight="1" x14ac:dyDescent="0.25">
      <c r="A3" s="624"/>
      <c r="B3" s="1011"/>
      <c r="C3" s="1011"/>
    </row>
    <row r="4" spans="1:8" s="24" customFormat="1" ht="15.75" customHeight="1" x14ac:dyDescent="0.2">
      <c r="A4" s="653" t="s">
        <v>2616</v>
      </c>
      <c r="B4" s="688" t="s">
        <v>2387</v>
      </c>
      <c r="C4" s="689"/>
      <c r="D4" s="689"/>
      <c r="E4" s="689"/>
      <c r="F4" s="694"/>
    </row>
    <row r="5" spans="1:8" s="24" customFormat="1" ht="15.75" customHeight="1" x14ac:dyDescent="0.2">
      <c r="A5" s="654"/>
      <c r="B5" s="656">
        <v>2009</v>
      </c>
      <c r="C5" s="1033">
        <v>2010</v>
      </c>
      <c r="D5" s="1033">
        <v>2011</v>
      </c>
      <c r="E5" s="1033">
        <v>2012</v>
      </c>
      <c r="F5" s="656">
        <v>2013</v>
      </c>
      <c r="H5" s="2"/>
    </row>
    <row r="6" spans="1:8" s="24" customFormat="1" ht="10.199999999999999" x14ac:dyDescent="0.2">
      <c r="A6" s="624" t="s">
        <v>3</v>
      </c>
      <c r="B6" s="643">
        <v>436535</v>
      </c>
      <c r="C6" s="387">
        <v>3293688</v>
      </c>
      <c r="D6" s="387">
        <v>3276063</v>
      </c>
      <c r="E6" s="387">
        <v>2204724</v>
      </c>
      <c r="F6" s="643">
        <v>2371506</v>
      </c>
      <c r="G6" s="309"/>
    </row>
    <row r="7" spans="1:8" s="24" customFormat="1" ht="14.25" customHeight="1" x14ac:dyDescent="0.2">
      <c r="A7" s="309"/>
      <c r="B7" s="643"/>
      <c r="C7" s="387"/>
      <c r="D7" s="387"/>
      <c r="E7" s="387"/>
      <c r="F7" s="643"/>
      <c r="G7" s="309"/>
    </row>
    <row r="8" spans="1:8" s="24" customFormat="1" ht="30.75" customHeight="1" x14ac:dyDescent="0.2">
      <c r="A8" s="639" t="s">
        <v>2617</v>
      </c>
      <c r="B8" s="639"/>
      <c r="C8" s="639"/>
      <c r="D8" s="639"/>
      <c r="E8" s="639"/>
      <c r="F8" s="639"/>
    </row>
    <row r="9" spans="1:8" s="24" customFormat="1" ht="7.5" customHeight="1" x14ac:dyDescent="0.2">
      <c r="A9" s="335"/>
      <c r="B9" s="335"/>
      <c r="C9" s="335"/>
      <c r="D9" s="335"/>
      <c r="E9" s="335"/>
      <c r="F9" s="335"/>
    </row>
    <row r="10" spans="1:8" s="24" customFormat="1" ht="10.199999999999999" x14ac:dyDescent="0.2">
      <c r="A10" s="2" t="s">
        <v>1128</v>
      </c>
      <c r="B10" s="655"/>
    </row>
    <row r="11" spans="1:8" s="24" customFormat="1" ht="10.199999999999999" x14ac:dyDescent="0.2">
      <c r="A11" s="2"/>
      <c r="B11" s="655"/>
    </row>
  </sheetData>
  <mergeCells count="3">
    <mergeCell ref="A4:A5"/>
    <mergeCell ref="B4:F4"/>
    <mergeCell ref="A8:F8"/>
  </mergeCells>
  <pageMargins left="0.7" right="0.7" top="0.75" bottom="0.75" header="0.3" footer="0.3"/>
  <pageSetup paperSize="14" orientation="landscape" r:id="rId1"/>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20823-D668-45BE-B763-41C8F7482996}">
  <sheetPr codeName="Hoja201"/>
  <dimension ref="A1:J23"/>
  <sheetViews>
    <sheetView workbookViewId="0">
      <selection activeCell="A53" sqref="A53"/>
    </sheetView>
  </sheetViews>
  <sheetFormatPr baseColWidth="10" defaultRowHeight="13.2" x14ac:dyDescent="0.25"/>
  <cols>
    <col min="1" max="1" width="32.44140625" customWidth="1"/>
    <col min="4" max="4" width="12.44140625" bestFit="1" customWidth="1"/>
  </cols>
  <sheetData>
    <row r="1" spans="1:10" x14ac:dyDescent="0.25">
      <c r="A1" s="1012"/>
    </row>
    <row r="2" spans="1:10" s="624" customFormat="1" ht="23.25" customHeight="1" x14ac:dyDescent="0.2">
      <c r="A2" s="308" t="s">
        <v>2523</v>
      </c>
      <c r="B2" s="308"/>
      <c r="C2" s="308"/>
      <c r="D2" s="308"/>
      <c r="E2" s="308"/>
      <c r="F2" s="308"/>
    </row>
    <row r="3" spans="1:10" s="24" customFormat="1" ht="10.199999999999999" x14ac:dyDescent="0.2">
      <c r="D3" s="2"/>
      <c r="H3" s="141"/>
      <c r="I3" s="2"/>
      <c r="J3" s="2"/>
    </row>
    <row r="4" spans="1:10" s="24" customFormat="1" ht="14.25" customHeight="1" x14ac:dyDescent="0.2">
      <c r="A4" s="298" t="s">
        <v>2618</v>
      </c>
      <c r="B4" s="323" t="s">
        <v>2619</v>
      </c>
      <c r="C4" s="323"/>
      <c r="D4" s="323"/>
      <c r="E4" s="323"/>
      <c r="F4" s="323"/>
      <c r="J4" s="643"/>
    </row>
    <row r="5" spans="1:10" s="24" customFormat="1" ht="14.25" customHeight="1" x14ac:dyDescent="0.2">
      <c r="A5" s="298"/>
      <c r="B5" s="621">
        <v>2009</v>
      </c>
      <c r="C5" s="621">
        <v>2010</v>
      </c>
      <c r="D5" s="621">
        <v>2011</v>
      </c>
      <c r="E5" s="621">
        <v>2012</v>
      </c>
      <c r="F5" s="621">
        <v>2013</v>
      </c>
    </row>
    <row r="6" spans="1:10" s="24" customFormat="1" ht="10.199999999999999" x14ac:dyDescent="0.2">
      <c r="A6" s="321" t="s">
        <v>3</v>
      </c>
      <c r="B6" s="990">
        <f>SUM(B7:B16)</f>
        <v>33591096</v>
      </c>
      <c r="C6" s="990">
        <f>SUM(C7:C16)</f>
        <v>85832121</v>
      </c>
      <c r="D6" s="990">
        <f>SUM(D7:D16)</f>
        <v>110807052</v>
      </c>
      <c r="E6" s="990">
        <f>SUM(E7:E16)</f>
        <v>88061807</v>
      </c>
      <c r="F6" s="990">
        <f>SUM(F7:F16)</f>
        <v>21569026</v>
      </c>
      <c r="H6" s="643"/>
      <c r="I6" s="665"/>
    </row>
    <row r="7" spans="1:10" s="24" customFormat="1" ht="10.199999999999999" x14ac:dyDescent="0.2">
      <c r="A7" s="2" t="s">
        <v>2620</v>
      </c>
      <c r="B7" s="643">
        <v>20427946</v>
      </c>
      <c r="C7" s="315">
        <v>20427946</v>
      </c>
      <c r="D7" s="315">
        <v>28873267</v>
      </c>
      <c r="E7" s="315">
        <v>19447747</v>
      </c>
      <c r="F7" s="643">
        <v>10737229</v>
      </c>
      <c r="G7" s="442"/>
      <c r="H7" s="643"/>
      <c r="I7" s="2"/>
      <c r="J7" s="643"/>
    </row>
    <row r="8" spans="1:10" s="24" customFormat="1" ht="10.199999999999999" x14ac:dyDescent="0.2">
      <c r="A8" s="309" t="s">
        <v>2621</v>
      </c>
      <c r="B8" s="643">
        <v>2248023</v>
      </c>
      <c r="C8" s="315">
        <v>30974877</v>
      </c>
      <c r="D8" s="315">
        <v>33936314</v>
      </c>
      <c r="E8" s="315">
        <v>35671928</v>
      </c>
      <c r="F8" s="643">
        <v>3009045</v>
      </c>
      <c r="G8" s="442"/>
      <c r="H8" s="643"/>
      <c r="I8" s="309"/>
      <c r="J8" s="643"/>
    </row>
    <row r="9" spans="1:10" s="24" customFormat="1" ht="10.199999999999999" x14ac:dyDescent="0.2">
      <c r="A9" s="2" t="s">
        <v>2622</v>
      </c>
      <c r="B9" s="643">
        <v>6527161</v>
      </c>
      <c r="C9" s="315">
        <v>6527161</v>
      </c>
      <c r="D9" s="315">
        <v>10282039</v>
      </c>
      <c r="E9" s="315">
        <v>8363557</v>
      </c>
      <c r="F9" s="643">
        <v>5454309</v>
      </c>
      <c r="G9" s="315"/>
      <c r="H9" s="643"/>
      <c r="I9" s="2"/>
      <c r="J9" s="643"/>
    </row>
    <row r="10" spans="1:10" s="24" customFormat="1" ht="10.199999999999999" x14ac:dyDescent="0.2">
      <c r="A10" s="2" t="s">
        <v>2623</v>
      </c>
      <c r="B10" s="643">
        <v>228951</v>
      </c>
      <c r="C10" s="315">
        <v>228951</v>
      </c>
      <c r="D10" s="315">
        <v>416906</v>
      </c>
      <c r="E10" s="315">
        <v>228781</v>
      </c>
      <c r="F10" s="643">
        <v>198132</v>
      </c>
      <c r="G10" s="315"/>
      <c r="H10" s="643"/>
      <c r="I10" s="2"/>
      <c r="J10" s="643"/>
    </row>
    <row r="11" spans="1:10" s="24" customFormat="1" ht="10.199999999999999" x14ac:dyDescent="0.2">
      <c r="A11" s="2" t="s">
        <v>2624</v>
      </c>
      <c r="B11" s="643">
        <v>775092</v>
      </c>
      <c r="C11" s="315">
        <v>775092</v>
      </c>
      <c r="D11" s="315">
        <v>1168395</v>
      </c>
      <c r="E11" s="315">
        <v>1401896</v>
      </c>
      <c r="F11" s="643">
        <v>1006628</v>
      </c>
      <c r="G11" s="315"/>
      <c r="H11" s="643"/>
      <c r="I11" s="2"/>
      <c r="J11" s="643"/>
    </row>
    <row r="12" spans="1:10" s="24" customFormat="1" ht="10.199999999999999" x14ac:dyDescent="0.2">
      <c r="A12" s="2" t="s">
        <v>2625</v>
      </c>
      <c r="B12" s="643">
        <v>663243</v>
      </c>
      <c r="C12" s="315">
        <v>663243</v>
      </c>
      <c r="D12" s="315">
        <v>352457</v>
      </c>
      <c r="E12" s="315">
        <v>311537</v>
      </c>
      <c r="F12" s="643">
        <v>280831</v>
      </c>
      <c r="G12" s="315"/>
      <c r="H12" s="315"/>
      <c r="I12" s="2"/>
      <c r="J12" s="643"/>
    </row>
    <row r="13" spans="1:10" s="24" customFormat="1" ht="12" x14ac:dyDescent="0.2">
      <c r="A13" s="2" t="s">
        <v>2626</v>
      </c>
      <c r="B13" s="315">
        <v>0</v>
      </c>
      <c r="C13" s="315">
        <v>0</v>
      </c>
      <c r="D13" s="315">
        <v>1173498</v>
      </c>
      <c r="E13" s="315">
        <v>975068</v>
      </c>
      <c r="F13" s="315">
        <v>9039</v>
      </c>
      <c r="G13" s="315"/>
      <c r="H13" s="315"/>
      <c r="I13" s="2"/>
      <c r="J13" s="315"/>
    </row>
    <row r="14" spans="1:10" s="24" customFormat="1" ht="12" x14ac:dyDescent="0.2">
      <c r="A14" s="2" t="s">
        <v>2627</v>
      </c>
      <c r="B14" s="315">
        <v>0</v>
      </c>
      <c r="C14" s="315">
        <v>0</v>
      </c>
      <c r="D14" s="315">
        <v>57585</v>
      </c>
      <c r="E14" s="315">
        <v>43321</v>
      </c>
      <c r="F14" s="315">
        <v>5257</v>
      </c>
      <c r="G14" s="315"/>
      <c r="H14" s="315"/>
      <c r="I14" s="2"/>
      <c r="J14" s="315"/>
    </row>
    <row r="15" spans="1:10" s="24" customFormat="1" ht="12" x14ac:dyDescent="0.2">
      <c r="A15" s="2" t="s">
        <v>2628</v>
      </c>
      <c r="B15" s="315">
        <v>0</v>
      </c>
      <c r="C15" s="315">
        <v>0</v>
      </c>
      <c r="D15" s="315">
        <v>2597889</v>
      </c>
      <c r="E15" s="315">
        <v>974626</v>
      </c>
      <c r="F15" s="315">
        <v>196870</v>
      </c>
      <c r="G15" s="315"/>
      <c r="H15" s="643"/>
      <c r="I15" s="2"/>
      <c r="J15" s="315"/>
    </row>
    <row r="16" spans="1:10" s="24" customFormat="1" ht="12" x14ac:dyDescent="0.2">
      <c r="A16" s="2" t="s">
        <v>2629</v>
      </c>
      <c r="B16" s="643">
        <v>2720680</v>
      </c>
      <c r="C16" s="315">
        <v>26234851</v>
      </c>
      <c r="D16" s="315">
        <v>31948702</v>
      </c>
      <c r="E16" s="315">
        <v>20643346</v>
      </c>
      <c r="F16" s="643">
        <v>671686</v>
      </c>
      <c r="G16" s="315"/>
      <c r="I16" s="2"/>
      <c r="J16" s="643"/>
    </row>
    <row r="17" spans="1:10" s="24" customFormat="1" ht="6.75" customHeight="1" x14ac:dyDescent="0.2">
      <c r="A17" s="2"/>
      <c r="B17" s="643"/>
      <c r="C17" s="315"/>
      <c r="D17" s="315"/>
      <c r="E17" s="315"/>
      <c r="F17" s="643"/>
      <c r="G17" s="315"/>
      <c r="I17" s="2"/>
      <c r="J17" s="643"/>
    </row>
    <row r="18" spans="1:10" s="24" customFormat="1" ht="12" customHeight="1" x14ac:dyDescent="0.2">
      <c r="A18" s="745" t="s">
        <v>2630</v>
      </c>
      <c r="B18" s="745"/>
      <c r="C18" s="745"/>
      <c r="D18" s="745"/>
      <c r="E18" s="745"/>
      <c r="F18" s="745"/>
      <c r="G18" s="315"/>
      <c r="I18" s="2"/>
      <c r="J18" s="643"/>
    </row>
    <row r="19" spans="1:10" s="24" customFormat="1" ht="11.25" customHeight="1" x14ac:dyDescent="0.2">
      <c r="A19" s="2" t="s">
        <v>2631</v>
      </c>
      <c r="B19" s="643"/>
      <c r="C19" s="315"/>
      <c r="D19" s="315"/>
      <c r="E19" s="315"/>
      <c r="F19" s="643"/>
      <c r="G19" s="315"/>
      <c r="I19" s="2"/>
      <c r="J19" s="643"/>
    </row>
    <row r="20" spans="1:10" s="24" customFormat="1" ht="11.25" customHeight="1" x14ac:dyDescent="0.2">
      <c r="A20" s="2" t="s">
        <v>2632</v>
      </c>
      <c r="B20" s="643"/>
      <c r="C20" s="315"/>
      <c r="D20" s="315"/>
      <c r="E20" s="315"/>
      <c r="F20" s="643"/>
      <c r="G20" s="315"/>
      <c r="I20" s="2"/>
      <c r="J20" s="643"/>
    </row>
    <row r="21" spans="1:10" s="337" customFormat="1" ht="12.75" customHeight="1" x14ac:dyDescent="0.25">
      <c r="A21" s="324" t="s">
        <v>1185</v>
      </c>
      <c r="B21" s="1034"/>
      <c r="C21" s="314"/>
      <c r="D21" s="314"/>
      <c r="E21" s="314"/>
      <c r="F21" s="1034"/>
      <c r="G21" s="314"/>
      <c r="I21" s="324"/>
      <c r="J21" s="1034"/>
    </row>
    <row r="22" spans="1:10" s="337" customFormat="1" ht="10.199999999999999" x14ac:dyDescent="0.25">
      <c r="A22" s="1025" t="s">
        <v>1128</v>
      </c>
      <c r="B22" s="1025"/>
      <c r="C22" s="1025"/>
      <c r="D22" s="1025"/>
      <c r="E22" s="1025"/>
      <c r="F22" s="1025"/>
      <c r="I22" s="324"/>
      <c r="J22" s="1034"/>
    </row>
    <row r="23" spans="1:10" s="24" customFormat="1" ht="10.199999999999999" x14ac:dyDescent="0.2">
      <c r="D23" s="2"/>
      <c r="H23" s="141"/>
    </row>
  </sheetData>
  <mergeCells count="5">
    <mergeCell ref="A2:F2"/>
    <mergeCell ref="A4:A5"/>
    <mergeCell ref="B4:F4"/>
    <mergeCell ref="A18:F18"/>
    <mergeCell ref="A22:F22"/>
  </mergeCells>
  <pageMargins left="0.7" right="0.7" top="0.75" bottom="0.75" header="0.3" footer="0.3"/>
  <pageSetup paperSize="14" orientation="landscape" r:id="rId1"/>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EBDD8-799A-4183-B114-BDC4C9918F37}">
  <sheetPr codeName="Hoja202"/>
  <dimension ref="A2:V27"/>
  <sheetViews>
    <sheetView zoomScaleNormal="100" workbookViewId="0">
      <selection activeCell="A53" sqref="A53"/>
    </sheetView>
  </sheetViews>
  <sheetFormatPr baseColWidth="10" defaultRowHeight="13.2" x14ac:dyDescent="0.25"/>
  <cols>
    <col min="1" max="1" width="45.6640625" customWidth="1"/>
    <col min="3" max="3" width="12.88671875" bestFit="1" customWidth="1"/>
    <col min="5" max="5" width="12.88671875" bestFit="1" customWidth="1"/>
    <col min="7" max="7" width="12.88671875" bestFit="1" customWidth="1"/>
    <col min="9" max="9" width="12.88671875" bestFit="1" customWidth="1"/>
    <col min="11" max="11" width="12.88671875" bestFit="1" customWidth="1"/>
  </cols>
  <sheetData>
    <row r="2" spans="1:22" s="24" customFormat="1" ht="29.25" customHeight="1" x14ac:dyDescent="0.2">
      <c r="A2" s="234" t="s">
        <v>2524</v>
      </c>
      <c r="B2" s="234"/>
      <c r="C2" s="234"/>
      <c r="D2" s="234"/>
      <c r="E2" s="234"/>
      <c r="F2" s="234"/>
      <c r="G2" s="234"/>
      <c r="H2" s="234"/>
      <c r="I2" s="234"/>
      <c r="J2" s="234"/>
      <c r="K2" s="234"/>
    </row>
    <row r="3" spans="1:22" s="24" customFormat="1" x14ac:dyDescent="0.25">
      <c r="A3" s="624"/>
      <c r="B3" s="1011"/>
      <c r="C3" s="1011"/>
      <c r="D3" s="2"/>
      <c r="N3" s="624"/>
      <c r="O3" s="309"/>
      <c r="P3" s="309"/>
      <c r="Q3" s="2"/>
    </row>
    <row r="4" spans="1:22" s="24" customFormat="1" ht="12.75" customHeight="1" x14ac:dyDescent="0.2">
      <c r="A4" s="298" t="s">
        <v>2633</v>
      </c>
      <c r="B4" s="323">
        <v>2009</v>
      </c>
      <c r="C4" s="323"/>
      <c r="D4" s="323">
        <v>2010</v>
      </c>
      <c r="E4" s="323"/>
      <c r="F4" s="323">
        <v>2011</v>
      </c>
      <c r="G4" s="323"/>
      <c r="H4" s="323">
        <v>2012</v>
      </c>
      <c r="I4" s="323"/>
      <c r="J4" s="323">
        <v>2013</v>
      </c>
      <c r="K4" s="323"/>
      <c r="M4" s="2"/>
      <c r="N4" s="2"/>
      <c r="O4" s="2"/>
      <c r="P4" s="2"/>
      <c r="Q4" s="2"/>
      <c r="R4" s="2"/>
      <c r="S4" s="1035"/>
      <c r="T4" s="1035"/>
      <c r="U4" s="2"/>
      <c r="V4" s="2"/>
    </row>
    <row r="5" spans="1:22" s="24" customFormat="1" ht="21.75" customHeight="1" x14ac:dyDescent="0.2">
      <c r="A5" s="298"/>
      <c r="B5" s="644" t="s">
        <v>2634</v>
      </c>
      <c r="C5" s="644" t="s">
        <v>2635</v>
      </c>
      <c r="D5" s="644" t="s">
        <v>2634</v>
      </c>
      <c r="E5" s="644" t="s">
        <v>2635</v>
      </c>
      <c r="F5" s="644" t="s">
        <v>2634</v>
      </c>
      <c r="G5" s="644" t="s">
        <v>2635</v>
      </c>
      <c r="H5" s="644" t="s">
        <v>2634</v>
      </c>
      <c r="I5" s="644" t="s">
        <v>2635</v>
      </c>
      <c r="J5" s="644" t="s">
        <v>2634</v>
      </c>
      <c r="K5" s="644" t="s">
        <v>2635</v>
      </c>
      <c r="M5" s="2"/>
      <c r="N5" s="2"/>
      <c r="O5" s="2"/>
      <c r="P5" s="2"/>
      <c r="Q5" s="2"/>
      <c r="R5" s="2"/>
      <c r="S5" s="309"/>
      <c r="T5" s="309"/>
      <c r="U5" s="2"/>
      <c r="V5" s="2"/>
    </row>
    <row r="6" spans="1:22" s="24" customFormat="1" ht="12" x14ac:dyDescent="0.2">
      <c r="A6" s="309" t="s">
        <v>2636</v>
      </c>
      <c r="B6" s="1036">
        <v>2020909</v>
      </c>
      <c r="C6" s="1036">
        <v>5099700</v>
      </c>
      <c r="D6" s="605">
        <v>3218427</v>
      </c>
      <c r="E6" s="605">
        <v>7924014</v>
      </c>
      <c r="F6" s="643">
        <v>2158666</v>
      </c>
      <c r="G6" s="643">
        <v>15403761</v>
      </c>
      <c r="H6" s="643">
        <v>3920306</v>
      </c>
      <c r="I6" s="643">
        <v>23753860</v>
      </c>
      <c r="J6" s="643">
        <v>3795013</v>
      </c>
      <c r="K6" s="643">
        <v>24254820</v>
      </c>
      <c r="L6" s="442"/>
      <c r="M6" s="2"/>
      <c r="N6" s="2"/>
      <c r="O6" s="1036"/>
      <c r="P6" s="1036"/>
      <c r="Q6" s="643"/>
      <c r="R6" s="643"/>
      <c r="U6" s="2"/>
      <c r="V6" s="2"/>
    </row>
    <row r="7" spans="1:22" s="24" customFormat="1" ht="12" x14ac:dyDescent="0.2">
      <c r="A7" s="309" t="s">
        <v>2637</v>
      </c>
      <c r="B7" s="968">
        <v>675817</v>
      </c>
      <c r="C7" s="968">
        <v>15567</v>
      </c>
      <c r="D7" s="363">
        <v>737858</v>
      </c>
      <c r="E7" s="363">
        <v>25100</v>
      </c>
      <c r="F7" s="643">
        <v>1220575</v>
      </c>
      <c r="G7" s="643">
        <v>29290</v>
      </c>
      <c r="H7" s="643">
        <v>1213131</v>
      </c>
      <c r="I7" s="643">
        <v>22343</v>
      </c>
      <c r="J7" s="1036">
        <v>824362</v>
      </c>
      <c r="K7" s="1036">
        <v>13026</v>
      </c>
      <c r="M7" s="665"/>
      <c r="N7" s="2"/>
      <c r="O7" s="1036"/>
      <c r="P7" s="1036"/>
      <c r="Q7" s="1036"/>
      <c r="R7" s="1036"/>
      <c r="U7" s="2"/>
      <c r="V7" s="2"/>
    </row>
    <row r="8" spans="1:22" s="24" customFormat="1" ht="12" x14ac:dyDescent="0.2">
      <c r="A8" s="309" t="s">
        <v>2638</v>
      </c>
      <c r="B8" s="968">
        <v>41606</v>
      </c>
      <c r="C8" s="968">
        <v>69874</v>
      </c>
      <c r="D8" s="363">
        <v>35416</v>
      </c>
      <c r="E8" s="363">
        <v>11940</v>
      </c>
      <c r="F8" s="643">
        <v>27588</v>
      </c>
      <c r="G8" s="643">
        <v>187765</v>
      </c>
      <c r="H8" s="643">
        <v>34749</v>
      </c>
      <c r="I8" s="643">
        <v>81348</v>
      </c>
      <c r="J8" s="1036">
        <v>38819</v>
      </c>
      <c r="K8" s="1036">
        <v>34332</v>
      </c>
      <c r="M8" s="2"/>
      <c r="N8" s="2"/>
      <c r="O8" s="1036"/>
      <c r="P8" s="1036"/>
      <c r="Q8" s="1036"/>
      <c r="R8" s="1036"/>
      <c r="U8" s="2"/>
      <c r="V8" s="2"/>
    </row>
    <row r="9" spans="1:22" s="24" customFormat="1" ht="12" x14ac:dyDescent="0.2">
      <c r="A9" s="309" t="s">
        <v>2639</v>
      </c>
      <c r="B9" s="968">
        <v>41326</v>
      </c>
      <c r="C9" s="968">
        <v>217515</v>
      </c>
      <c r="D9" s="363">
        <v>28370</v>
      </c>
      <c r="E9" s="363">
        <v>166098</v>
      </c>
      <c r="F9" s="643">
        <v>43624</v>
      </c>
      <c r="G9" s="643">
        <v>196440</v>
      </c>
      <c r="H9" s="643">
        <v>306201</v>
      </c>
      <c r="I9" s="643">
        <v>1325646</v>
      </c>
      <c r="J9" s="1036">
        <v>294002</v>
      </c>
      <c r="K9" s="1036">
        <v>435008</v>
      </c>
      <c r="M9" s="2"/>
      <c r="N9" s="2"/>
      <c r="O9" s="1036"/>
      <c r="P9" s="1036"/>
      <c r="Q9" s="1036"/>
      <c r="R9" s="1036"/>
      <c r="U9" s="2"/>
      <c r="V9" s="2"/>
    </row>
    <row r="10" spans="1:22" s="24" customFormat="1" ht="12" x14ac:dyDescent="0.2">
      <c r="A10" s="309" t="s">
        <v>2640</v>
      </c>
      <c r="B10" s="645" t="s">
        <v>1224</v>
      </c>
      <c r="C10" s="645" t="s">
        <v>1224</v>
      </c>
      <c r="D10" s="645" t="s">
        <v>1224</v>
      </c>
      <c r="E10" s="645" t="s">
        <v>1224</v>
      </c>
      <c r="F10" s="643">
        <v>395786</v>
      </c>
      <c r="G10" s="650" t="s">
        <v>2641</v>
      </c>
      <c r="H10" s="643">
        <v>310691</v>
      </c>
      <c r="I10" s="650" t="s">
        <v>193</v>
      </c>
      <c r="J10" s="315">
        <v>142637</v>
      </c>
      <c r="K10" s="650" t="s">
        <v>193</v>
      </c>
      <c r="M10" s="2"/>
      <c r="N10" s="2"/>
      <c r="O10" s="664"/>
      <c r="P10" s="664"/>
      <c r="Q10" s="315"/>
      <c r="R10" s="664"/>
      <c r="U10" s="2"/>
      <c r="V10" s="2"/>
    </row>
    <row r="11" spans="1:22" s="24" customFormat="1" ht="12" x14ac:dyDescent="0.2">
      <c r="A11" s="309" t="s">
        <v>2642</v>
      </c>
      <c r="B11" s="645" t="s">
        <v>1224</v>
      </c>
      <c r="C11" s="645" t="s">
        <v>1224</v>
      </c>
      <c r="D11" s="645" t="s">
        <v>1224</v>
      </c>
      <c r="E11" s="645" t="s">
        <v>1224</v>
      </c>
      <c r="F11" s="643">
        <v>444554</v>
      </c>
      <c r="G11" s="650" t="s">
        <v>2641</v>
      </c>
      <c r="H11" s="643">
        <v>342042</v>
      </c>
      <c r="I11" s="650" t="s">
        <v>193</v>
      </c>
      <c r="J11" s="315">
        <v>15897</v>
      </c>
      <c r="K11" s="650" t="s">
        <v>193</v>
      </c>
      <c r="M11" s="2"/>
      <c r="N11" s="2"/>
      <c r="O11" s="664"/>
      <c r="P11" s="664"/>
      <c r="Q11" s="315"/>
      <c r="R11" s="664"/>
      <c r="U11" s="2"/>
      <c r="V11" s="2"/>
    </row>
    <row r="12" spans="1:22" s="24" customFormat="1" ht="12" x14ac:dyDescent="0.2">
      <c r="A12" s="309" t="s">
        <v>2643</v>
      </c>
      <c r="B12" s="645" t="s">
        <v>1224</v>
      </c>
      <c r="C12" s="645" t="s">
        <v>1224</v>
      </c>
      <c r="D12" s="645" t="s">
        <v>1224</v>
      </c>
      <c r="E12" s="645" t="s">
        <v>1224</v>
      </c>
      <c r="F12" s="643">
        <v>16306</v>
      </c>
      <c r="G12" s="650" t="s">
        <v>2641</v>
      </c>
      <c r="H12" s="643">
        <v>20830</v>
      </c>
      <c r="I12" s="650" t="s">
        <v>193</v>
      </c>
      <c r="J12" s="315">
        <v>12624</v>
      </c>
      <c r="K12" s="650" t="s">
        <v>193</v>
      </c>
      <c r="M12" s="2"/>
      <c r="N12" s="2"/>
      <c r="O12" s="664"/>
      <c r="P12" s="664"/>
      <c r="Q12" s="315"/>
      <c r="R12" s="664"/>
      <c r="U12" s="2"/>
      <c r="V12" s="2"/>
    </row>
    <row r="13" spans="1:22" s="24" customFormat="1" ht="12" x14ac:dyDescent="0.2">
      <c r="A13" s="309" t="s">
        <v>2644</v>
      </c>
      <c r="B13" s="645" t="s">
        <v>1224</v>
      </c>
      <c r="C13" s="645" t="s">
        <v>1224</v>
      </c>
      <c r="D13" s="645" t="s">
        <v>1224</v>
      </c>
      <c r="E13" s="645" t="s">
        <v>1224</v>
      </c>
      <c r="F13" s="643">
        <v>12910</v>
      </c>
      <c r="G13" s="650" t="s">
        <v>2641</v>
      </c>
      <c r="H13" s="643">
        <v>22024</v>
      </c>
      <c r="I13" s="650" t="s">
        <v>193</v>
      </c>
      <c r="J13" s="315">
        <v>1308</v>
      </c>
      <c r="K13" s="650" t="s">
        <v>193</v>
      </c>
      <c r="M13" s="2"/>
      <c r="N13" s="2"/>
      <c r="O13" s="664"/>
      <c r="P13" s="664"/>
      <c r="Q13" s="315"/>
      <c r="R13" s="664"/>
      <c r="U13" s="2"/>
      <c r="V13" s="2"/>
    </row>
    <row r="14" spans="1:22" s="24" customFormat="1" ht="7.5" customHeight="1" x14ac:dyDescent="0.2">
      <c r="A14" s="309"/>
      <c r="B14" s="664"/>
      <c r="C14" s="664"/>
      <c r="D14" s="664"/>
      <c r="E14" s="664"/>
      <c r="F14" s="643"/>
      <c r="G14" s="650"/>
      <c r="H14" s="643"/>
      <c r="I14" s="650"/>
      <c r="J14" s="315"/>
      <c r="K14" s="664"/>
      <c r="M14" s="2"/>
      <c r="N14" s="2"/>
      <c r="O14" s="664"/>
      <c r="P14" s="664"/>
      <c r="Q14" s="315"/>
      <c r="R14" s="664"/>
      <c r="U14" s="2"/>
      <c r="V14" s="2"/>
    </row>
    <row r="15" spans="1:22" s="24" customFormat="1" ht="22.5" customHeight="1" x14ac:dyDescent="0.2">
      <c r="A15" s="982" t="s">
        <v>2645</v>
      </c>
      <c r="B15" s="982"/>
      <c r="C15" s="982"/>
      <c r="D15" s="982"/>
      <c r="E15" s="982"/>
      <c r="F15" s="982"/>
      <c r="G15" s="982"/>
      <c r="H15" s="982"/>
      <c r="I15" s="982"/>
      <c r="J15" s="982"/>
      <c r="K15" s="982"/>
      <c r="M15" s="2"/>
      <c r="N15" s="2"/>
      <c r="O15" s="2"/>
      <c r="P15" s="2"/>
      <c r="Q15" s="2"/>
      <c r="U15" s="2"/>
      <c r="V15" s="2"/>
    </row>
    <row r="16" spans="1:22" s="24" customFormat="1" ht="10.199999999999999" x14ac:dyDescent="0.2">
      <c r="A16" s="882" t="s">
        <v>2646</v>
      </c>
      <c r="B16" s="882"/>
      <c r="C16" s="882"/>
      <c r="D16" s="882"/>
      <c r="E16" s="882"/>
      <c r="F16" s="882"/>
      <c r="G16" s="882"/>
      <c r="H16" s="882"/>
      <c r="I16" s="882"/>
      <c r="J16" s="882"/>
      <c r="K16" s="882"/>
      <c r="M16" s="2"/>
      <c r="N16" s="2"/>
      <c r="O16" s="2"/>
      <c r="P16" s="2"/>
      <c r="Q16" s="2"/>
      <c r="U16" s="2"/>
      <c r="V16" s="2"/>
    </row>
    <row r="17" spans="1:22" s="24" customFormat="1" ht="10.199999999999999" x14ac:dyDescent="0.2">
      <c r="A17" s="882" t="s">
        <v>2647</v>
      </c>
      <c r="B17" s="882"/>
      <c r="C17" s="882"/>
      <c r="D17" s="882"/>
      <c r="E17" s="882"/>
      <c r="F17" s="882"/>
      <c r="G17" s="882"/>
      <c r="H17" s="882"/>
      <c r="I17" s="882"/>
      <c r="J17" s="882"/>
      <c r="K17" s="882"/>
      <c r="M17" s="2"/>
      <c r="N17" s="2"/>
      <c r="O17" s="2"/>
      <c r="P17" s="2"/>
      <c r="Q17" s="2"/>
      <c r="U17" s="2"/>
      <c r="V17" s="2"/>
    </row>
    <row r="18" spans="1:22" s="24" customFormat="1" ht="11.25" customHeight="1" x14ac:dyDescent="0.2">
      <c r="A18" s="882" t="s">
        <v>2648</v>
      </c>
      <c r="B18" s="882"/>
      <c r="C18" s="882"/>
      <c r="D18" s="882"/>
      <c r="E18" s="882"/>
      <c r="F18" s="882"/>
      <c r="G18" s="882"/>
      <c r="H18" s="882"/>
      <c r="I18" s="882"/>
      <c r="J18" s="882"/>
      <c r="K18" s="882"/>
      <c r="M18" s="2"/>
      <c r="N18" s="2"/>
      <c r="O18" s="2"/>
      <c r="P18" s="2"/>
      <c r="Q18" s="2"/>
      <c r="U18" s="2"/>
      <c r="V18" s="2"/>
    </row>
    <row r="19" spans="1:22" s="24" customFormat="1" ht="10.199999999999999" x14ac:dyDescent="0.2">
      <c r="A19" s="882" t="s">
        <v>2649</v>
      </c>
      <c r="B19" s="882"/>
      <c r="C19" s="882"/>
      <c r="D19" s="882"/>
      <c r="E19" s="882"/>
      <c r="F19" s="882"/>
      <c r="G19" s="882"/>
      <c r="H19" s="882"/>
      <c r="I19" s="882"/>
      <c r="J19" s="882"/>
      <c r="K19" s="882"/>
      <c r="M19" s="2"/>
      <c r="N19" s="2"/>
      <c r="O19" s="2"/>
      <c r="P19" s="2"/>
      <c r="Q19" s="2"/>
      <c r="U19" s="2"/>
      <c r="V19" s="2"/>
    </row>
    <row r="20" spans="1:22" s="24" customFormat="1" ht="10.199999999999999" x14ac:dyDescent="0.2">
      <c r="A20" s="882" t="s">
        <v>2650</v>
      </c>
      <c r="B20" s="882"/>
      <c r="C20" s="882"/>
      <c r="D20" s="882"/>
      <c r="E20" s="882"/>
      <c r="F20" s="882"/>
      <c r="G20" s="882"/>
      <c r="H20" s="882"/>
      <c r="I20" s="882"/>
      <c r="J20" s="882"/>
      <c r="K20" s="882"/>
      <c r="M20" s="2"/>
      <c r="N20" s="2"/>
      <c r="O20" s="2"/>
      <c r="P20" s="2"/>
      <c r="Q20" s="2"/>
      <c r="U20" s="2"/>
      <c r="V20" s="2"/>
    </row>
    <row r="21" spans="1:22" s="24" customFormat="1" ht="10.199999999999999" x14ac:dyDescent="0.2">
      <c r="A21" s="882" t="s">
        <v>2651</v>
      </c>
      <c r="B21" s="882"/>
      <c r="C21" s="882"/>
      <c r="D21" s="882"/>
      <c r="E21" s="882"/>
      <c r="F21" s="882"/>
      <c r="G21" s="882"/>
      <c r="H21" s="882"/>
      <c r="I21" s="882"/>
      <c r="J21" s="882"/>
      <c r="K21" s="882"/>
      <c r="M21" s="2"/>
      <c r="N21" s="2"/>
      <c r="O21" s="2"/>
      <c r="P21" s="2"/>
      <c r="Q21" s="2"/>
      <c r="U21" s="2"/>
      <c r="V21" s="2"/>
    </row>
    <row r="22" spans="1:22" s="24" customFormat="1" ht="10.199999999999999" x14ac:dyDescent="0.2">
      <c r="A22" s="882" t="s">
        <v>2652</v>
      </c>
      <c r="B22" s="882"/>
      <c r="C22" s="882"/>
      <c r="D22" s="882"/>
      <c r="E22" s="882"/>
      <c r="F22" s="882"/>
      <c r="G22" s="882"/>
      <c r="H22" s="882"/>
      <c r="I22" s="882"/>
      <c r="J22" s="882"/>
      <c r="K22" s="882"/>
      <c r="M22" s="2"/>
      <c r="N22" s="2"/>
      <c r="O22" s="2"/>
      <c r="P22" s="2"/>
      <c r="Q22" s="2"/>
      <c r="U22" s="2"/>
      <c r="V22" s="2"/>
    </row>
    <row r="23" spans="1:22" s="24" customFormat="1" ht="10.199999999999999" x14ac:dyDescent="0.2">
      <c r="A23" s="882" t="s">
        <v>2653</v>
      </c>
      <c r="B23" s="882"/>
      <c r="C23" s="882"/>
      <c r="D23" s="882"/>
      <c r="E23" s="882"/>
      <c r="F23" s="882"/>
      <c r="G23" s="882"/>
      <c r="H23" s="882"/>
      <c r="I23" s="882"/>
      <c r="J23" s="882"/>
      <c r="K23" s="882"/>
      <c r="M23" s="2"/>
      <c r="N23" s="2"/>
      <c r="O23" s="2"/>
      <c r="P23" s="2"/>
      <c r="Q23" s="2"/>
      <c r="U23" s="2"/>
      <c r="V23" s="2"/>
    </row>
    <row r="24" spans="1:22" s="24" customFormat="1" ht="10.199999999999999" x14ac:dyDescent="0.2">
      <c r="A24" s="324" t="s">
        <v>1178</v>
      </c>
      <c r="B24" s="882"/>
      <c r="C24" s="882"/>
      <c r="D24" s="882"/>
      <c r="E24" s="882"/>
      <c r="F24" s="882"/>
      <c r="G24" s="882"/>
      <c r="H24" s="882"/>
      <c r="I24" s="882"/>
      <c r="J24" s="882"/>
      <c r="K24" s="882"/>
      <c r="M24" s="2"/>
      <c r="N24" s="2"/>
      <c r="O24" s="2"/>
      <c r="P24" s="2"/>
      <c r="Q24" s="2"/>
      <c r="U24" s="2"/>
      <c r="V24" s="2"/>
    </row>
    <row r="25" spans="1:22" s="24" customFormat="1" ht="10.199999999999999" x14ac:dyDescent="0.2">
      <c r="A25" s="335" t="s">
        <v>2654</v>
      </c>
      <c r="B25" s="309"/>
      <c r="C25" s="309"/>
      <c r="D25" s="309"/>
      <c r="E25" s="309"/>
      <c r="F25" s="309"/>
      <c r="G25" s="309"/>
      <c r="H25" s="309"/>
      <c r="I25" s="309"/>
      <c r="J25" s="309"/>
      <c r="K25" s="309"/>
      <c r="M25" s="2"/>
      <c r="N25" s="2"/>
      <c r="O25" s="2"/>
      <c r="P25" s="2"/>
      <c r="Q25" s="2"/>
      <c r="U25" s="2"/>
      <c r="V25" s="2"/>
    </row>
    <row r="26" spans="1:22" s="24" customFormat="1" ht="10.199999999999999" x14ac:dyDescent="0.2">
      <c r="A26" s="2" t="s">
        <v>1128</v>
      </c>
      <c r="B26" s="2"/>
      <c r="C26" s="2"/>
      <c r="D26" s="2"/>
      <c r="M26" s="2"/>
      <c r="N26" s="2"/>
      <c r="O26" s="2"/>
      <c r="P26" s="2"/>
      <c r="Q26" s="2"/>
      <c r="U26" s="2"/>
      <c r="V26" s="2"/>
    </row>
    <row r="27" spans="1:22" s="24" customFormat="1" ht="10.199999999999999" x14ac:dyDescent="0.2">
      <c r="A27" s="2"/>
      <c r="B27" s="2"/>
      <c r="C27" s="2"/>
      <c r="D27" s="2"/>
      <c r="M27" s="2"/>
      <c r="N27" s="2"/>
      <c r="O27" s="2"/>
      <c r="P27" s="2"/>
      <c r="Q27" s="2"/>
      <c r="U27" s="2"/>
      <c r="V27" s="2"/>
    </row>
  </sheetData>
  <mergeCells count="9">
    <mergeCell ref="S4:T4"/>
    <mergeCell ref="A15:K15"/>
    <mergeCell ref="A2:K2"/>
    <mergeCell ref="A4:A5"/>
    <mergeCell ref="B4:C4"/>
    <mergeCell ref="D4:E4"/>
    <mergeCell ref="F4:G4"/>
    <mergeCell ref="H4:I4"/>
    <mergeCell ref="J4:K4"/>
  </mergeCells>
  <pageMargins left="0.7" right="0.7" top="0.75" bottom="0.75" header="0.3" footer="0.3"/>
  <pageSetup paperSize="14" scale="89" orientation="landscape" r:id="rId1"/>
  <colBreaks count="1" manualBreakCount="1">
    <brk id="11" max="1048575" man="1"/>
  </colBreaks>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74D2A1-8E11-4BC5-91F9-D1C4E3F38579}">
  <sheetPr codeName="Hoja203"/>
  <dimension ref="A2:I25"/>
  <sheetViews>
    <sheetView workbookViewId="0">
      <selection activeCell="A53" sqref="A53"/>
    </sheetView>
  </sheetViews>
  <sheetFormatPr baseColWidth="10" defaultRowHeight="13.2" x14ac:dyDescent="0.25"/>
  <cols>
    <col min="1" max="1" width="21" customWidth="1"/>
  </cols>
  <sheetData>
    <row r="2" spans="1:9" s="2" customFormat="1" ht="33" customHeight="1" x14ac:dyDescent="0.25">
      <c r="A2" s="308" t="s">
        <v>2525</v>
      </c>
      <c r="B2" s="308"/>
      <c r="C2" s="308"/>
      <c r="D2" s="308"/>
      <c r="E2" s="308"/>
      <c r="F2" s="308"/>
      <c r="G2" s="1011"/>
      <c r="I2" s="686"/>
    </row>
    <row r="3" spans="1:9" s="2" customFormat="1" ht="10.199999999999999" x14ac:dyDescent="0.2">
      <c r="I3" s="686"/>
    </row>
    <row r="4" spans="1:9" s="2" customFormat="1" ht="10.199999999999999" x14ac:dyDescent="0.2">
      <c r="I4" s="686"/>
    </row>
    <row r="5" spans="1:9" s="2" customFormat="1" ht="20.399999999999999" x14ac:dyDescent="0.2">
      <c r="A5" s="621" t="s">
        <v>0</v>
      </c>
      <c r="B5" s="621" t="s">
        <v>2655</v>
      </c>
      <c r="C5" s="621" t="s">
        <v>2656</v>
      </c>
      <c r="D5" s="621" t="s">
        <v>2657</v>
      </c>
      <c r="E5" s="621" t="s">
        <v>2658</v>
      </c>
      <c r="F5" s="644" t="s">
        <v>2659</v>
      </c>
      <c r="I5" s="686"/>
    </row>
    <row r="6" spans="1:9" s="24" customFormat="1" ht="10.199999999999999" x14ac:dyDescent="0.2">
      <c r="A6" s="624" t="s">
        <v>1127</v>
      </c>
      <c r="B6" s="655">
        <f>SUM(B7:B21)</f>
        <v>186171</v>
      </c>
      <c r="C6" s="655">
        <f>SUM(C7:C21)</f>
        <v>59721</v>
      </c>
      <c r="D6" s="655">
        <f>SUM(D7:D21)</f>
        <v>50500</v>
      </c>
      <c r="E6" s="655">
        <f>SUM(E7:E21)</f>
        <v>65169</v>
      </c>
      <c r="F6" s="655">
        <f>SUM(F7:F21)</f>
        <v>10781</v>
      </c>
      <c r="I6" s="686"/>
    </row>
    <row r="7" spans="1:9" s="2" customFormat="1" ht="10.199999999999999" x14ac:dyDescent="0.2">
      <c r="A7" s="1037" t="s">
        <v>4</v>
      </c>
      <c r="B7" s="655">
        <f t="shared" ref="B7:B21" si="0">SUM(C7:F7)</f>
        <v>1685</v>
      </c>
      <c r="C7" s="643">
        <v>477</v>
      </c>
      <c r="D7" s="643">
        <v>390</v>
      </c>
      <c r="E7" s="643">
        <v>677</v>
      </c>
      <c r="F7" s="643">
        <v>141</v>
      </c>
      <c r="I7" s="686"/>
    </row>
    <row r="8" spans="1:9" s="2" customFormat="1" ht="10.199999999999999" x14ac:dyDescent="0.2">
      <c r="A8" s="1037" t="s">
        <v>5</v>
      </c>
      <c r="B8" s="655">
        <f t="shared" si="0"/>
        <v>12545</v>
      </c>
      <c r="C8" s="643">
        <v>2964</v>
      </c>
      <c r="D8" s="643">
        <v>4077</v>
      </c>
      <c r="E8" s="643">
        <v>4636</v>
      </c>
      <c r="F8" s="643">
        <v>868</v>
      </c>
      <c r="I8" s="686"/>
    </row>
    <row r="9" spans="1:9" s="2" customFormat="1" ht="10.199999999999999" x14ac:dyDescent="0.2">
      <c r="A9" s="1037" t="s">
        <v>6</v>
      </c>
      <c r="B9" s="655">
        <f t="shared" si="0"/>
        <v>4091</v>
      </c>
      <c r="C9" s="643">
        <v>1325</v>
      </c>
      <c r="D9" s="643">
        <v>1018</v>
      </c>
      <c r="E9" s="643">
        <v>1578</v>
      </c>
      <c r="F9" s="643">
        <v>170</v>
      </c>
      <c r="I9" s="686"/>
    </row>
    <row r="10" spans="1:9" s="2" customFormat="1" ht="10.199999999999999" x14ac:dyDescent="0.2">
      <c r="A10" s="1037" t="s">
        <v>7</v>
      </c>
      <c r="B10" s="655">
        <f t="shared" si="0"/>
        <v>8410</v>
      </c>
      <c r="C10" s="643">
        <v>2924</v>
      </c>
      <c r="D10" s="643">
        <v>1832</v>
      </c>
      <c r="E10" s="643">
        <v>3084</v>
      </c>
      <c r="F10" s="643">
        <v>570</v>
      </c>
      <c r="I10" s="686"/>
    </row>
    <row r="11" spans="1:9" s="2" customFormat="1" ht="10.199999999999999" x14ac:dyDescent="0.2">
      <c r="A11" s="1037" t="s">
        <v>8</v>
      </c>
      <c r="B11" s="655">
        <f t="shared" si="0"/>
        <v>11072</v>
      </c>
      <c r="C11" s="643">
        <v>2616</v>
      </c>
      <c r="D11" s="643">
        <v>3055</v>
      </c>
      <c r="E11" s="643">
        <v>4213</v>
      </c>
      <c r="F11" s="643">
        <v>1188</v>
      </c>
      <c r="I11" s="686"/>
    </row>
    <row r="12" spans="1:9" s="2" customFormat="1" ht="10.199999999999999" x14ac:dyDescent="0.2">
      <c r="A12" s="1037" t="s">
        <v>9</v>
      </c>
      <c r="B12" s="655">
        <f t="shared" si="0"/>
        <v>9328</v>
      </c>
      <c r="C12" s="643">
        <v>3269</v>
      </c>
      <c r="D12" s="643">
        <v>2205</v>
      </c>
      <c r="E12" s="643">
        <v>3371</v>
      </c>
      <c r="F12" s="643">
        <v>483</v>
      </c>
      <c r="I12" s="686"/>
    </row>
    <row r="13" spans="1:9" s="2" customFormat="1" ht="12.75" customHeight="1" x14ac:dyDescent="0.2">
      <c r="A13" s="1037" t="s">
        <v>10</v>
      </c>
      <c r="B13" s="655">
        <f t="shared" si="0"/>
        <v>6271</v>
      </c>
      <c r="C13" s="643">
        <v>1886</v>
      </c>
      <c r="D13" s="643">
        <v>1400</v>
      </c>
      <c r="E13" s="643">
        <v>2380</v>
      </c>
      <c r="F13" s="643">
        <v>605</v>
      </c>
      <c r="I13" s="686"/>
    </row>
    <row r="14" spans="1:9" s="2" customFormat="1" ht="10.199999999999999" x14ac:dyDescent="0.2">
      <c r="A14" s="1037" t="s">
        <v>134</v>
      </c>
      <c r="B14" s="655">
        <f t="shared" si="0"/>
        <v>7022</v>
      </c>
      <c r="C14" s="643">
        <v>2650</v>
      </c>
      <c r="D14" s="643">
        <v>1614</v>
      </c>
      <c r="E14" s="643">
        <v>2302</v>
      </c>
      <c r="F14" s="643">
        <v>456</v>
      </c>
      <c r="I14" s="686"/>
    </row>
    <row r="15" spans="1:9" s="2" customFormat="1" ht="10.199999999999999" x14ac:dyDescent="0.2">
      <c r="A15" s="1037" t="s">
        <v>12</v>
      </c>
      <c r="B15" s="655">
        <f t="shared" si="0"/>
        <v>17851</v>
      </c>
      <c r="C15" s="643">
        <v>5950</v>
      </c>
      <c r="D15" s="643">
        <v>4149</v>
      </c>
      <c r="E15" s="643">
        <v>6893</v>
      </c>
      <c r="F15" s="643">
        <v>859</v>
      </c>
      <c r="I15" s="686"/>
    </row>
    <row r="16" spans="1:9" s="2" customFormat="1" ht="10.199999999999999" x14ac:dyDescent="0.2">
      <c r="A16" s="1037" t="s">
        <v>13</v>
      </c>
      <c r="B16" s="655">
        <f t="shared" si="0"/>
        <v>28629</v>
      </c>
      <c r="C16" s="643">
        <v>10144</v>
      </c>
      <c r="D16" s="643">
        <v>8008</v>
      </c>
      <c r="E16" s="643">
        <v>9331</v>
      </c>
      <c r="F16" s="643">
        <v>1146</v>
      </c>
      <c r="I16" s="686"/>
    </row>
    <row r="17" spans="1:9" s="2" customFormat="1" ht="10.199999999999999" x14ac:dyDescent="0.2">
      <c r="A17" s="1037" t="s">
        <v>47</v>
      </c>
      <c r="B17" s="655">
        <f t="shared" si="0"/>
        <v>12754</v>
      </c>
      <c r="C17" s="643">
        <v>3949</v>
      </c>
      <c r="D17" s="643">
        <v>3992</v>
      </c>
      <c r="E17" s="643">
        <v>4339</v>
      </c>
      <c r="F17" s="643">
        <v>474</v>
      </c>
      <c r="I17" s="686"/>
    </row>
    <row r="18" spans="1:9" s="2" customFormat="1" ht="10.199999999999999" x14ac:dyDescent="0.2">
      <c r="A18" s="1037" t="s">
        <v>135</v>
      </c>
      <c r="B18" s="655">
        <f t="shared" si="0"/>
        <v>6335</v>
      </c>
      <c r="C18" s="643">
        <v>2928</v>
      </c>
      <c r="D18" s="643">
        <v>1506</v>
      </c>
      <c r="E18" s="643">
        <v>1728</v>
      </c>
      <c r="F18" s="643">
        <v>173</v>
      </c>
      <c r="I18" s="686"/>
    </row>
    <row r="19" spans="1:9" s="2" customFormat="1" ht="12.75" customHeight="1" x14ac:dyDescent="0.2">
      <c r="A19" s="1037" t="s">
        <v>136</v>
      </c>
      <c r="B19" s="655">
        <f t="shared" si="0"/>
        <v>3589</v>
      </c>
      <c r="C19" s="643">
        <v>1234</v>
      </c>
      <c r="D19" s="643">
        <v>811</v>
      </c>
      <c r="E19" s="643">
        <v>1344</v>
      </c>
      <c r="F19" s="643">
        <v>200</v>
      </c>
      <c r="I19" s="686"/>
    </row>
    <row r="20" spans="1:9" s="2" customFormat="1" ht="10.199999999999999" x14ac:dyDescent="0.2">
      <c r="A20" s="1037" t="s">
        <v>17</v>
      </c>
      <c r="B20" s="655">
        <f t="shared" si="0"/>
        <v>43035</v>
      </c>
      <c r="C20" s="643">
        <v>11811</v>
      </c>
      <c r="D20" s="643">
        <v>13119</v>
      </c>
      <c r="E20" s="643">
        <v>15175</v>
      </c>
      <c r="F20" s="643">
        <v>2930</v>
      </c>
      <c r="I20" s="686"/>
    </row>
    <row r="21" spans="1:9" s="2" customFormat="1" ht="10.199999999999999" x14ac:dyDescent="0.2">
      <c r="A21" s="1037" t="s">
        <v>18</v>
      </c>
      <c r="B21" s="655">
        <f t="shared" si="0"/>
        <v>13554</v>
      </c>
      <c r="C21" s="643">
        <v>5594</v>
      </c>
      <c r="D21" s="643">
        <v>3324</v>
      </c>
      <c r="E21" s="643">
        <v>4118</v>
      </c>
      <c r="F21" s="643">
        <v>518</v>
      </c>
      <c r="I21" s="686"/>
    </row>
    <row r="22" spans="1:9" s="2" customFormat="1" ht="8.25" customHeight="1" x14ac:dyDescent="0.2">
      <c r="A22" s="288"/>
      <c r="B22" s="655"/>
      <c r="C22" s="643"/>
      <c r="D22" s="643"/>
      <c r="E22" s="643"/>
      <c r="F22" s="643"/>
      <c r="I22" s="686"/>
    </row>
    <row r="23" spans="1:9" s="2" customFormat="1" ht="24.75" customHeight="1" x14ac:dyDescent="0.2">
      <c r="A23" s="697" t="s">
        <v>2660</v>
      </c>
      <c r="B23" s="697"/>
      <c r="C23" s="697"/>
      <c r="D23" s="697"/>
      <c r="E23" s="697"/>
      <c r="F23" s="697"/>
      <c r="G23" s="1038"/>
      <c r="I23" s="686"/>
    </row>
    <row r="24" spans="1:9" s="2" customFormat="1" ht="75" customHeight="1" x14ac:dyDescent="0.2">
      <c r="A24" s="697" t="s">
        <v>2661</v>
      </c>
      <c r="B24" s="697"/>
      <c r="C24" s="697"/>
      <c r="D24" s="697"/>
      <c r="E24" s="697"/>
      <c r="F24" s="697"/>
      <c r="G24" s="705"/>
      <c r="I24" s="686"/>
    </row>
    <row r="25" spans="1:9" s="686" customFormat="1" ht="10.199999999999999" x14ac:dyDescent="0.2">
      <c r="A25" s="745" t="s">
        <v>1128</v>
      </c>
      <c r="B25" s="745"/>
      <c r="C25" s="745"/>
      <c r="D25" s="745"/>
      <c r="E25" s="745"/>
      <c r="F25" s="745"/>
    </row>
  </sheetData>
  <mergeCells count="4">
    <mergeCell ref="A2:F2"/>
    <mergeCell ref="A23:F23"/>
    <mergeCell ref="A24:F24"/>
    <mergeCell ref="A25:F25"/>
  </mergeCells>
  <pageMargins left="0.7" right="0.7" top="0.75" bottom="0.75" header="0.3" footer="0.3"/>
  <pageSetup paperSize="14" orientation="landscape" r:id="rId1"/>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10BB1-8E9E-4B31-AC14-D7BD8465CC87}">
  <sheetPr codeName="Hoja204"/>
  <dimension ref="A2:H12"/>
  <sheetViews>
    <sheetView workbookViewId="0">
      <selection activeCell="A53" sqref="A53"/>
    </sheetView>
  </sheetViews>
  <sheetFormatPr baseColWidth="10" defaultColWidth="11.44140625" defaultRowHeight="10.199999999999999" x14ac:dyDescent="0.2"/>
  <cols>
    <col min="1" max="1" width="27.109375" style="686" customWidth="1"/>
    <col min="2" max="6" width="13.44140625" style="686" customWidth="1"/>
    <col min="7" max="16384" width="11.44140625" style="686"/>
  </cols>
  <sheetData>
    <row r="2" spans="1:8" ht="24" customHeight="1" x14ac:dyDescent="0.2">
      <c r="A2" s="308" t="s">
        <v>2526</v>
      </c>
      <c r="B2" s="308"/>
      <c r="C2" s="308"/>
      <c r="D2" s="308"/>
      <c r="E2" s="308"/>
      <c r="F2" s="308"/>
      <c r="G2" s="2"/>
      <c r="H2" s="2"/>
    </row>
    <row r="3" spans="1:8" ht="16.5" customHeight="1" x14ac:dyDescent="0.2">
      <c r="A3" s="720"/>
      <c r="B3" s="720"/>
      <c r="C3" s="720"/>
      <c r="D3" s="720"/>
      <c r="E3" s="720"/>
      <c r="F3" s="720"/>
      <c r="G3" s="2"/>
      <c r="H3" s="2"/>
    </row>
    <row r="4" spans="1:8" ht="14.25" customHeight="1" x14ac:dyDescent="0.2">
      <c r="A4" s="323" t="s">
        <v>1187</v>
      </c>
      <c r="B4" s="688" t="s">
        <v>2662</v>
      </c>
      <c r="C4" s="689"/>
      <c r="D4" s="689"/>
      <c r="E4" s="689"/>
      <c r="F4" s="694"/>
      <c r="G4" s="2"/>
      <c r="H4" s="2"/>
    </row>
    <row r="5" spans="1:8" ht="14.25" customHeight="1" x14ac:dyDescent="0.2">
      <c r="A5" s="323"/>
      <c r="B5" s="621">
        <v>2009</v>
      </c>
      <c r="C5" s="621">
        <v>2010</v>
      </c>
      <c r="D5" s="621">
        <v>2011</v>
      </c>
      <c r="E5" s="621">
        <v>2012</v>
      </c>
      <c r="F5" s="621">
        <v>2013</v>
      </c>
      <c r="G5" s="2"/>
      <c r="H5" s="2"/>
    </row>
    <row r="6" spans="1:8" ht="20.399999999999999" x14ac:dyDescent="0.2">
      <c r="A6" s="284" t="s">
        <v>2663</v>
      </c>
      <c r="B6" s="643">
        <v>94082</v>
      </c>
      <c r="C6" s="643">
        <v>216332</v>
      </c>
      <c r="D6" s="643">
        <v>315396</v>
      </c>
      <c r="E6" s="643">
        <v>268852</v>
      </c>
      <c r="F6" s="643">
        <v>221273</v>
      </c>
      <c r="G6" s="442"/>
      <c r="H6" s="315"/>
    </row>
    <row r="7" spans="1:8" ht="32.4" x14ac:dyDescent="0.2">
      <c r="A7" s="284" t="s">
        <v>2664</v>
      </c>
      <c r="B7" s="643">
        <v>58879</v>
      </c>
      <c r="C7" s="643">
        <v>65574</v>
      </c>
      <c r="D7" s="643">
        <v>108625</v>
      </c>
      <c r="E7" s="643">
        <v>89182</v>
      </c>
      <c r="F7" s="643">
        <v>17366</v>
      </c>
      <c r="G7" s="771"/>
      <c r="H7" s="2"/>
    </row>
    <row r="8" spans="1:8" ht="20.399999999999999" x14ac:dyDescent="0.2">
      <c r="A8" s="284" t="s">
        <v>2665</v>
      </c>
      <c r="B8" s="643">
        <v>809692</v>
      </c>
      <c r="C8" s="643">
        <v>714311</v>
      </c>
      <c r="D8" s="643">
        <v>743578</v>
      </c>
      <c r="E8" s="643">
        <v>733497</v>
      </c>
      <c r="F8" s="643">
        <v>679923</v>
      </c>
      <c r="G8" s="1039"/>
      <c r="H8" s="2"/>
    </row>
    <row r="9" spans="1:8" ht="20.399999999999999" x14ac:dyDescent="0.2">
      <c r="A9" s="284" t="s">
        <v>2666</v>
      </c>
      <c r="B9" s="643">
        <v>37601</v>
      </c>
      <c r="C9" s="643">
        <v>47376</v>
      </c>
      <c r="D9" s="643">
        <v>55694</v>
      </c>
      <c r="E9" s="643">
        <v>54472</v>
      </c>
      <c r="F9" s="643">
        <v>56962</v>
      </c>
      <c r="G9" s="1039"/>
      <c r="H9" s="2"/>
    </row>
    <row r="10" spans="1:8" x14ac:dyDescent="0.2">
      <c r="A10" s="2"/>
      <c r="B10" s="2"/>
      <c r="C10" s="2"/>
      <c r="D10" s="2"/>
      <c r="E10" s="2"/>
      <c r="F10" s="2"/>
      <c r="G10" s="2"/>
      <c r="H10" s="2"/>
    </row>
    <row r="11" spans="1:8" ht="36.75" customHeight="1" x14ac:dyDescent="0.2">
      <c r="A11" s="982" t="s">
        <v>2667</v>
      </c>
      <c r="B11" s="982"/>
      <c r="C11" s="982"/>
      <c r="D11" s="982"/>
      <c r="E11" s="982"/>
      <c r="F11" s="982"/>
      <c r="G11" s="1032"/>
      <c r="H11" s="2"/>
    </row>
    <row r="12" spans="1:8" x14ac:dyDescent="0.2">
      <c r="A12" s="745" t="s">
        <v>1128</v>
      </c>
      <c r="B12" s="745"/>
      <c r="C12" s="745"/>
      <c r="D12" s="745"/>
      <c r="E12" s="745"/>
      <c r="F12" s="745"/>
      <c r="G12" s="2"/>
      <c r="H12" s="2"/>
    </row>
  </sheetData>
  <mergeCells count="5">
    <mergeCell ref="A2:F2"/>
    <mergeCell ref="A4:A5"/>
    <mergeCell ref="B4:F4"/>
    <mergeCell ref="A11:F11"/>
    <mergeCell ref="A12:F12"/>
  </mergeCells>
  <pageMargins left="0.7" right="0.7" top="0.75" bottom="0.75" header="0.3" footer="0.3"/>
  <pageSetup paperSize="14" orientation="landscape" r:id="rId1"/>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8DEA47-53B4-4D1F-8540-42216ACBE2D5}">
  <sheetPr codeName="Hoja205"/>
  <dimension ref="A1:H52"/>
  <sheetViews>
    <sheetView workbookViewId="0">
      <selection activeCell="A53" sqref="A53"/>
    </sheetView>
  </sheetViews>
  <sheetFormatPr baseColWidth="10" defaultColWidth="11.44140625" defaultRowHeight="10.199999999999999" x14ac:dyDescent="0.2"/>
  <cols>
    <col min="1" max="1" width="27.6640625" style="2" customWidth="1"/>
    <col min="2" max="2" width="14.44140625" style="2" customWidth="1"/>
    <col min="3" max="77" width="10.6640625" style="2" customWidth="1"/>
    <col min="78" max="16384" width="11.44140625" style="2"/>
  </cols>
  <sheetData>
    <row r="1" spans="1:8" x14ac:dyDescent="0.2">
      <c r="A1" s="324"/>
    </row>
    <row r="2" spans="1:8" ht="34.5" customHeight="1" x14ac:dyDescent="0.2">
      <c r="A2" s="308" t="s">
        <v>2668</v>
      </c>
      <c r="B2" s="308"/>
      <c r="C2" s="308"/>
      <c r="D2" s="308"/>
      <c r="E2" s="308"/>
      <c r="F2" s="308"/>
    </row>
    <row r="3" spans="1:8" ht="15.75" customHeight="1" x14ac:dyDescent="0.2">
      <c r="A3" s="624"/>
      <c r="B3" s="624"/>
      <c r="C3" s="624"/>
      <c r="D3" s="624"/>
      <c r="E3" s="624"/>
      <c r="F3" s="624"/>
      <c r="H3" s="141"/>
    </row>
    <row r="4" spans="1:8" ht="15" customHeight="1" x14ac:dyDescent="0.2">
      <c r="A4" s="275" t="s">
        <v>0</v>
      </c>
      <c r="B4" s="323" t="s">
        <v>98</v>
      </c>
      <c r="C4" s="323"/>
      <c r="D4" s="323"/>
      <c r="E4" s="323"/>
      <c r="F4" s="323"/>
      <c r="H4" s="141"/>
    </row>
    <row r="5" spans="1:8" ht="15" customHeight="1" x14ac:dyDescent="0.2">
      <c r="A5" s="277"/>
      <c r="B5" s="621">
        <v>2009</v>
      </c>
      <c r="C5" s="621">
        <v>2010</v>
      </c>
      <c r="D5" s="621">
        <v>2011</v>
      </c>
      <c r="E5" s="621">
        <v>2012</v>
      </c>
      <c r="F5" s="621">
        <v>2013</v>
      </c>
    </row>
    <row r="6" spans="1:8" s="24" customFormat="1" x14ac:dyDescent="0.2">
      <c r="A6" s="624" t="s">
        <v>42</v>
      </c>
      <c r="B6" s="655">
        <f>SUM(B7:B21)</f>
        <v>2945505</v>
      </c>
      <c r="C6" s="655">
        <f>SUM(C7:C21)</f>
        <v>761618</v>
      </c>
      <c r="D6" s="655">
        <f>SUM(D7:D21)</f>
        <v>1044733</v>
      </c>
      <c r="E6" s="655">
        <f>SUM(E7:E21)</f>
        <v>913739</v>
      </c>
      <c r="F6" s="655">
        <f>SUM(F7:F21)</f>
        <v>1364505</v>
      </c>
    </row>
    <row r="7" spans="1:8" x14ac:dyDescent="0.2">
      <c r="A7" s="1040" t="s">
        <v>4</v>
      </c>
      <c r="B7" s="643">
        <v>4127</v>
      </c>
      <c r="C7" s="643">
        <v>650</v>
      </c>
      <c r="D7" s="269">
        <v>6185</v>
      </c>
      <c r="E7" s="643">
        <v>7065</v>
      </c>
      <c r="F7" s="643">
        <v>11648</v>
      </c>
    </row>
    <row r="8" spans="1:8" x14ac:dyDescent="0.2">
      <c r="A8" s="1040" t="s">
        <v>5</v>
      </c>
      <c r="B8" s="643">
        <v>58948</v>
      </c>
      <c r="C8" s="643">
        <v>2123</v>
      </c>
      <c r="D8" s="269">
        <v>4611</v>
      </c>
      <c r="E8" s="643">
        <v>7108</v>
      </c>
      <c r="F8" s="643">
        <v>10478</v>
      </c>
    </row>
    <row r="9" spans="1:8" x14ac:dyDescent="0.2">
      <c r="A9" s="1040" t="s">
        <v>6</v>
      </c>
      <c r="B9" s="643">
        <v>78635</v>
      </c>
      <c r="C9" s="643">
        <v>1699</v>
      </c>
      <c r="D9" s="269">
        <v>1639</v>
      </c>
      <c r="E9" s="643">
        <v>2057</v>
      </c>
      <c r="F9" s="643">
        <v>9770</v>
      </c>
    </row>
    <row r="10" spans="1:8" x14ac:dyDescent="0.2">
      <c r="A10" s="1040" t="s">
        <v>7</v>
      </c>
      <c r="B10" s="643">
        <v>45264</v>
      </c>
      <c r="C10" s="643">
        <v>17426</v>
      </c>
      <c r="D10" s="269">
        <v>19805</v>
      </c>
      <c r="E10" s="643">
        <v>18088</v>
      </c>
      <c r="F10" s="643">
        <v>23431</v>
      </c>
    </row>
    <row r="11" spans="1:8" x14ac:dyDescent="0.2">
      <c r="A11" s="1040" t="s">
        <v>8</v>
      </c>
      <c r="B11" s="643">
        <v>54878</v>
      </c>
      <c r="C11" s="643">
        <v>15528</v>
      </c>
      <c r="D11" s="269">
        <v>16400</v>
      </c>
      <c r="E11" s="643">
        <v>17039</v>
      </c>
      <c r="F11" s="643">
        <v>33120</v>
      </c>
    </row>
    <row r="12" spans="1:8" x14ac:dyDescent="0.2">
      <c r="A12" s="1040" t="s">
        <v>9</v>
      </c>
      <c r="B12" s="643">
        <v>251408</v>
      </c>
      <c r="C12" s="643">
        <v>12701</v>
      </c>
      <c r="D12" s="269">
        <v>31273</v>
      </c>
      <c r="E12" s="643">
        <v>63847</v>
      </c>
      <c r="F12" s="643">
        <v>82370</v>
      </c>
    </row>
    <row r="13" spans="1:8" ht="12" x14ac:dyDescent="0.2">
      <c r="A13" s="1040" t="s">
        <v>1049</v>
      </c>
      <c r="B13" s="643">
        <v>989970</v>
      </c>
      <c r="C13" s="643">
        <v>440702</v>
      </c>
      <c r="D13" s="269">
        <v>554236</v>
      </c>
      <c r="E13" s="643">
        <v>339539</v>
      </c>
      <c r="F13" s="643">
        <v>565241</v>
      </c>
    </row>
    <row r="14" spans="1:8" x14ac:dyDescent="0.2">
      <c r="A14" s="1040" t="s">
        <v>134</v>
      </c>
      <c r="B14" s="643">
        <v>178665</v>
      </c>
      <c r="C14" s="643">
        <v>28003</v>
      </c>
      <c r="D14" s="269">
        <v>40917</v>
      </c>
      <c r="E14" s="643">
        <v>55697</v>
      </c>
      <c r="F14" s="643">
        <v>57043</v>
      </c>
    </row>
    <row r="15" spans="1:8" x14ac:dyDescent="0.2">
      <c r="A15" s="1040" t="s">
        <v>12</v>
      </c>
      <c r="B15" s="643">
        <v>437122</v>
      </c>
      <c r="C15" s="643">
        <v>14844</v>
      </c>
      <c r="D15" s="269">
        <v>19381</v>
      </c>
      <c r="E15" s="643">
        <v>29714</v>
      </c>
      <c r="F15" s="643">
        <v>44031</v>
      </c>
    </row>
    <row r="16" spans="1:8" x14ac:dyDescent="0.2">
      <c r="A16" s="1040" t="s">
        <v>13</v>
      </c>
      <c r="B16" s="643">
        <v>236331</v>
      </c>
      <c r="C16" s="643">
        <v>45293</v>
      </c>
      <c r="D16" s="269">
        <v>89330</v>
      </c>
      <c r="E16" s="643">
        <v>75208</v>
      </c>
      <c r="F16" s="643">
        <v>134249</v>
      </c>
    </row>
    <row r="17" spans="1:6" x14ac:dyDescent="0.2">
      <c r="A17" s="1040" t="s">
        <v>47</v>
      </c>
      <c r="B17" s="643">
        <v>251433</v>
      </c>
      <c r="C17" s="643">
        <v>57959</v>
      </c>
      <c r="D17" s="269">
        <v>94850</v>
      </c>
      <c r="E17" s="643">
        <v>132062</v>
      </c>
      <c r="F17" s="643">
        <v>154374</v>
      </c>
    </row>
    <row r="18" spans="1:6" x14ac:dyDescent="0.2">
      <c r="A18" s="1040" t="s">
        <v>135</v>
      </c>
      <c r="B18" s="643">
        <v>168505</v>
      </c>
      <c r="C18" s="643">
        <v>33859</v>
      </c>
      <c r="D18" s="269">
        <v>50890</v>
      </c>
      <c r="E18" s="643">
        <v>58814</v>
      </c>
      <c r="F18" s="643">
        <v>75913</v>
      </c>
    </row>
    <row r="19" spans="1:6" x14ac:dyDescent="0.2">
      <c r="A19" s="1040" t="s">
        <v>136</v>
      </c>
      <c r="B19" s="643">
        <v>116004</v>
      </c>
      <c r="C19" s="643">
        <v>37222</v>
      </c>
      <c r="D19" s="269">
        <v>49330</v>
      </c>
      <c r="E19" s="643">
        <v>50895</v>
      </c>
      <c r="F19" s="643">
        <v>80865</v>
      </c>
    </row>
    <row r="20" spans="1:6" x14ac:dyDescent="0.2">
      <c r="A20" s="1040" t="s">
        <v>17</v>
      </c>
      <c r="B20" s="643">
        <v>29689</v>
      </c>
      <c r="C20" s="643">
        <v>30279</v>
      </c>
      <c r="D20" s="269">
        <v>34192</v>
      </c>
      <c r="E20" s="643">
        <v>27248</v>
      </c>
      <c r="F20" s="643">
        <v>43218</v>
      </c>
    </row>
    <row r="21" spans="1:6" x14ac:dyDescent="0.2">
      <c r="A21" s="1040" t="s">
        <v>18</v>
      </c>
      <c r="B21" s="643">
        <v>44526</v>
      </c>
      <c r="C21" s="643">
        <v>23330</v>
      </c>
      <c r="D21" s="269">
        <v>31694</v>
      </c>
      <c r="E21" s="643">
        <v>29358</v>
      </c>
      <c r="F21" s="643">
        <v>38754</v>
      </c>
    </row>
    <row r="22" spans="1:6" ht="6.75" customHeight="1" x14ac:dyDescent="0.2">
      <c r="A22" s="288"/>
      <c r="B22" s="643"/>
      <c r="C22" s="643"/>
      <c r="D22" s="269"/>
      <c r="E22" s="643"/>
      <c r="F22" s="643"/>
    </row>
    <row r="23" spans="1:6" ht="80.25" customHeight="1" x14ac:dyDescent="0.2">
      <c r="A23" s="697" t="s">
        <v>2669</v>
      </c>
      <c r="B23" s="697"/>
      <c r="C23" s="697"/>
      <c r="D23" s="697"/>
      <c r="E23" s="697"/>
      <c r="F23" s="697"/>
    </row>
    <row r="24" spans="1:6" x14ac:dyDescent="0.2">
      <c r="A24" s="745" t="s">
        <v>2670</v>
      </c>
      <c r="B24" s="745"/>
      <c r="C24" s="745"/>
      <c r="D24" s="745"/>
      <c r="E24" s="745"/>
      <c r="F24" s="745"/>
    </row>
    <row r="25" spans="1:6" ht="10.5" customHeight="1" x14ac:dyDescent="0.2">
      <c r="A25" s="2" t="s">
        <v>1128</v>
      </c>
    </row>
    <row r="26" spans="1:6" ht="10.5" customHeight="1" x14ac:dyDescent="0.2"/>
    <row r="27" spans="1:6" ht="12.75" customHeight="1" x14ac:dyDescent="0.2"/>
    <row r="52" ht="24" customHeight="1" x14ac:dyDescent="0.2"/>
  </sheetData>
  <mergeCells count="5">
    <mergeCell ref="A2:F2"/>
    <mergeCell ref="A4:A5"/>
    <mergeCell ref="B4:F4"/>
    <mergeCell ref="A23:F23"/>
    <mergeCell ref="A24:F24"/>
  </mergeCells>
  <pageMargins left="0.7" right="0.7" top="0.75" bottom="0.75" header="0.3" footer="0.3"/>
  <pageSetup paperSize="14" orientation="landscape" r:id="rId1"/>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A0384C-E200-4730-AE2E-15F37903560E}">
  <sheetPr codeName="Hoja206"/>
  <dimension ref="A1:P24"/>
  <sheetViews>
    <sheetView workbookViewId="0">
      <selection activeCell="A53" sqref="A53"/>
    </sheetView>
  </sheetViews>
  <sheetFormatPr baseColWidth="10" defaultRowHeight="13.2" x14ac:dyDescent="0.25"/>
  <cols>
    <col min="1" max="2" width="18.44140625" customWidth="1"/>
  </cols>
  <sheetData>
    <row r="1" spans="1:16" s="2" customFormat="1" ht="10.199999999999999" x14ac:dyDescent="0.2">
      <c r="A1" s="691"/>
    </row>
    <row r="2" spans="1:16" s="2" customFormat="1" ht="40.5" customHeight="1" x14ac:dyDescent="0.25">
      <c r="A2" s="308" t="s">
        <v>2671</v>
      </c>
      <c r="B2" s="308"/>
      <c r="C2" s="308"/>
      <c r="D2" s="308"/>
      <c r="E2" s="308"/>
      <c r="F2" s="308"/>
      <c r="H2" s="141"/>
      <c r="M2" s="338"/>
      <c r="N2" s="338"/>
    </row>
    <row r="3" spans="1:16" s="2" customFormat="1" x14ac:dyDescent="0.25">
      <c r="A3" s="720"/>
      <c r="B3" s="720"/>
      <c r="C3" s="720"/>
      <c r="D3" s="720"/>
      <c r="E3" s="720"/>
      <c r="F3" s="720"/>
      <c r="H3" s="141"/>
      <c r="M3" s="338"/>
      <c r="N3" s="338"/>
    </row>
    <row r="4" spans="1:16" s="692" customFormat="1" ht="15.75" customHeight="1" x14ac:dyDescent="0.25">
      <c r="A4" s="323" t="s">
        <v>2672</v>
      </c>
      <c r="B4" s="323" t="s">
        <v>98</v>
      </c>
      <c r="C4" s="323"/>
      <c r="D4" s="323"/>
      <c r="E4" s="323"/>
      <c r="F4" s="323"/>
      <c r="J4" s="457"/>
    </row>
    <row r="5" spans="1:16" s="692" customFormat="1" ht="15.75" customHeight="1" x14ac:dyDescent="0.25">
      <c r="A5" s="323"/>
      <c r="B5" s="621">
        <v>2009</v>
      </c>
      <c r="C5" s="621">
        <v>2010</v>
      </c>
      <c r="D5" s="621">
        <v>2011</v>
      </c>
      <c r="E5" s="621">
        <v>2012</v>
      </c>
      <c r="F5" s="621">
        <v>2013</v>
      </c>
    </row>
    <row r="6" spans="1:16" s="24" customFormat="1" ht="10.199999999999999" x14ac:dyDescent="0.2">
      <c r="A6" s="624" t="s">
        <v>1127</v>
      </c>
      <c r="B6" s="655">
        <f>SUM(B7:B18)</f>
        <v>2945505</v>
      </c>
      <c r="C6" s="655">
        <f>SUM(C7:C18)</f>
        <v>761618</v>
      </c>
      <c r="D6" s="655">
        <f>SUM(D7:D18)</f>
        <v>1044733</v>
      </c>
      <c r="E6" s="655">
        <f>SUM(E7:E18)</f>
        <v>913739</v>
      </c>
      <c r="F6" s="655">
        <f>SUM(F7:F18)</f>
        <v>1364505</v>
      </c>
      <c r="L6" s="309"/>
      <c r="M6" s="643"/>
      <c r="N6" s="643"/>
      <c r="O6" s="643"/>
      <c r="P6" s="643"/>
    </row>
    <row r="7" spans="1:16" s="2" customFormat="1" ht="10.199999999999999" x14ac:dyDescent="0.2">
      <c r="A7" s="2" t="s">
        <v>2221</v>
      </c>
      <c r="B7" s="643">
        <v>206185</v>
      </c>
      <c r="C7" s="643">
        <v>53725</v>
      </c>
      <c r="D7" s="643">
        <v>66646</v>
      </c>
      <c r="E7" s="643">
        <v>59630.364150165224</v>
      </c>
      <c r="F7" s="643">
        <v>98149</v>
      </c>
      <c r="M7" s="643"/>
      <c r="O7" s="643"/>
      <c r="P7" s="643"/>
    </row>
    <row r="8" spans="1:16" s="2" customFormat="1" ht="10.199999999999999" x14ac:dyDescent="0.2">
      <c r="A8" s="2" t="s">
        <v>2222</v>
      </c>
      <c r="B8" s="643">
        <v>162002</v>
      </c>
      <c r="C8" s="643">
        <v>46668</v>
      </c>
      <c r="D8" s="643">
        <v>59039</v>
      </c>
      <c r="E8" s="643">
        <v>55986.149991942068</v>
      </c>
      <c r="F8" s="643">
        <v>82263</v>
      </c>
      <c r="M8" s="643"/>
      <c r="O8" s="643"/>
      <c r="P8" s="643"/>
    </row>
    <row r="9" spans="1:16" s="2" customFormat="1" ht="10.199999999999999" x14ac:dyDescent="0.2">
      <c r="A9" s="2" t="s">
        <v>2223</v>
      </c>
      <c r="B9" s="643">
        <v>226803</v>
      </c>
      <c r="C9" s="643">
        <v>25839</v>
      </c>
      <c r="D9" s="643">
        <v>94829</v>
      </c>
      <c r="E9" s="643">
        <v>72304.75573369654</v>
      </c>
      <c r="F9" s="643">
        <v>106316</v>
      </c>
      <c r="M9" s="643"/>
      <c r="O9" s="643"/>
      <c r="P9" s="643"/>
    </row>
    <row r="10" spans="1:16" s="2" customFormat="1" ht="10.199999999999999" x14ac:dyDescent="0.2">
      <c r="A10" s="2" t="s">
        <v>2224</v>
      </c>
      <c r="B10" s="643">
        <v>285713</v>
      </c>
      <c r="C10" s="643">
        <v>74400</v>
      </c>
      <c r="D10" s="643">
        <v>93349</v>
      </c>
      <c r="E10" s="643">
        <v>80866.24430789279</v>
      </c>
      <c r="F10" s="643">
        <v>134967</v>
      </c>
      <c r="M10" s="643"/>
      <c r="O10" s="643"/>
      <c r="P10" s="643"/>
    </row>
    <row r="11" spans="1:16" s="2" customFormat="1" ht="10.199999999999999" x14ac:dyDescent="0.2">
      <c r="A11" s="2" t="s">
        <v>2225</v>
      </c>
      <c r="B11" s="643">
        <v>291604</v>
      </c>
      <c r="C11" s="643">
        <v>68842</v>
      </c>
      <c r="D11" s="643">
        <v>100233</v>
      </c>
      <c r="E11" s="643">
        <v>88404.059428562512</v>
      </c>
      <c r="F11" s="643">
        <v>133209</v>
      </c>
      <c r="M11" s="643"/>
      <c r="O11" s="643"/>
      <c r="P11" s="643"/>
    </row>
    <row r="12" spans="1:16" s="2" customFormat="1" ht="10.199999999999999" x14ac:dyDescent="0.2">
      <c r="A12" s="2" t="s">
        <v>2226</v>
      </c>
      <c r="B12" s="643">
        <v>270986</v>
      </c>
      <c r="C12" s="643">
        <v>69524</v>
      </c>
      <c r="D12" s="643">
        <v>95794</v>
      </c>
      <c r="E12" s="643">
        <v>85097.111234146243</v>
      </c>
      <c r="F12" s="643">
        <v>125229</v>
      </c>
      <c r="M12" s="643"/>
      <c r="O12" s="643"/>
      <c r="P12" s="643"/>
    </row>
    <row r="13" spans="1:16" s="2" customFormat="1" ht="10.199999999999999" x14ac:dyDescent="0.2">
      <c r="A13" s="2" t="s">
        <v>2227</v>
      </c>
      <c r="B13" s="643">
        <v>262150</v>
      </c>
      <c r="C13" s="643">
        <v>75957</v>
      </c>
      <c r="D13" s="643">
        <v>102991</v>
      </c>
      <c r="E13" s="643">
        <v>89289.976361660869</v>
      </c>
      <c r="F13" s="643">
        <v>143448</v>
      </c>
      <c r="M13" s="643"/>
      <c r="O13" s="643"/>
      <c r="P13" s="643"/>
    </row>
    <row r="14" spans="1:16" s="2" customFormat="1" ht="10.199999999999999" x14ac:dyDescent="0.2">
      <c r="A14" s="2" t="s">
        <v>2228</v>
      </c>
      <c r="B14" s="643">
        <v>241531</v>
      </c>
      <c r="C14" s="643">
        <v>80336</v>
      </c>
      <c r="D14" s="643">
        <v>101756</v>
      </c>
      <c r="E14" s="643">
        <v>98054.93289993779</v>
      </c>
      <c r="F14" s="643">
        <v>140324</v>
      </c>
      <c r="M14" s="643"/>
      <c r="O14" s="643"/>
      <c r="P14" s="643"/>
    </row>
    <row r="15" spans="1:16" s="2" customFormat="1" ht="10.199999999999999" x14ac:dyDescent="0.2">
      <c r="A15" s="2" t="s">
        <v>2229</v>
      </c>
      <c r="B15" s="643">
        <v>250367</v>
      </c>
      <c r="C15" s="643">
        <v>72527</v>
      </c>
      <c r="D15" s="643">
        <v>92878</v>
      </c>
      <c r="E15" s="643">
        <v>69924.893087678982</v>
      </c>
      <c r="F15" s="643">
        <v>113626</v>
      </c>
      <c r="M15" s="643"/>
      <c r="O15" s="643"/>
      <c r="P15" s="643"/>
    </row>
    <row r="16" spans="1:16" s="2" customFormat="1" ht="10.199999999999999" x14ac:dyDescent="0.2">
      <c r="A16" s="2" t="s">
        <v>2230</v>
      </c>
      <c r="B16" s="643">
        <v>256258</v>
      </c>
      <c r="C16" s="643">
        <v>80002</v>
      </c>
      <c r="D16" s="643">
        <v>92109</v>
      </c>
      <c r="E16" s="643">
        <v>83928.555922928033</v>
      </c>
      <c r="F16" s="643">
        <v>120200</v>
      </c>
      <c r="M16" s="643"/>
      <c r="O16" s="643"/>
      <c r="P16" s="643"/>
    </row>
    <row r="17" spans="1:16" s="2" customFormat="1" ht="10.199999999999999" x14ac:dyDescent="0.2">
      <c r="A17" s="2" t="s">
        <v>2231</v>
      </c>
      <c r="B17" s="643">
        <v>238585</v>
      </c>
      <c r="C17" s="643">
        <v>67838</v>
      </c>
      <c r="D17" s="643">
        <v>82376</v>
      </c>
      <c r="E17" s="643">
        <v>74475.608486650686</v>
      </c>
      <c r="F17" s="643">
        <v>82427</v>
      </c>
      <c r="M17" s="643"/>
      <c r="O17" s="643"/>
      <c r="P17" s="643"/>
    </row>
    <row r="18" spans="1:16" s="2" customFormat="1" ht="10.199999999999999" x14ac:dyDescent="0.2">
      <c r="A18" s="2" t="s">
        <v>2232</v>
      </c>
      <c r="B18" s="643">
        <v>253321</v>
      </c>
      <c r="C18" s="643">
        <v>45960</v>
      </c>
      <c r="D18" s="643">
        <v>62733</v>
      </c>
      <c r="E18" s="643">
        <v>55776.348394738256</v>
      </c>
      <c r="F18" s="643">
        <v>84347</v>
      </c>
      <c r="M18" s="643"/>
      <c r="O18" s="643"/>
      <c r="P18" s="643"/>
    </row>
    <row r="19" spans="1:16" s="2" customFormat="1" ht="7.5" customHeight="1" x14ac:dyDescent="0.2">
      <c r="B19" s="643"/>
      <c r="C19" s="643"/>
      <c r="D19" s="643"/>
      <c r="E19" s="643"/>
      <c r="F19" s="643"/>
      <c r="M19" s="643"/>
      <c r="O19" s="643"/>
      <c r="P19" s="643"/>
    </row>
    <row r="20" spans="1:16" s="2" customFormat="1" ht="90" customHeight="1" x14ac:dyDescent="0.25">
      <c r="A20" s="639" t="s">
        <v>2673</v>
      </c>
      <c r="B20" s="639"/>
      <c r="C20" s="639"/>
      <c r="D20" s="639"/>
      <c r="E20" s="639"/>
      <c r="F20" s="639"/>
      <c r="L20" s="309"/>
      <c r="M20" s="309"/>
      <c r="N20" s="1011"/>
      <c r="O20" s="1011"/>
      <c r="P20" s="1011"/>
    </row>
    <row r="21" spans="1:16" s="2" customFormat="1" ht="10.199999999999999" x14ac:dyDescent="0.2">
      <c r="A21" s="2" t="s">
        <v>1128</v>
      </c>
      <c r="C21" s="686"/>
      <c r="N21" s="686"/>
    </row>
    <row r="22" spans="1:16" s="2" customFormat="1" ht="10.199999999999999" x14ac:dyDescent="0.2">
      <c r="C22" s="686"/>
    </row>
    <row r="23" spans="1:16" s="2" customFormat="1" ht="10.199999999999999" x14ac:dyDescent="0.2">
      <c r="C23" s="686"/>
    </row>
    <row r="24" spans="1:16" s="2" customFormat="1" ht="10.199999999999999" x14ac:dyDescent="0.2">
      <c r="C24" s="686"/>
    </row>
  </sheetData>
  <mergeCells count="4">
    <mergeCell ref="A2:F2"/>
    <mergeCell ref="A4:A5"/>
    <mergeCell ref="B4:F4"/>
    <mergeCell ref="A20:F20"/>
  </mergeCells>
  <pageMargins left="0.7" right="0.7" top="0.75" bottom="0.75" header="0.3" footer="0.3"/>
  <pageSetup paperSize="14" orientation="landscape" r:id="rId1"/>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0814A-81CB-475A-9220-E5398B9ADD62}">
  <sheetPr codeName="Hoja207"/>
  <dimension ref="A1:H26"/>
  <sheetViews>
    <sheetView workbookViewId="0"/>
  </sheetViews>
  <sheetFormatPr baseColWidth="10" defaultRowHeight="13.2" x14ac:dyDescent="0.25"/>
  <cols>
    <col min="1" max="1" width="25.109375" customWidth="1"/>
    <col min="2" max="2" width="27.88671875" customWidth="1"/>
  </cols>
  <sheetData>
    <row r="1" spans="1:8" x14ac:dyDescent="0.25">
      <c r="A1" s="1009"/>
    </row>
    <row r="2" spans="1:8" s="442" customFormat="1" ht="34.5" customHeight="1" x14ac:dyDescent="0.2">
      <c r="A2" s="1041" t="s">
        <v>2674</v>
      </c>
      <c r="B2" s="1041"/>
      <c r="C2" s="484"/>
      <c r="D2" s="484"/>
      <c r="E2" s="484"/>
      <c r="F2" s="484"/>
      <c r="H2" s="1042"/>
    </row>
    <row r="3" spans="1:8" s="442" customFormat="1" ht="10.199999999999999" x14ac:dyDescent="0.2">
      <c r="A3" s="484"/>
      <c r="B3" s="484"/>
      <c r="C3" s="484"/>
      <c r="D3" s="484"/>
      <c r="E3" s="484"/>
      <c r="F3" s="484"/>
      <c r="H3" s="1042"/>
    </row>
    <row r="4" spans="1:8" s="519" customFormat="1" ht="15" customHeight="1" x14ac:dyDescent="0.25">
      <c r="A4" s="748" t="s">
        <v>0</v>
      </c>
      <c r="B4" s="1043" t="s">
        <v>42</v>
      </c>
    </row>
    <row r="5" spans="1:8" s="519" customFormat="1" ht="15" customHeight="1" x14ac:dyDescent="0.25">
      <c r="A5" s="748"/>
      <c r="B5" s="1044"/>
    </row>
    <row r="6" spans="1:8" s="442" customFormat="1" ht="10.199999999999999" x14ac:dyDescent="0.2">
      <c r="A6" s="484" t="s">
        <v>1127</v>
      </c>
      <c r="B6" s="1045">
        <f>SUM(B7:B21)</f>
        <v>1493</v>
      </c>
    </row>
    <row r="7" spans="1:8" s="442" customFormat="1" ht="10.199999999999999" x14ac:dyDescent="0.2">
      <c r="A7" s="1046" t="s">
        <v>4</v>
      </c>
      <c r="B7" s="1047">
        <v>0</v>
      </c>
    </row>
    <row r="8" spans="1:8" s="442" customFormat="1" ht="10.199999999999999" x14ac:dyDescent="0.2">
      <c r="A8" s="1046" t="s">
        <v>5</v>
      </c>
      <c r="B8" s="1047">
        <v>45</v>
      </c>
    </row>
    <row r="9" spans="1:8" s="442" customFormat="1" ht="10.199999999999999" x14ac:dyDescent="0.2">
      <c r="A9" s="1046" t="s">
        <v>6</v>
      </c>
      <c r="B9" s="1047">
        <v>0</v>
      </c>
    </row>
    <row r="10" spans="1:8" s="442" customFormat="1" ht="10.199999999999999" x14ac:dyDescent="0.2">
      <c r="A10" s="1046" t="s">
        <v>7</v>
      </c>
      <c r="B10" s="1047">
        <v>0</v>
      </c>
    </row>
    <row r="11" spans="1:8" s="442" customFormat="1" ht="10.199999999999999" x14ac:dyDescent="0.2">
      <c r="A11" s="1046" t="s">
        <v>8</v>
      </c>
      <c r="B11" s="1047">
        <v>0</v>
      </c>
    </row>
    <row r="12" spans="1:8" s="442" customFormat="1" ht="10.199999999999999" x14ac:dyDescent="0.2">
      <c r="A12" s="1046" t="s">
        <v>9</v>
      </c>
      <c r="B12" s="1047">
        <v>45</v>
      </c>
    </row>
    <row r="13" spans="1:8" s="442" customFormat="1" ht="10.199999999999999" x14ac:dyDescent="0.2">
      <c r="A13" s="1046" t="s">
        <v>10</v>
      </c>
      <c r="B13" s="1047">
        <v>1000</v>
      </c>
    </row>
    <row r="14" spans="1:8" s="442" customFormat="1" ht="10.199999999999999" x14ac:dyDescent="0.2">
      <c r="A14" s="1046" t="s">
        <v>134</v>
      </c>
      <c r="B14" s="1047">
        <v>0</v>
      </c>
    </row>
    <row r="15" spans="1:8" s="442" customFormat="1" ht="10.199999999999999" x14ac:dyDescent="0.2">
      <c r="A15" s="1046" t="s">
        <v>12</v>
      </c>
      <c r="B15" s="1047">
        <v>60</v>
      </c>
    </row>
    <row r="16" spans="1:8" s="442" customFormat="1" ht="10.199999999999999" x14ac:dyDescent="0.2">
      <c r="A16" s="1046" t="s">
        <v>13</v>
      </c>
      <c r="B16" s="1047">
        <v>119</v>
      </c>
    </row>
    <row r="17" spans="1:6" s="442" customFormat="1" ht="10.199999999999999" x14ac:dyDescent="0.2">
      <c r="A17" s="1046" t="s">
        <v>47</v>
      </c>
      <c r="B17" s="1047">
        <v>0</v>
      </c>
    </row>
    <row r="18" spans="1:6" s="442" customFormat="1" ht="10.199999999999999" x14ac:dyDescent="0.2">
      <c r="A18" s="1046" t="s">
        <v>135</v>
      </c>
      <c r="B18" s="1047">
        <v>0</v>
      </c>
    </row>
    <row r="19" spans="1:6" s="442" customFormat="1" ht="10.199999999999999" x14ac:dyDescent="0.2">
      <c r="A19" s="1046" t="s">
        <v>136</v>
      </c>
      <c r="B19" s="1047">
        <v>0</v>
      </c>
    </row>
    <row r="20" spans="1:6" s="442" customFormat="1" ht="10.199999999999999" x14ac:dyDescent="0.2">
      <c r="A20" s="1046" t="s">
        <v>17</v>
      </c>
      <c r="B20" s="1047">
        <v>224</v>
      </c>
    </row>
    <row r="21" spans="1:6" s="442" customFormat="1" ht="10.199999999999999" x14ac:dyDescent="0.2">
      <c r="A21" s="1046" t="s">
        <v>18</v>
      </c>
      <c r="B21" s="1047">
        <v>0</v>
      </c>
    </row>
    <row r="22" spans="1:6" s="442" customFormat="1" ht="10.199999999999999" x14ac:dyDescent="0.2">
      <c r="A22" s="1048"/>
      <c r="B22" s="1049"/>
      <c r="C22" s="1049"/>
      <c r="D22" s="1050"/>
      <c r="E22" s="1049"/>
      <c r="F22" s="1049"/>
    </row>
    <row r="23" spans="1:6" s="442" customFormat="1" ht="35.25" customHeight="1" x14ac:dyDescent="0.2">
      <c r="A23" s="1051" t="s">
        <v>2675</v>
      </c>
      <c r="B23" s="1051"/>
      <c r="C23" s="1052"/>
      <c r="D23" s="1052"/>
      <c r="E23" s="1052"/>
      <c r="F23" s="1052"/>
    </row>
    <row r="24" spans="1:6" s="442" customFormat="1" ht="10.199999999999999" x14ac:dyDescent="0.2">
      <c r="A24" s="1053" t="s">
        <v>1238</v>
      </c>
      <c r="B24" s="1054"/>
      <c r="C24" s="1052"/>
      <c r="D24" s="1052"/>
      <c r="E24" s="1052"/>
      <c r="F24" s="1052"/>
    </row>
    <row r="25" spans="1:6" s="442" customFormat="1" ht="10.199999999999999" x14ac:dyDescent="0.2">
      <c r="A25" s="442" t="s">
        <v>1128</v>
      </c>
      <c r="C25" s="1055"/>
    </row>
    <row r="26" spans="1:6" s="442" customFormat="1" ht="10.199999999999999" x14ac:dyDescent="0.2"/>
  </sheetData>
  <mergeCells count="4">
    <mergeCell ref="A2:B2"/>
    <mergeCell ref="A4:A5"/>
    <mergeCell ref="B4:B5"/>
    <mergeCell ref="A23:B23"/>
  </mergeCells>
  <pageMargins left="0.7" right="0.7" top="0.75" bottom="0.75" header="0.3" footer="0.3"/>
  <pageSetup paperSize="14" orientation="landscape" r:id="rId1"/>
  <colBreaks count="1" manualBreakCount="1">
    <brk id="2" max="1048575" man="1"/>
  </colBreaks>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3306F8-6D6C-444D-92D4-EBB5C29EE020}">
  <sheetPr codeName="Hoja208">
    <tabColor theme="8"/>
  </sheetPr>
  <dimension ref="A1:XFD49"/>
  <sheetViews>
    <sheetView zoomScaleNormal="100" workbookViewId="0">
      <selection activeCell="F28" sqref="F28"/>
    </sheetView>
  </sheetViews>
  <sheetFormatPr baseColWidth="10" defaultColWidth="11.44140625" defaultRowHeight="13.2" x14ac:dyDescent="0.2"/>
  <cols>
    <col min="1" max="1" width="11.44140625" style="24"/>
  </cols>
  <sheetData>
    <row r="1" spans="1:1" s="24" customFormat="1" ht="10.199999999999999" x14ac:dyDescent="0.2"/>
    <row r="2" spans="1:1" s="24" customFormat="1" ht="10.199999999999999" x14ac:dyDescent="0.2">
      <c r="A2" s="24" t="s">
        <v>2510</v>
      </c>
    </row>
    <row r="3" spans="1:1" s="24" customFormat="1" ht="10.199999999999999" x14ac:dyDescent="0.2"/>
    <row r="4" spans="1:1" s="24" customFormat="1" ht="10.199999999999999" x14ac:dyDescent="0.2">
      <c r="A4" s="24" t="s">
        <v>2530</v>
      </c>
    </row>
    <row r="5" spans="1:1" s="24" customFormat="1" ht="10.199999999999999" x14ac:dyDescent="0.2"/>
    <row r="6" spans="1:1" s="24" customFormat="1" ht="10.199999999999999" x14ac:dyDescent="0.2">
      <c r="A6" s="182" t="s">
        <v>2531</v>
      </c>
    </row>
    <row r="7" spans="1:1" s="24" customFormat="1" ht="10.199999999999999" x14ac:dyDescent="0.2">
      <c r="A7" s="182" t="s">
        <v>2532</v>
      </c>
    </row>
    <row r="8" spans="1:1" s="24" customFormat="1" ht="10.199999999999999" x14ac:dyDescent="0.2">
      <c r="A8" s="182" t="s">
        <v>2533</v>
      </c>
    </row>
    <row r="9" spans="1:1" s="24" customFormat="1" ht="10.199999999999999" x14ac:dyDescent="0.2">
      <c r="A9" s="182" t="s">
        <v>2534</v>
      </c>
    </row>
    <row r="10" spans="1:1" s="24" customFormat="1" ht="10.199999999999999" x14ac:dyDescent="0.2">
      <c r="A10" s="182" t="s">
        <v>2535</v>
      </c>
    </row>
    <row r="11" spans="1:1" s="24" customFormat="1" ht="10.199999999999999" x14ac:dyDescent="0.2">
      <c r="A11" s="182" t="s">
        <v>2536</v>
      </c>
    </row>
    <row r="12" spans="1:1" s="24" customFormat="1" ht="10.199999999999999" x14ac:dyDescent="0.2">
      <c r="A12" s="182" t="s">
        <v>2537</v>
      </c>
    </row>
    <row r="13" spans="1:1" s="24" customFormat="1" ht="10.199999999999999" x14ac:dyDescent="0.2">
      <c r="A13" s="182" t="s">
        <v>2538</v>
      </c>
    </row>
    <row r="14" spans="1:1" s="24" customFormat="1" ht="10.199999999999999" x14ac:dyDescent="0.2">
      <c r="A14" s="182" t="s">
        <v>2539</v>
      </c>
    </row>
    <row r="15" spans="1:1" s="24" customFormat="1" ht="10.199999999999999" x14ac:dyDescent="0.2">
      <c r="A15" s="182" t="s">
        <v>2521</v>
      </c>
    </row>
    <row r="16" spans="1:1" s="24" customFormat="1" ht="10.199999999999999" x14ac:dyDescent="0.2">
      <c r="A16" s="182" t="s">
        <v>2540</v>
      </c>
    </row>
    <row r="17" spans="1:1" s="24" customFormat="1" ht="10.199999999999999" x14ac:dyDescent="0.2">
      <c r="A17" s="182" t="s">
        <v>2541</v>
      </c>
    </row>
    <row r="18" spans="1:1" s="24" customFormat="1" ht="10.199999999999999" x14ac:dyDescent="0.2">
      <c r="A18" s="182" t="s">
        <v>2524</v>
      </c>
    </row>
    <row r="19" spans="1:1" s="24" customFormat="1" ht="10.199999999999999" x14ac:dyDescent="0.2">
      <c r="A19" s="182" t="s">
        <v>2542</v>
      </c>
    </row>
    <row r="20" spans="1:1" s="24" customFormat="1" ht="10.199999999999999" x14ac:dyDescent="0.2">
      <c r="A20" s="182" t="s">
        <v>2543</v>
      </c>
    </row>
    <row r="21" spans="1:1" s="24" customFormat="1" ht="10.199999999999999" x14ac:dyDescent="0.2">
      <c r="A21" s="182" t="s">
        <v>2544</v>
      </c>
    </row>
    <row r="22" spans="1:1" s="24" customFormat="1" ht="10.199999999999999" x14ac:dyDescent="0.2">
      <c r="A22" s="182" t="s">
        <v>2545</v>
      </c>
    </row>
    <row r="23" spans="1:1" s="24" customFormat="1" ht="10.199999999999999" x14ac:dyDescent="0.2">
      <c r="A23" s="182"/>
    </row>
    <row r="24" spans="1:1" s="24" customFormat="1" ht="10.199999999999999" x14ac:dyDescent="0.2"/>
    <row r="25" spans="1:1" s="24" customFormat="1" ht="10.199999999999999" x14ac:dyDescent="0.2"/>
    <row r="26" spans="1:1" s="24" customFormat="1" ht="10.199999999999999" x14ac:dyDescent="0.2"/>
    <row r="27" spans="1:1" s="24" customFormat="1" ht="10.199999999999999" x14ac:dyDescent="0.2"/>
    <row r="28" spans="1:1" s="24" customFormat="1" ht="10.199999999999999" x14ac:dyDescent="0.2"/>
    <row r="29" spans="1:1" s="24" customFormat="1" ht="10.199999999999999" x14ac:dyDescent="0.2"/>
    <row r="30" spans="1:1" s="24" customFormat="1" ht="10.199999999999999" x14ac:dyDescent="0.2"/>
    <row r="31" spans="1:1" s="24" customFormat="1" ht="10.199999999999999" x14ac:dyDescent="0.2"/>
    <row r="32" spans="1:1" s="24" customFormat="1" ht="10.199999999999999" x14ac:dyDescent="0.2"/>
    <row r="33" s="24" customFormat="1" ht="10.199999999999999" x14ac:dyDescent="0.2"/>
    <row r="34" s="24" customFormat="1" ht="10.199999999999999" x14ac:dyDescent="0.2"/>
    <row r="35" s="24" customFormat="1" ht="10.199999999999999" x14ac:dyDescent="0.2"/>
    <row r="36" s="24" customFormat="1" ht="10.199999999999999" x14ac:dyDescent="0.2"/>
    <row r="37" s="24" customFormat="1" ht="10.199999999999999" x14ac:dyDescent="0.2"/>
    <row r="38" s="24" customFormat="1" ht="10.199999999999999" x14ac:dyDescent="0.2"/>
    <row r="39" s="24" customFormat="1" ht="10.199999999999999" x14ac:dyDescent="0.2"/>
    <row r="40" s="24" customFormat="1" ht="10.199999999999999" x14ac:dyDescent="0.2"/>
    <row r="41" s="24" customFormat="1" ht="10.199999999999999" x14ac:dyDescent="0.2"/>
    <row r="42" s="24" customFormat="1" ht="10.199999999999999" x14ac:dyDescent="0.2"/>
    <row r="43" s="24" customFormat="1" ht="10.199999999999999" x14ac:dyDescent="0.2"/>
    <row r="44" s="24" customFormat="1" ht="10.199999999999999" x14ac:dyDescent="0.2"/>
    <row r="45" s="24" customFormat="1" ht="10.199999999999999" x14ac:dyDescent="0.2"/>
    <row r="46" s="24" customFormat="1" ht="10.199999999999999" x14ac:dyDescent="0.2"/>
    <row r="47" s="24" customFormat="1" ht="10.199999999999999" x14ac:dyDescent="0.2"/>
    <row r="48" s="24" customFormat="1" ht="10.199999999999999" x14ac:dyDescent="0.2"/>
    <row r="49" s="24" customFormat="1" ht="10.199999999999999" x14ac:dyDescent="0.2"/>
  </sheetData>
  <hyperlinks>
    <hyperlink ref="A6" location="'3.6.2-01'!A1" display="CUADRO 3.6.2-01: NÚMERO DE SOCIOS DE LA SOCIEDAD DE DERECHOS LITERARIOS (SADEL), SEGÚN STATUS DE AFILIACIÓN Y SEXO. 2009-2013" xr:uid="{4DE79066-15C2-4ADA-8341-63CAE7A1624D}"/>
    <hyperlink ref="A7" location="'3.6.2-02'!A1" display="CUADRO 3.6.2-02: NÚMERO DE SOCIOS INCORPORADOS A LA SOCIEDAD DE DERECHOS LITERARIOS (SADEL), SEGÚN STATUS DE AFILIACIÓN. 2009-2013" xr:uid="{AA014CED-5F70-43CC-B457-3E5988F42C77}"/>
    <hyperlink ref="A8" location="'3.6.2-03'!A1" display="CUADRO 3.6.2-03: NÚMERO DE TÍTULOS DE LIBROS REGISTRADOS EN EL INTERNATIONAL STANDARD BOOK NUMBER (ISBN), SEGÚN REGIÓN. 2009-2013" xr:uid="{887358E6-AAFD-49C9-A2C4-FF0D9E435A76}"/>
    <hyperlink ref="A9" location="'3.6.2-04'!A1" display="CUADRO 3.6.2-04: NÚMERO DE TÍTULOS DE LIBROS REGISTRADOS EN EL INTERNATIONAL STANDARD BOOK NUMBER (ISBN), SEGÚN MATERIA. 2009-2013" xr:uid="{67FCB32A-C8BE-4976-90B6-B3750C4D7F78}"/>
    <hyperlink ref="A10" location="'3.6.2-05'!A1" display="CUADRO 3.6.2-05: NÚMERO DE TÍTULOS DE LIBROS DE LITERATURA CHILENA REGISTRADOS EN EL INTERNATIONAL STANDARD BOOK NUMBER (ISBN), SEGÚN GÉNERO. 2009-2013" xr:uid="{A9169163-083C-4BB6-AD05-0B80F685BBE7}"/>
    <hyperlink ref="A11" location="'3.6.2-06'!A1" display="CUADRO 3.6.2-06: NÚMERO DE TÍTULOS DE LIBROS REGISTRADOS EN EL INTERNATIONAL STANDARD BOOK NUMBER (ISBN), SEGÚN NÚMERO DE EDICIÓN. 2009-2013" xr:uid="{5A0F3B99-A0FA-4A1F-91E9-6C68D069A0CA}"/>
    <hyperlink ref="A12" location="'3.6.2-07'!A1" display="CUADRO 3.6.2-07: NÚMERO DE TÍTULOS DE LIBROS REGISTRADOS EN EL INTERNATIONAL STANDARD BOOK NUMBER (ISBN), SEGÚN SOPORTES DISTINTOS A PAPEL. 2009-2013" xr:uid="{DA29A06F-CD3D-40A6-BD61-CC99B1F4C195}"/>
    <hyperlink ref="A13" location="'3.6.2-08'!A1" display="CUADRO 3.6.2-08: NÚMERO DE TÍTULOS AUTOEDITADOS REGISTRADOS EN EL INTERNATIONAL STANDARD BOOK NUMBER (ISBN). 1993-2013/a" xr:uid="{DAAC1B00-8F22-4DED-A425-22AFBB8BF16E}"/>
    <hyperlink ref="A14" location="'3.6.2-09'!A1" display="CUADRO 3.6.2-09: NÚMERO DE TÍTULOS REGISTRADOS EN EL INTERNATIONAL STANDARD BOOK NUMBER (ISBN), SEGÚN RANGOS DE PRODUCCIÓN. 2009-2013" xr:uid="{77083649-ABF7-47EE-8DDC-B1CFD9CD6FF1}"/>
    <hyperlink ref="A15" location="'3.6.2-10'!A1" display="CUADRO 3.6.1-10: NÚMERO DE SESIONES DE ACCESO GRATUITO A INTERNET EN LAS BIBLIOTECAS PÚBLICAS DE LA DIRECCIÓN DE BIBLIOTECAS, ARCHIVOS Y MUSEOS (DIBAM). 2009-2013" xr:uid="{FC4D14EC-E0D8-4FA7-BCCF-2511873BEADF}"/>
    <hyperlink ref="A16" location="'3.6.2-11'!A1" display="CUADRO 3.6.2-11: EDITORES QUE SOLICITAN REGISTRO DE SU OBRA POR PRIMERA VEZ EN EL INTERNATIONAL STANDARD BOOK NUMBER (ISBN), SEGÚN REGIÓN. 2009-2013" xr:uid="{728CB3DF-69E4-4BD7-8D28-DFB016C9A7D4}"/>
    <hyperlink ref="A17" location="'3.6.2-12'!A1" display="CUADRO 3.6.2-12: NÚMERO Y PORCENTAJE DE TÍTULOS REGISTRADOS EN EL INTERNATIONAL STANDARD BOOK NUMBER (ISBN), SEGÚN MES DE PRODUCCIÓN. 2009-2013" xr:uid="{CF690FF7-89BC-429A-A6A9-699DC40297AF}"/>
    <hyperlink ref="A18" location="'3.6.2-13'!A1" display="CUADRO 3.6.1-13: NÚMERO DE VISITANTES ESTIMADOS Y ARCHIVOS DESCARGADOS DESDE SITIOS WEB DE LA DIRECCIÓN DE BIBLIOTECAS, ARCHIVOS Y MUSEOS (DIBAM), SEGÚN SITIO WEB. 2009-2013" xr:uid="{21268B17-41BE-4BDB-A8F6-2F3DB45CA5A3}"/>
    <hyperlink ref="A19" location="'3.6.2-14'!A1" display="CUADRO 3.6.2-14: RECAUDACIÓN DE LA SOCIEDAD DE DERECHOS LITERARIOS (SADEL) POR CONCEPTO DE LICENCIAS REPROGRÁFICAS. 2010 -2013" xr:uid="{2B0D1FAF-0B56-409E-B9FA-D08D0E34F123}"/>
    <hyperlink ref="A20" location="'3.6.2-15'!A1" display="CUADRO 3.6.2-15: NÚMERO DE FUNCIONES Y ASISTENCIA A RECITALES DE POESÍA, SEGÚN REGIÓN. 2013" xr:uid="{28B6FA3C-09A3-4DC0-96BB-C2B942BA31EC}"/>
    <hyperlink ref="A21" location="'3.6.2-16'!A1" display="CUADRO 3.6.2-16: NÚMERO DE FUNCIONES Y ASISTENTES A RECITALES DE POESÍA. 2009-2013" xr:uid="{BC6364A9-CC8C-494D-ABE4-8AAF2AE8FE3B}"/>
    <hyperlink ref="A22" location="'3.6.2-17'!A1" display="CUADRO 3.6.2-17: NÚMERO DE ESPECTADORES A RECITALES DE POESÍA, CON ENTRADA GRATUITA Y PAGADA POR MES, SEGÚN REGIÓN. 2013" xr:uid="{E3D6EF29-DE5F-463A-8088-1F231FF25339}"/>
  </hyperlinks>
  <pageMargins left="0.7" right="0.7" top="0.75" bottom="0.75" header="0.3" footer="0.3"/>
  <pageSetup paperSize="14" orientation="portrait" r:id="rId1"/>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4ED69E-4E52-44C5-9ECC-EF74E41779CC}">
  <sheetPr codeName="Hoja209"/>
  <dimension ref="A1:F36"/>
  <sheetViews>
    <sheetView workbookViewId="0">
      <selection activeCell="A53" sqref="A53"/>
    </sheetView>
  </sheetViews>
  <sheetFormatPr baseColWidth="10" defaultRowHeight="13.2" x14ac:dyDescent="0.25"/>
  <cols>
    <col min="1" max="1" width="34" customWidth="1"/>
  </cols>
  <sheetData>
    <row r="1" spans="1:6" s="141" customFormat="1" ht="10.199999999999999" x14ac:dyDescent="0.2">
      <c r="A1" s="1057"/>
      <c r="B1" s="1057"/>
      <c r="C1" s="1057"/>
      <c r="D1" s="1057"/>
      <c r="E1" s="1057"/>
      <c r="F1" s="1057"/>
    </row>
    <row r="2" spans="1:6" s="859" customFormat="1" ht="21.75" customHeight="1" x14ac:dyDescent="0.2">
      <c r="A2" s="747" t="s">
        <v>2531</v>
      </c>
      <c r="B2" s="747"/>
      <c r="C2" s="747"/>
      <c r="D2" s="747"/>
      <c r="E2" s="747"/>
      <c r="F2" s="747"/>
    </row>
    <row r="3" spans="1:6" s="141" customFormat="1" ht="10.199999999999999" x14ac:dyDescent="0.2">
      <c r="A3" s="706"/>
    </row>
    <row r="4" spans="1:6" s="141" customFormat="1" ht="15" customHeight="1" x14ac:dyDescent="0.2">
      <c r="A4" s="707" t="s">
        <v>2676</v>
      </c>
      <c r="B4" s="768" t="s">
        <v>2677</v>
      </c>
      <c r="C4" s="852"/>
      <c r="D4" s="852"/>
      <c r="E4" s="852"/>
      <c r="F4" s="769"/>
    </row>
    <row r="5" spans="1:6" s="141" customFormat="1" ht="15" customHeight="1" x14ac:dyDescent="0.2">
      <c r="A5" s="710"/>
      <c r="B5" s="454">
        <v>2009</v>
      </c>
      <c r="C5" s="454">
        <v>2010</v>
      </c>
      <c r="D5" s="454">
        <v>2011</v>
      </c>
      <c r="E5" s="454">
        <v>2012</v>
      </c>
      <c r="F5" s="454">
        <v>2013</v>
      </c>
    </row>
    <row r="6" spans="1:6" s="141" customFormat="1" ht="10.199999999999999" x14ac:dyDescent="0.2">
      <c r="A6" s="706" t="s">
        <v>3</v>
      </c>
      <c r="B6" s="706">
        <f>SUM(B7+B10)</f>
        <v>160</v>
      </c>
      <c r="C6" s="706">
        <f>SUM(C7+C10)</f>
        <v>180</v>
      </c>
      <c r="D6" s="706">
        <f>SUM(D7+D10)</f>
        <v>181</v>
      </c>
      <c r="E6" s="706">
        <f>SUM(E7+E10)</f>
        <v>187</v>
      </c>
      <c r="F6" s="706">
        <f>SUM(F7+F10)</f>
        <v>212</v>
      </c>
    </row>
    <row r="7" spans="1:6" s="141" customFormat="1" ht="10.199999999999999" x14ac:dyDescent="0.2">
      <c r="A7" s="706" t="s">
        <v>2678</v>
      </c>
      <c r="B7" s="706">
        <f>SUM(B8:B9)</f>
        <v>129</v>
      </c>
      <c r="C7" s="706">
        <f>SUM(C8:C9)</f>
        <v>146</v>
      </c>
      <c r="D7" s="706">
        <f>SUM(D8:D9)</f>
        <v>149</v>
      </c>
      <c r="E7" s="706">
        <f>SUM(E8:E9)</f>
        <v>154</v>
      </c>
      <c r="F7" s="706">
        <f>SUM(F8:F9)</f>
        <v>173</v>
      </c>
    </row>
    <row r="8" spans="1:6" s="141" customFormat="1" ht="10.199999999999999" x14ac:dyDescent="0.2">
      <c r="A8" s="141" t="s">
        <v>122</v>
      </c>
      <c r="B8" s="141">
        <v>88</v>
      </c>
      <c r="C8" s="141">
        <v>101</v>
      </c>
      <c r="D8" s="141">
        <v>103</v>
      </c>
      <c r="E8" s="141">
        <v>107</v>
      </c>
      <c r="F8" s="2">
        <v>122</v>
      </c>
    </row>
    <row r="9" spans="1:6" s="141" customFormat="1" ht="10.199999999999999" x14ac:dyDescent="0.2">
      <c r="A9" s="141" t="s">
        <v>123</v>
      </c>
      <c r="B9" s="141">
        <v>41</v>
      </c>
      <c r="C9" s="141">
        <v>45</v>
      </c>
      <c r="D9" s="141">
        <v>46</v>
      </c>
      <c r="E9" s="141">
        <v>47</v>
      </c>
      <c r="F9" s="2">
        <v>51</v>
      </c>
    </row>
    <row r="10" spans="1:6" s="141" customFormat="1" ht="10.199999999999999" x14ac:dyDescent="0.2">
      <c r="A10" s="958" t="s">
        <v>125</v>
      </c>
      <c r="B10" s="706">
        <v>31</v>
      </c>
      <c r="C10" s="706">
        <v>34</v>
      </c>
      <c r="D10" s="706">
        <v>32</v>
      </c>
      <c r="E10" s="706">
        <v>33</v>
      </c>
      <c r="F10" s="24">
        <v>39</v>
      </c>
    </row>
    <row r="11" spans="1:6" s="141" customFormat="1" ht="10.199999999999999" x14ac:dyDescent="0.2"/>
    <row r="12" spans="1:6" s="141" customFormat="1" ht="12.75" customHeight="1" x14ac:dyDescent="0.2">
      <c r="A12" s="715" t="s">
        <v>2679</v>
      </c>
      <c r="B12" s="715"/>
      <c r="C12" s="715"/>
      <c r="D12" s="715"/>
      <c r="E12" s="715"/>
      <c r="F12" s="715"/>
    </row>
    <row r="13" spans="1:6" s="141" customFormat="1" ht="10.199999999999999" x14ac:dyDescent="0.2">
      <c r="A13" s="706"/>
    </row>
    <row r="14" spans="1:6" s="141" customFormat="1" ht="10.199999999999999" x14ac:dyDescent="0.2">
      <c r="A14" s="706"/>
    </row>
    <row r="15" spans="1:6" s="141" customFormat="1" ht="10.199999999999999" x14ac:dyDescent="0.2">
      <c r="A15" s="706"/>
    </row>
    <row r="16" spans="1:6" s="141" customFormat="1" ht="10.199999999999999" x14ac:dyDescent="0.2">
      <c r="A16" s="706"/>
    </row>
    <row r="17" spans="1:5" s="141" customFormat="1" ht="10.199999999999999" x14ac:dyDescent="0.2">
      <c r="A17" s="706"/>
    </row>
    <row r="18" spans="1:5" s="141" customFormat="1" ht="11.25" customHeight="1" x14ac:dyDescent="0.2">
      <c r="A18" s="706"/>
      <c r="E18" s="722"/>
    </row>
    <row r="19" spans="1:5" s="141" customFormat="1" ht="10.199999999999999" x14ac:dyDescent="0.2">
      <c r="A19" s="706"/>
      <c r="B19" s="1058"/>
    </row>
    <row r="20" spans="1:5" s="141" customFormat="1" ht="10.199999999999999" x14ac:dyDescent="0.2">
      <c r="A20" s="706"/>
      <c r="B20" s="1058"/>
    </row>
    <row r="21" spans="1:5" s="141" customFormat="1" ht="10.199999999999999" x14ac:dyDescent="0.2">
      <c r="A21" s="706"/>
      <c r="B21" s="1058"/>
    </row>
    <row r="22" spans="1:5" s="141" customFormat="1" ht="10.199999999999999" x14ac:dyDescent="0.2">
      <c r="A22" s="706"/>
      <c r="B22" s="1058"/>
    </row>
    <row r="23" spans="1:5" s="141" customFormat="1" ht="10.199999999999999" x14ac:dyDescent="0.2">
      <c r="A23" s="706"/>
      <c r="B23" s="1058"/>
    </row>
    <row r="24" spans="1:5" s="141" customFormat="1" ht="10.199999999999999" x14ac:dyDescent="0.2">
      <c r="A24" s="706"/>
    </row>
    <row r="25" spans="1:5" s="141" customFormat="1" ht="10.199999999999999" x14ac:dyDescent="0.2">
      <c r="A25" s="706"/>
    </row>
    <row r="26" spans="1:5" s="141" customFormat="1" ht="10.199999999999999" x14ac:dyDescent="0.2">
      <c r="A26" s="706"/>
    </row>
    <row r="27" spans="1:5" s="141" customFormat="1" ht="10.199999999999999" x14ac:dyDescent="0.2">
      <c r="A27" s="706"/>
    </row>
    <row r="28" spans="1:5" s="141" customFormat="1" ht="10.199999999999999" x14ac:dyDescent="0.2">
      <c r="A28" s="706"/>
    </row>
    <row r="29" spans="1:5" s="141" customFormat="1" ht="10.199999999999999" x14ac:dyDescent="0.2">
      <c r="A29" s="706"/>
    </row>
    <row r="30" spans="1:5" s="141" customFormat="1" ht="10.199999999999999" x14ac:dyDescent="0.2">
      <c r="A30" s="706"/>
    </row>
    <row r="31" spans="1:5" s="141" customFormat="1" ht="10.199999999999999" x14ac:dyDescent="0.2">
      <c r="A31" s="706"/>
    </row>
    <row r="32" spans="1:5" s="141" customFormat="1" ht="10.199999999999999" x14ac:dyDescent="0.2">
      <c r="A32" s="706"/>
    </row>
    <row r="33" spans="1:1" s="141" customFormat="1" ht="10.199999999999999" x14ac:dyDescent="0.2">
      <c r="A33" s="706"/>
    </row>
    <row r="34" spans="1:1" s="141" customFormat="1" ht="10.199999999999999" x14ac:dyDescent="0.2">
      <c r="A34" s="706"/>
    </row>
    <row r="35" spans="1:1" s="141" customFormat="1" ht="10.199999999999999" x14ac:dyDescent="0.2">
      <c r="A35" s="706"/>
    </row>
    <row r="36" spans="1:1" s="141" customFormat="1" ht="10.199999999999999" x14ac:dyDescent="0.2">
      <c r="A36" s="706"/>
    </row>
  </sheetData>
  <mergeCells count="5">
    <mergeCell ref="A1:F1"/>
    <mergeCell ref="A2:F2"/>
    <mergeCell ref="A4:A5"/>
    <mergeCell ref="B4:F4"/>
    <mergeCell ref="A12:F12"/>
  </mergeCells>
  <pageMargins left="0.7" right="0.7" top="0.75" bottom="0.75" header="0.3" footer="0.3"/>
  <pageSetup paperSize="14"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3228C3-F0C4-49B9-8A86-C2CDA08BB2E4}">
  <sheetPr codeName="Hoja21"/>
  <dimension ref="A2:F80"/>
  <sheetViews>
    <sheetView workbookViewId="0">
      <selection activeCell="E20" sqref="E20"/>
    </sheetView>
  </sheetViews>
  <sheetFormatPr baseColWidth="10" defaultColWidth="11.44140625" defaultRowHeight="10.199999999999999" x14ac:dyDescent="0.2"/>
  <cols>
    <col min="1" max="1" width="57.88671875" style="62" customWidth="1"/>
    <col min="2" max="2" width="14.6640625" style="62" customWidth="1"/>
    <col min="3" max="3" width="14" style="62" customWidth="1"/>
    <col min="4" max="16384" width="11.44140625" style="62"/>
  </cols>
  <sheetData>
    <row r="2" spans="1:3" ht="23.25" customHeight="1" x14ac:dyDescent="0.2">
      <c r="A2" s="193" t="s">
        <v>379</v>
      </c>
      <c r="B2" s="193"/>
      <c r="C2" s="193"/>
    </row>
    <row r="3" spans="1:3" x14ac:dyDescent="0.2">
      <c r="A3" s="124"/>
      <c r="B3" s="124"/>
      <c r="C3" s="124"/>
    </row>
    <row r="4" spans="1:3" ht="20.399999999999999" x14ac:dyDescent="0.2">
      <c r="A4" s="160" t="s">
        <v>316</v>
      </c>
      <c r="B4" s="160" t="s">
        <v>370</v>
      </c>
      <c r="C4" s="160" t="s">
        <v>371</v>
      </c>
    </row>
    <row r="5" spans="1:3" x14ac:dyDescent="0.2">
      <c r="A5" s="201" t="s">
        <v>380</v>
      </c>
      <c r="B5" s="202">
        <f>SUM(B6+B30+B39+B42+B50+B65+B68+B74)</f>
        <v>348565929.39000005</v>
      </c>
      <c r="C5" s="202">
        <f>SUM(C6+C30+C39+C42+C50+C65+C68+C74)</f>
        <v>58488447.710000008</v>
      </c>
    </row>
    <row r="6" spans="1:3" x14ac:dyDescent="0.2">
      <c r="A6" s="116" t="s">
        <v>24</v>
      </c>
      <c r="B6" s="196">
        <f>SUM(B7)</f>
        <v>111527492.82000002</v>
      </c>
      <c r="C6" s="196">
        <f>SUM(C7)</f>
        <v>22683268.110000007</v>
      </c>
    </row>
    <row r="7" spans="1:3" s="63" customFormat="1" x14ac:dyDescent="0.2">
      <c r="A7" s="118" t="s">
        <v>24</v>
      </c>
      <c r="B7" s="196">
        <f>SUM(B8:B29)</f>
        <v>111527492.82000002</v>
      </c>
      <c r="C7" s="196">
        <f>SUM(C8:C29)</f>
        <v>22683268.110000007</v>
      </c>
    </row>
    <row r="8" spans="1:3" x14ac:dyDescent="0.2">
      <c r="A8" s="197" t="s">
        <v>381</v>
      </c>
      <c r="B8" s="198">
        <v>1255628.81</v>
      </c>
      <c r="C8" s="198">
        <v>2355.04</v>
      </c>
    </row>
    <row r="9" spans="1:3" x14ac:dyDescent="0.2">
      <c r="A9" s="197" t="s">
        <v>382</v>
      </c>
      <c r="B9" s="198">
        <v>3400975.3800000004</v>
      </c>
      <c r="C9" s="198">
        <v>39846.390000000007</v>
      </c>
    </row>
    <row r="10" spans="1:3" x14ac:dyDescent="0.2">
      <c r="A10" s="197" t="s">
        <v>383</v>
      </c>
      <c r="B10" s="198">
        <v>21962747.380000003</v>
      </c>
      <c r="C10" s="198">
        <v>383119.56</v>
      </c>
    </row>
    <row r="11" spans="1:3" x14ac:dyDescent="0.2">
      <c r="A11" s="197" t="s">
        <v>384</v>
      </c>
      <c r="B11" s="198">
        <v>3824489.9600000004</v>
      </c>
      <c r="C11" s="198">
        <v>140923.83000000002</v>
      </c>
    </row>
    <row r="12" spans="1:3" x14ac:dyDescent="0.2">
      <c r="A12" s="197" t="s">
        <v>385</v>
      </c>
      <c r="B12" s="198">
        <v>6818177.8300000001</v>
      </c>
      <c r="C12" s="198">
        <v>52718.070000000007</v>
      </c>
    </row>
    <row r="13" spans="1:3" x14ac:dyDescent="0.2">
      <c r="A13" s="197" t="s">
        <v>386</v>
      </c>
      <c r="B13" s="198">
        <v>14928864.400000002</v>
      </c>
      <c r="C13" s="198">
        <v>174252.48</v>
      </c>
    </row>
    <row r="14" spans="1:3" x14ac:dyDescent="0.2">
      <c r="A14" s="197" t="s">
        <v>387</v>
      </c>
      <c r="B14" s="198">
        <v>1194212.31</v>
      </c>
      <c r="C14" s="198">
        <v>0</v>
      </c>
    </row>
    <row r="15" spans="1:3" x14ac:dyDescent="0.2">
      <c r="A15" s="197" t="s">
        <v>388</v>
      </c>
      <c r="B15" s="198">
        <v>536740.17000000004</v>
      </c>
      <c r="C15" s="198">
        <v>2264.73</v>
      </c>
    </row>
    <row r="16" spans="1:3" x14ac:dyDescent="0.2">
      <c r="A16" s="197" t="s">
        <v>389</v>
      </c>
      <c r="B16" s="198">
        <v>588185.12999999989</v>
      </c>
      <c r="C16" s="198">
        <v>6059.17</v>
      </c>
    </row>
    <row r="17" spans="1:6" x14ac:dyDescent="0.2">
      <c r="A17" s="197" t="s">
        <v>390</v>
      </c>
      <c r="B17" s="198">
        <v>4858525.54</v>
      </c>
      <c r="C17" s="198">
        <v>97463.54</v>
      </c>
    </row>
    <row r="18" spans="1:6" x14ac:dyDescent="0.2">
      <c r="A18" s="197" t="s">
        <v>391</v>
      </c>
      <c r="B18" s="198">
        <v>725195.02</v>
      </c>
      <c r="C18" s="198">
        <v>0</v>
      </c>
    </row>
    <row r="19" spans="1:6" x14ac:dyDescent="0.2">
      <c r="A19" s="197" t="s">
        <v>392</v>
      </c>
      <c r="B19" s="198">
        <v>4684373.1100000003</v>
      </c>
      <c r="C19" s="198">
        <v>21035.33</v>
      </c>
    </row>
    <row r="20" spans="1:6" x14ac:dyDescent="0.2">
      <c r="A20" s="197" t="s">
        <v>393</v>
      </c>
      <c r="B20" s="198">
        <v>164512.81</v>
      </c>
      <c r="C20" s="198">
        <v>34761.170000000006</v>
      </c>
    </row>
    <row r="21" spans="1:6" x14ac:dyDescent="0.2">
      <c r="A21" s="197" t="s">
        <v>394</v>
      </c>
      <c r="B21" s="198">
        <v>2329390.4800000004</v>
      </c>
      <c r="C21" s="198">
        <v>198789.01</v>
      </c>
    </row>
    <row r="22" spans="1:6" x14ac:dyDescent="0.2">
      <c r="A22" s="197" t="s">
        <v>395</v>
      </c>
      <c r="B22" s="198">
        <v>3688164.1199999992</v>
      </c>
      <c r="C22" s="198">
        <v>83541.33</v>
      </c>
    </row>
    <row r="23" spans="1:6" x14ac:dyDescent="0.2">
      <c r="A23" s="197" t="s">
        <v>396</v>
      </c>
      <c r="B23" s="198">
        <v>398230.89</v>
      </c>
      <c r="C23" s="198">
        <v>16217.73</v>
      </c>
    </row>
    <row r="24" spans="1:6" x14ac:dyDescent="0.2">
      <c r="A24" s="197" t="s">
        <v>397</v>
      </c>
      <c r="B24" s="198">
        <v>25820.039999999997</v>
      </c>
      <c r="C24" s="198">
        <v>100311.83</v>
      </c>
    </row>
    <row r="25" spans="1:6" x14ac:dyDescent="0.2">
      <c r="A25" s="197" t="s">
        <v>398</v>
      </c>
      <c r="B25" s="198">
        <v>47228.490000000005</v>
      </c>
      <c r="C25" s="198">
        <v>0</v>
      </c>
    </row>
    <row r="26" spans="1:6" x14ac:dyDescent="0.2">
      <c r="A26" s="197" t="s">
        <v>399</v>
      </c>
      <c r="B26" s="198">
        <v>2560.1200000000003</v>
      </c>
      <c r="C26" s="198">
        <v>0</v>
      </c>
    </row>
    <row r="27" spans="1:6" x14ac:dyDescent="0.2">
      <c r="A27" s="197" t="s">
        <v>400</v>
      </c>
      <c r="B27" s="198">
        <v>1746389.96</v>
      </c>
      <c r="C27" s="198">
        <v>10924736.430000002</v>
      </c>
    </row>
    <row r="28" spans="1:6" x14ac:dyDescent="0.2">
      <c r="A28" s="197" t="s">
        <v>401</v>
      </c>
      <c r="B28" s="198">
        <v>8180.26</v>
      </c>
      <c r="C28" s="198">
        <v>4940.87</v>
      </c>
    </row>
    <row r="29" spans="1:6" x14ac:dyDescent="0.2">
      <c r="A29" s="197" t="s">
        <v>402</v>
      </c>
      <c r="B29" s="198">
        <v>38338900.610000007</v>
      </c>
      <c r="C29" s="198">
        <v>10399931.600000003</v>
      </c>
    </row>
    <row r="30" spans="1:6" x14ac:dyDescent="0.2">
      <c r="A30" s="116" t="s">
        <v>310</v>
      </c>
      <c r="B30" s="196">
        <f>SUM(B31+B36)</f>
        <v>5453616.2400000012</v>
      </c>
      <c r="C30" s="196">
        <f>SUM(C31+C36)</f>
        <v>529817.09</v>
      </c>
      <c r="D30" s="197"/>
      <c r="E30" s="165"/>
      <c r="F30" s="165"/>
    </row>
    <row r="31" spans="1:6" s="63" customFormat="1" x14ac:dyDescent="0.2">
      <c r="A31" s="118" t="s">
        <v>56</v>
      </c>
      <c r="B31" s="196">
        <f>SUM(B32:B35)</f>
        <v>2237940.0300000003</v>
      </c>
      <c r="C31" s="196">
        <f>SUM(C32:C35)</f>
        <v>490979.47</v>
      </c>
      <c r="D31" s="204"/>
      <c r="E31" s="162"/>
      <c r="F31" s="162"/>
    </row>
    <row r="32" spans="1:6" x14ac:dyDescent="0.2">
      <c r="A32" s="197" t="s">
        <v>403</v>
      </c>
      <c r="B32" s="198">
        <v>9972.16</v>
      </c>
      <c r="C32" s="198">
        <v>0</v>
      </c>
      <c r="D32" s="197"/>
      <c r="E32" s="165"/>
      <c r="F32" s="165"/>
    </row>
    <row r="33" spans="1:6" x14ac:dyDescent="0.2">
      <c r="A33" s="197" t="s">
        <v>404</v>
      </c>
      <c r="B33" s="198">
        <v>0</v>
      </c>
      <c r="C33" s="198">
        <v>0</v>
      </c>
      <c r="D33" s="197"/>
      <c r="E33" s="165"/>
      <c r="F33" s="165"/>
    </row>
    <row r="34" spans="1:6" x14ac:dyDescent="0.2">
      <c r="A34" s="197" t="s">
        <v>405</v>
      </c>
      <c r="B34" s="198">
        <v>9962.44</v>
      </c>
      <c r="C34" s="198">
        <v>0</v>
      </c>
    </row>
    <row r="35" spans="1:6" x14ac:dyDescent="0.2">
      <c r="A35" s="197" t="s">
        <v>406</v>
      </c>
      <c r="B35" s="198">
        <v>2218005.4300000002</v>
      </c>
      <c r="C35" s="198">
        <v>490979.47</v>
      </c>
    </row>
    <row r="36" spans="1:6" s="63" customFormat="1" x14ac:dyDescent="0.2">
      <c r="A36" s="118" t="s">
        <v>25</v>
      </c>
      <c r="B36" s="196">
        <f>SUM(B37:B38)</f>
        <v>3215676.2100000009</v>
      </c>
      <c r="C36" s="196">
        <f>SUM(C37:C38)</f>
        <v>38837.620000000003</v>
      </c>
    </row>
    <row r="37" spans="1:6" x14ac:dyDescent="0.2">
      <c r="A37" s="197" t="s">
        <v>407</v>
      </c>
      <c r="B37" s="198">
        <v>2843283.5700000008</v>
      </c>
      <c r="C37" s="198">
        <v>30881.81</v>
      </c>
    </row>
    <row r="38" spans="1:6" x14ac:dyDescent="0.2">
      <c r="A38" s="197" t="s">
        <v>408</v>
      </c>
      <c r="B38" s="198">
        <v>372392.64</v>
      </c>
      <c r="C38" s="198">
        <v>7955.8099999999995</v>
      </c>
    </row>
    <row r="39" spans="1:6" x14ac:dyDescent="0.2">
      <c r="A39" s="116" t="s">
        <v>26</v>
      </c>
      <c r="B39" s="196">
        <f>SUM(B40)</f>
        <v>115576.68</v>
      </c>
      <c r="C39" s="196">
        <f>SUM(C40)</f>
        <v>5000</v>
      </c>
    </row>
    <row r="40" spans="1:6" s="63" customFormat="1" x14ac:dyDescent="0.2">
      <c r="A40" s="118" t="s">
        <v>409</v>
      </c>
      <c r="B40" s="196">
        <f>SUM(B41)</f>
        <v>115576.68</v>
      </c>
      <c r="C40" s="196">
        <f>SUM(C41)</f>
        <v>5000</v>
      </c>
    </row>
    <row r="41" spans="1:6" x14ac:dyDescent="0.2">
      <c r="A41" s="197" t="s">
        <v>410</v>
      </c>
      <c r="B41" s="198">
        <v>115576.68</v>
      </c>
      <c r="C41" s="198">
        <v>5000</v>
      </c>
    </row>
    <row r="42" spans="1:6" x14ac:dyDescent="0.2">
      <c r="A42" s="116" t="s">
        <v>29</v>
      </c>
      <c r="B42" s="196">
        <f>SUM(B43+B46)</f>
        <v>18733427.710000001</v>
      </c>
      <c r="C42" s="196">
        <f>SUM(C43+C46)</f>
        <v>834374.58</v>
      </c>
    </row>
    <row r="43" spans="1:6" s="63" customFormat="1" x14ac:dyDescent="0.2">
      <c r="A43" s="118" t="s">
        <v>30</v>
      </c>
      <c r="B43" s="196">
        <f>SUM(B44:B45)</f>
        <v>6077954.9499999993</v>
      </c>
      <c r="C43" s="196">
        <f>SUM(C44:C45)</f>
        <v>459103.38</v>
      </c>
    </row>
    <row r="44" spans="1:6" x14ac:dyDescent="0.2">
      <c r="A44" s="197" t="s">
        <v>411</v>
      </c>
      <c r="B44" s="198">
        <v>6010570.3099999996</v>
      </c>
      <c r="C44" s="198">
        <v>459103.38</v>
      </c>
    </row>
    <row r="45" spans="1:6" x14ac:dyDescent="0.2">
      <c r="A45" s="197" t="s">
        <v>412</v>
      </c>
      <c r="B45" s="198">
        <v>67384.639999999999</v>
      </c>
      <c r="C45" s="198">
        <v>0</v>
      </c>
    </row>
    <row r="46" spans="1:6" s="63" customFormat="1" x14ac:dyDescent="0.2">
      <c r="A46" s="118" t="s">
        <v>21</v>
      </c>
      <c r="B46" s="196">
        <f>SUM(B47:B49)</f>
        <v>12655472.760000002</v>
      </c>
      <c r="C46" s="196">
        <f>SUM(C47:C49)</f>
        <v>375271.19999999995</v>
      </c>
    </row>
    <row r="47" spans="1:6" x14ac:dyDescent="0.2">
      <c r="A47" s="197" t="s">
        <v>413</v>
      </c>
      <c r="B47" s="198">
        <v>1000865.99</v>
      </c>
      <c r="C47" s="198">
        <v>139150</v>
      </c>
    </row>
    <row r="48" spans="1:6" x14ac:dyDescent="0.2">
      <c r="A48" s="197" t="s">
        <v>414</v>
      </c>
      <c r="B48" s="198">
        <v>11154991.810000001</v>
      </c>
      <c r="C48" s="198">
        <v>231391.48</v>
      </c>
    </row>
    <row r="49" spans="1:3" x14ac:dyDescent="0.2">
      <c r="A49" s="197" t="s">
        <v>415</v>
      </c>
      <c r="B49" s="198">
        <v>499614.96</v>
      </c>
      <c r="C49" s="198">
        <v>4729.72</v>
      </c>
    </row>
    <row r="50" spans="1:3" x14ac:dyDescent="0.2">
      <c r="A50" s="118" t="s">
        <v>70</v>
      </c>
      <c r="B50" s="196">
        <f>SUM(B51+B53)</f>
        <v>74447901.810000002</v>
      </c>
      <c r="C50" s="196">
        <f>SUM(C51+C53)</f>
        <v>10193542.23</v>
      </c>
    </row>
    <row r="51" spans="1:3" s="63" customFormat="1" x14ac:dyDescent="0.2">
      <c r="A51" s="118" t="s">
        <v>416</v>
      </c>
      <c r="B51" s="196">
        <f>SUM(B52)</f>
        <v>3892192.4999999995</v>
      </c>
      <c r="C51" s="196">
        <f>SUM(C52)</f>
        <v>1408339.6799999997</v>
      </c>
    </row>
    <row r="52" spans="1:3" x14ac:dyDescent="0.2">
      <c r="A52" s="197" t="s">
        <v>416</v>
      </c>
      <c r="B52" s="198">
        <v>3892192.4999999995</v>
      </c>
      <c r="C52" s="198">
        <v>1408339.6799999997</v>
      </c>
    </row>
    <row r="53" spans="1:3" s="63" customFormat="1" x14ac:dyDescent="0.2">
      <c r="A53" s="118" t="s">
        <v>31</v>
      </c>
      <c r="B53" s="196">
        <f>SUM(B54:B64)</f>
        <v>70555709.310000002</v>
      </c>
      <c r="C53" s="196">
        <f>SUM(C54:C64)</f>
        <v>8785202.5500000007</v>
      </c>
    </row>
    <row r="54" spans="1:3" x14ac:dyDescent="0.2">
      <c r="A54" s="197" t="s">
        <v>417</v>
      </c>
      <c r="B54" s="198">
        <v>322849.69</v>
      </c>
      <c r="C54" s="198">
        <v>374749.5</v>
      </c>
    </row>
    <row r="55" spans="1:3" x14ac:dyDescent="0.2">
      <c r="A55" s="197" t="s">
        <v>418</v>
      </c>
      <c r="B55" s="198">
        <v>1051919.72</v>
      </c>
      <c r="C55" s="198">
        <v>479422.31999999995</v>
      </c>
    </row>
    <row r="56" spans="1:3" x14ac:dyDescent="0.2">
      <c r="A56" s="197" t="s">
        <v>419</v>
      </c>
      <c r="B56" s="198">
        <v>137478.1</v>
      </c>
      <c r="C56" s="198">
        <v>561.02</v>
      </c>
    </row>
    <row r="57" spans="1:3" x14ac:dyDescent="0.2">
      <c r="A57" s="197" t="s">
        <v>420</v>
      </c>
      <c r="B57" s="198">
        <v>14080352.640000006</v>
      </c>
      <c r="C57" s="198">
        <v>1740820.5800000003</v>
      </c>
    </row>
    <row r="58" spans="1:3" x14ac:dyDescent="0.2">
      <c r="A58" s="197" t="s">
        <v>421</v>
      </c>
      <c r="B58" s="198">
        <v>13910845.91</v>
      </c>
      <c r="C58" s="198">
        <v>698762.63</v>
      </c>
    </row>
    <row r="59" spans="1:3" x14ac:dyDescent="0.2">
      <c r="A59" s="197" t="s">
        <v>422</v>
      </c>
      <c r="B59" s="198">
        <v>1952468.2399999998</v>
      </c>
      <c r="C59" s="198">
        <v>335966.22</v>
      </c>
    </row>
    <row r="60" spans="1:3" x14ac:dyDescent="0.2">
      <c r="A60" s="197" t="s">
        <v>423</v>
      </c>
      <c r="B60" s="198">
        <v>29107571.529999994</v>
      </c>
      <c r="C60" s="198">
        <v>2287518.3200000003</v>
      </c>
    </row>
    <row r="61" spans="1:3" x14ac:dyDescent="0.2">
      <c r="A61" s="197" t="s">
        <v>424</v>
      </c>
      <c r="B61" s="198">
        <v>6129560.6699999999</v>
      </c>
      <c r="C61" s="198">
        <v>2299185.4300000002</v>
      </c>
    </row>
    <row r="62" spans="1:3" x14ac:dyDescent="0.2">
      <c r="A62" s="197" t="s">
        <v>425</v>
      </c>
      <c r="B62" s="198">
        <v>3080914.1699999985</v>
      </c>
      <c r="C62" s="198">
        <v>258598.75</v>
      </c>
    </row>
    <row r="63" spans="1:3" x14ac:dyDescent="0.2">
      <c r="A63" s="197" t="s">
        <v>426</v>
      </c>
      <c r="B63" s="198">
        <v>115944.58000000002</v>
      </c>
      <c r="C63" s="198">
        <v>66143.790000000008</v>
      </c>
    </row>
    <row r="64" spans="1:3" x14ac:dyDescent="0.2">
      <c r="A64" s="197" t="s">
        <v>427</v>
      </c>
      <c r="B64" s="198">
        <v>665804.06000000006</v>
      </c>
      <c r="C64" s="198">
        <v>243473.99000000002</v>
      </c>
    </row>
    <row r="65" spans="1:3" x14ac:dyDescent="0.2">
      <c r="A65" s="116" t="s">
        <v>33</v>
      </c>
      <c r="B65" s="196">
        <f>SUM(B66)</f>
        <v>5377827.4899999984</v>
      </c>
      <c r="C65" s="196">
        <f>SUM(C66)</f>
        <v>199794.2</v>
      </c>
    </row>
    <row r="66" spans="1:3" s="63" customFormat="1" x14ac:dyDescent="0.2">
      <c r="A66" s="118" t="s">
        <v>34</v>
      </c>
      <c r="B66" s="196">
        <f>SUM(B67)</f>
        <v>5377827.4899999984</v>
      </c>
      <c r="C66" s="196">
        <f>SUM(C67)</f>
        <v>199794.2</v>
      </c>
    </row>
    <row r="67" spans="1:3" x14ac:dyDescent="0.2">
      <c r="A67" s="197" t="s">
        <v>428</v>
      </c>
      <c r="B67" s="198">
        <v>5377827.4899999984</v>
      </c>
      <c r="C67" s="198">
        <v>199794.2</v>
      </c>
    </row>
    <row r="68" spans="1:3" x14ac:dyDescent="0.2">
      <c r="A68" s="116" t="s">
        <v>64</v>
      </c>
      <c r="B68" s="196">
        <f>SUM(B69+B71)</f>
        <v>24749057.810000002</v>
      </c>
      <c r="C68" s="196">
        <f>SUM(C69+C71)</f>
        <v>21864971.530000001</v>
      </c>
    </row>
    <row r="69" spans="1:3" s="63" customFormat="1" x14ac:dyDescent="0.2">
      <c r="A69" s="118" t="s">
        <v>36</v>
      </c>
      <c r="B69" s="196">
        <f>SUM(B70)</f>
        <v>79491.710000000006</v>
      </c>
      <c r="C69" s="196">
        <f>SUM(C70)</f>
        <v>9215.7099999999991</v>
      </c>
    </row>
    <row r="70" spans="1:3" x14ac:dyDescent="0.2">
      <c r="A70" s="197" t="s">
        <v>429</v>
      </c>
      <c r="B70" s="198">
        <v>79491.710000000006</v>
      </c>
      <c r="C70" s="198">
        <v>9215.7099999999991</v>
      </c>
    </row>
    <row r="71" spans="1:3" s="63" customFormat="1" x14ac:dyDescent="0.2">
      <c r="A71" s="118" t="s">
        <v>38</v>
      </c>
      <c r="B71" s="196">
        <f>SUM(B72:B73)</f>
        <v>24669566.100000001</v>
      </c>
      <c r="C71" s="196">
        <f>SUM(C72:C73)</f>
        <v>21855755.82</v>
      </c>
    </row>
    <row r="72" spans="1:3" x14ac:dyDescent="0.2">
      <c r="A72" s="197" t="s">
        <v>430</v>
      </c>
      <c r="B72" s="198">
        <v>23950909.920000002</v>
      </c>
      <c r="C72" s="198">
        <v>21600380.670000002</v>
      </c>
    </row>
    <row r="73" spans="1:3" x14ac:dyDescent="0.2">
      <c r="A73" s="197" t="s">
        <v>431</v>
      </c>
      <c r="B73" s="198">
        <v>718656.18000000017</v>
      </c>
      <c r="C73" s="198">
        <v>255375.15000000002</v>
      </c>
    </row>
    <row r="74" spans="1:3" x14ac:dyDescent="0.2">
      <c r="A74" s="116" t="s">
        <v>65</v>
      </c>
      <c r="B74" s="196">
        <f>SUM(B75)</f>
        <v>108161028.83</v>
      </c>
      <c r="C74" s="196">
        <f>SUM(C75)</f>
        <v>2177679.9699999997</v>
      </c>
    </row>
    <row r="75" spans="1:3" s="63" customFormat="1" x14ac:dyDescent="0.2">
      <c r="A75" s="118" t="s">
        <v>365</v>
      </c>
      <c r="B75" s="196">
        <f>SUM(B76)</f>
        <v>108161028.83</v>
      </c>
      <c r="C75" s="196">
        <f>SUM(C76)</f>
        <v>2177679.9699999997</v>
      </c>
    </row>
    <row r="76" spans="1:3" x14ac:dyDescent="0.2">
      <c r="A76" s="197" t="s">
        <v>366</v>
      </c>
      <c r="B76" s="198">
        <v>108161028.83</v>
      </c>
      <c r="C76" s="198">
        <v>2177679.9699999997</v>
      </c>
    </row>
    <row r="77" spans="1:3" x14ac:dyDescent="0.2">
      <c r="A77" s="197"/>
      <c r="B77" s="165"/>
      <c r="C77" s="165"/>
    </row>
    <row r="78" spans="1:3" ht="23.25" customHeight="1" x14ac:dyDescent="0.2">
      <c r="A78" s="191" t="s">
        <v>313</v>
      </c>
      <c r="B78" s="191"/>
      <c r="C78" s="191"/>
    </row>
    <row r="79" spans="1:3" x14ac:dyDescent="0.2">
      <c r="A79" s="140" t="s">
        <v>19</v>
      </c>
      <c r="B79" s="192"/>
      <c r="C79" s="192"/>
    </row>
    <row r="80" spans="1:3" ht="28.5" customHeight="1" x14ac:dyDescent="0.2">
      <c r="A80" s="203" t="s">
        <v>432</v>
      </c>
      <c r="B80" s="173"/>
      <c r="C80" s="173"/>
    </row>
  </sheetData>
  <mergeCells count="3">
    <mergeCell ref="A2:C2"/>
    <mergeCell ref="A78:C78"/>
    <mergeCell ref="A80:C80"/>
  </mergeCells>
  <pageMargins left="0.70866141732283472" right="0.70866141732283472" top="0.74803149606299213" bottom="0.74803149606299213" header="0.31496062992125984" footer="0.31496062992125984"/>
  <pageSetup paperSize="14" scale="95" orientation="portrait" verticalDpi="599" r:id="rId1"/>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C97D6D-AA3E-4415-A95C-9781B4101C55}">
  <sheetPr codeName="Hoja210"/>
  <dimension ref="A1:G13"/>
  <sheetViews>
    <sheetView workbookViewId="0">
      <selection activeCell="A53" sqref="A53"/>
    </sheetView>
  </sheetViews>
  <sheetFormatPr baseColWidth="10" defaultRowHeight="13.2" x14ac:dyDescent="0.25"/>
  <cols>
    <col min="1" max="1" width="29.88671875" customWidth="1"/>
  </cols>
  <sheetData>
    <row r="1" spans="1:7" s="1060" customFormat="1" ht="10.199999999999999" x14ac:dyDescent="0.2">
      <c r="A1" s="1059"/>
      <c r="B1" s="1059"/>
      <c r="C1" s="1059"/>
      <c r="D1" s="1059"/>
      <c r="E1" s="1059"/>
      <c r="F1" s="1059"/>
      <c r="G1" s="141"/>
    </row>
    <row r="2" spans="1:7" s="1060" customFormat="1" ht="25.5" customHeight="1" x14ac:dyDescent="0.2">
      <c r="A2" s="735" t="s">
        <v>2532</v>
      </c>
      <c r="B2" s="735"/>
      <c r="C2" s="735"/>
      <c r="D2" s="735"/>
      <c r="E2" s="735"/>
      <c r="F2" s="735"/>
      <c r="G2" s="141"/>
    </row>
    <row r="3" spans="1:7" s="1060" customFormat="1" ht="10.199999999999999" x14ac:dyDescent="0.2">
      <c r="A3" s="706"/>
      <c r="B3" s="141"/>
      <c r="C3" s="141"/>
      <c r="D3" s="141"/>
      <c r="E3" s="141"/>
      <c r="F3" s="141"/>
      <c r="G3" s="141"/>
    </row>
    <row r="4" spans="1:7" s="1060" customFormat="1" ht="10.199999999999999" x14ac:dyDescent="0.2">
      <c r="A4" s="707" t="s">
        <v>2676</v>
      </c>
      <c r="B4" s="749" t="s">
        <v>2677</v>
      </c>
      <c r="C4" s="749"/>
      <c r="D4" s="749"/>
      <c r="E4" s="749"/>
      <c r="F4" s="749"/>
    </row>
    <row r="5" spans="1:7" s="1060" customFormat="1" ht="10.199999999999999" x14ac:dyDescent="0.2">
      <c r="A5" s="710"/>
      <c r="B5" s="1061">
        <v>2009</v>
      </c>
      <c r="C5" s="1061">
        <v>2010</v>
      </c>
      <c r="D5" s="1061">
        <v>2011</v>
      </c>
      <c r="E5" s="1061">
        <v>2012</v>
      </c>
      <c r="F5" s="1061">
        <v>2013</v>
      </c>
    </row>
    <row r="6" spans="1:7" s="1060" customFormat="1" ht="10.199999999999999" x14ac:dyDescent="0.2">
      <c r="A6" s="706" t="s">
        <v>3</v>
      </c>
      <c r="B6" s="706">
        <f>SUM(B7+B10)</f>
        <v>34</v>
      </c>
      <c r="C6" s="706">
        <f>SUM(C7+C10)</f>
        <v>20</v>
      </c>
      <c r="D6" s="706">
        <f>SUM(D7+D10)</f>
        <v>5</v>
      </c>
      <c r="E6" s="706">
        <f>SUM(E7+E10)</f>
        <v>6</v>
      </c>
      <c r="F6" s="706">
        <f>SUM(F7+F10)</f>
        <v>25</v>
      </c>
    </row>
    <row r="7" spans="1:7" s="1060" customFormat="1" ht="10.199999999999999" x14ac:dyDescent="0.2">
      <c r="A7" s="706" t="s">
        <v>2678</v>
      </c>
      <c r="B7" s="706">
        <f>SUM(B8:B9)</f>
        <v>25</v>
      </c>
      <c r="C7" s="706">
        <f>SUM(C8:C9)</f>
        <v>17</v>
      </c>
      <c r="D7" s="706">
        <f>SUM(D8:D9)</f>
        <v>4</v>
      </c>
      <c r="E7" s="706">
        <f>SUM(E8:E9)</f>
        <v>5</v>
      </c>
      <c r="F7" s="706">
        <f>SUM(F8:F9)</f>
        <v>19</v>
      </c>
    </row>
    <row r="8" spans="1:7" s="1060" customFormat="1" ht="10.199999999999999" x14ac:dyDescent="0.2">
      <c r="A8" s="141" t="s">
        <v>122</v>
      </c>
      <c r="B8" s="141">
        <v>19</v>
      </c>
      <c r="C8" s="141">
        <v>13</v>
      </c>
      <c r="D8" s="141">
        <v>2</v>
      </c>
      <c r="E8" s="141">
        <v>4</v>
      </c>
      <c r="F8" s="141">
        <v>15</v>
      </c>
    </row>
    <row r="9" spans="1:7" s="1060" customFormat="1" ht="10.199999999999999" x14ac:dyDescent="0.2">
      <c r="A9" s="141" t="s">
        <v>123</v>
      </c>
      <c r="B9" s="141">
        <v>6</v>
      </c>
      <c r="C9" s="141">
        <v>4</v>
      </c>
      <c r="D9" s="141">
        <v>2</v>
      </c>
      <c r="E9" s="141">
        <v>1</v>
      </c>
      <c r="F9" s="141">
        <v>4</v>
      </c>
    </row>
    <row r="10" spans="1:7" s="1060" customFormat="1" ht="10.199999999999999" x14ac:dyDescent="0.2">
      <c r="A10" s="706" t="s">
        <v>125</v>
      </c>
      <c r="B10" s="706">
        <v>9</v>
      </c>
      <c r="C10" s="706">
        <v>3</v>
      </c>
      <c r="D10" s="706">
        <v>1</v>
      </c>
      <c r="E10" s="706">
        <v>1</v>
      </c>
      <c r="F10" s="706">
        <v>6</v>
      </c>
    </row>
    <row r="11" spans="1:7" s="1060" customFormat="1" ht="9" customHeight="1" x14ac:dyDescent="0.2">
      <c r="A11" s="141"/>
      <c r="B11" s="141"/>
      <c r="C11" s="141"/>
      <c r="D11" s="141"/>
      <c r="E11" s="141"/>
      <c r="F11" s="141"/>
      <c r="G11" s="141"/>
    </row>
    <row r="12" spans="1:7" s="1060" customFormat="1" ht="10.199999999999999" x14ac:dyDescent="0.2">
      <c r="A12" s="715" t="s">
        <v>2679</v>
      </c>
      <c r="B12" s="715"/>
      <c r="C12" s="715"/>
      <c r="D12" s="715"/>
      <c r="E12" s="715"/>
      <c r="F12" s="715"/>
      <c r="G12" s="141"/>
    </row>
    <row r="13" spans="1:7" s="1060" customFormat="1" ht="10.199999999999999" x14ac:dyDescent="0.2">
      <c r="A13" s="141"/>
      <c r="B13" s="141"/>
      <c r="C13" s="141"/>
      <c r="D13" s="141"/>
      <c r="E13" s="141"/>
      <c r="F13" s="141"/>
      <c r="G13" s="141"/>
    </row>
  </sheetData>
  <mergeCells count="4">
    <mergeCell ref="A2:F2"/>
    <mergeCell ref="A4:A5"/>
    <mergeCell ref="B4:F4"/>
    <mergeCell ref="A12:F12"/>
  </mergeCells>
  <pageMargins left="0.7" right="0.7" top="0.75" bottom="0.75" header="0.3" footer="0.3"/>
  <pageSetup paperSize="14" orientation="landscape" r:id="rId1"/>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27EA63-91A6-4D81-A3C0-B74B7022ACC5}">
  <sheetPr codeName="Hoja211"/>
  <dimension ref="A1:Q115"/>
  <sheetViews>
    <sheetView view="pageBreakPreview" zoomScaleNormal="110" zoomScaleSheetLayoutView="100" workbookViewId="0">
      <selection activeCell="A53" sqref="A53"/>
    </sheetView>
  </sheetViews>
  <sheetFormatPr baseColWidth="10" defaultColWidth="11.44140625" defaultRowHeight="10.199999999999999" x14ac:dyDescent="0.2"/>
  <cols>
    <col min="1" max="1" width="16.88671875" style="141" customWidth="1"/>
    <col min="2" max="2" width="15.44140625" style="141" customWidth="1"/>
    <col min="3" max="3" width="13.109375" style="141" bestFit="1" customWidth="1"/>
    <col min="4" max="4" width="13.33203125" style="141" customWidth="1"/>
    <col min="5" max="5" width="11.109375" style="141" bestFit="1" customWidth="1"/>
    <col min="6" max="6" width="11.44140625" style="141"/>
    <col min="7" max="7" width="11" style="141" customWidth="1"/>
    <col min="8" max="10" width="11.109375" style="141" customWidth="1"/>
    <col min="11" max="11" width="11.5546875" style="141" customWidth="1"/>
    <col min="12" max="15" width="11.33203125" style="141" customWidth="1"/>
    <col min="16" max="16384" width="11.44140625" style="141"/>
  </cols>
  <sheetData>
    <row r="1" spans="1:16" x14ac:dyDescent="0.2">
      <c r="A1" s="706"/>
      <c r="P1" s="699"/>
    </row>
    <row r="2" spans="1:16" ht="22.5" customHeight="1" x14ac:dyDescent="0.2">
      <c r="A2" s="308" t="s">
        <v>2533</v>
      </c>
      <c r="B2" s="308"/>
      <c r="C2" s="308"/>
      <c r="D2" s="308"/>
      <c r="E2" s="308"/>
      <c r="F2" s="308"/>
      <c r="G2" s="308"/>
      <c r="H2" s="308"/>
      <c r="I2" s="308"/>
      <c r="J2" s="308"/>
      <c r="K2" s="308"/>
    </row>
    <row r="3" spans="1:16" ht="12.75" customHeight="1" x14ac:dyDescent="0.2">
      <c r="A3" s="706"/>
    </row>
    <row r="4" spans="1:16" s="750" customFormat="1" ht="15" customHeight="1" x14ac:dyDescent="0.2">
      <c r="A4" s="716" t="s">
        <v>0</v>
      </c>
      <c r="B4" s="716">
        <v>2009</v>
      </c>
      <c r="C4" s="716"/>
      <c r="D4" s="716">
        <v>2010</v>
      </c>
      <c r="E4" s="716"/>
      <c r="F4" s="716">
        <v>2011</v>
      </c>
      <c r="G4" s="716"/>
      <c r="H4" s="716">
        <v>2012</v>
      </c>
      <c r="I4" s="716"/>
      <c r="J4" s="716">
        <v>2013</v>
      </c>
      <c r="K4" s="716"/>
      <c r="L4" s="711"/>
    </row>
    <row r="5" spans="1:16" s="750" customFormat="1" ht="15" customHeight="1" x14ac:dyDescent="0.2">
      <c r="A5" s="716"/>
      <c r="B5" s="453" t="s">
        <v>2680</v>
      </c>
      <c r="C5" s="453" t="s">
        <v>801</v>
      </c>
      <c r="D5" s="453" t="s">
        <v>2680</v>
      </c>
      <c r="E5" s="453" t="s">
        <v>801</v>
      </c>
      <c r="F5" s="453" t="s">
        <v>2680</v>
      </c>
      <c r="G5" s="453" t="s">
        <v>801</v>
      </c>
      <c r="H5" s="453" t="s">
        <v>2680</v>
      </c>
      <c r="I5" s="453" t="s">
        <v>801</v>
      </c>
      <c r="J5" s="453" t="s">
        <v>2680</v>
      </c>
      <c r="K5" s="453" t="s">
        <v>801</v>
      </c>
    </row>
    <row r="6" spans="1:16" x14ac:dyDescent="0.2">
      <c r="A6" s="706" t="s">
        <v>3</v>
      </c>
      <c r="B6" s="753">
        <f t="shared" ref="B6:K6" si="0">SUM(B7:B21)</f>
        <v>4462</v>
      </c>
      <c r="C6" s="902">
        <f>SUM(C7:C21)</f>
        <v>1</v>
      </c>
      <c r="D6" s="753">
        <f t="shared" si="0"/>
        <v>5107</v>
      </c>
      <c r="E6" s="902">
        <f t="shared" si="0"/>
        <v>1</v>
      </c>
      <c r="F6" s="753">
        <f t="shared" si="0"/>
        <v>5720</v>
      </c>
      <c r="G6" s="902">
        <f t="shared" si="0"/>
        <v>0.99999999999999989</v>
      </c>
      <c r="H6" s="753">
        <f t="shared" si="0"/>
        <v>6045</v>
      </c>
      <c r="I6" s="902">
        <f t="shared" si="0"/>
        <v>1</v>
      </c>
      <c r="J6" s="753">
        <f t="shared" si="0"/>
        <v>5952</v>
      </c>
      <c r="K6" s="902">
        <f t="shared" si="0"/>
        <v>0.99999999999999989</v>
      </c>
      <c r="M6" s="1062"/>
      <c r="N6" s="1063"/>
    </row>
    <row r="7" spans="1:16" x14ac:dyDescent="0.2">
      <c r="A7" s="1064" t="s">
        <v>4</v>
      </c>
      <c r="B7" s="903">
        <v>8</v>
      </c>
      <c r="C7" s="1065">
        <f t="shared" ref="C7:C21" si="1">+B7/$B$6</f>
        <v>1.7929179740026895E-3</v>
      </c>
      <c r="D7" s="903">
        <v>14</v>
      </c>
      <c r="E7" s="1065">
        <f t="shared" ref="E7:E21" si="2">+D7/$D$6</f>
        <v>2.7413354219698455E-3</v>
      </c>
      <c r="F7" s="1066">
        <v>25</v>
      </c>
      <c r="G7" s="1065">
        <f t="shared" ref="G7:G21" si="3">+F7/$F$6</f>
        <v>4.370629370629371E-3</v>
      </c>
      <c r="H7" s="1066">
        <v>20</v>
      </c>
      <c r="I7" s="1065">
        <f t="shared" ref="I7:I21" si="4">+H7/$H$6</f>
        <v>3.3085194375516956E-3</v>
      </c>
      <c r="J7" s="1066">
        <v>37</v>
      </c>
      <c r="K7" s="1065">
        <f t="shared" ref="K7:K21" si="5">+J7/$J$6</f>
        <v>6.2163978494623653E-3</v>
      </c>
      <c r="M7" s="1067"/>
      <c r="N7" s="1068"/>
    </row>
    <row r="8" spans="1:16" x14ac:dyDescent="0.2">
      <c r="A8" s="1064" t="s">
        <v>5</v>
      </c>
      <c r="B8" s="141">
        <v>20</v>
      </c>
      <c r="C8" s="1065">
        <f t="shared" si="1"/>
        <v>4.4822949350067235E-3</v>
      </c>
      <c r="D8" s="141">
        <v>27</v>
      </c>
      <c r="E8" s="1065">
        <f t="shared" si="2"/>
        <v>5.2868611709418444E-3</v>
      </c>
      <c r="F8" s="1066">
        <v>26</v>
      </c>
      <c r="G8" s="1065">
        <f t="shared" si="3"/>
        <v>4.5454545454545452E-3</v>
      </c>
      <c r="H8" s="1066">
        <v>22</v>
      </c>
      <c r="I8" s="1065">
        <f t="shared" si="4"/>
        <v>3.6393713813068652E-3</v>
      </c>
      <c r="J8" s="1066">
        <v>22</v>
      </c>
      <c r="K8" s="1065">
        <f t="shared" si="5"/>
        <v>3.6962365591397851E-3</v>
      </c>
      <c r="M8" s="1067"/>
      <c r="N8" s="1068"/>
    </row>
    <row r="9" spans="1:16" x14ac:dyDescent="0.2">
      <c r="A9" s="1064" t="s">
        <v>6</v>
      </c>
      <c r="B9" s="141">
        <v>38</v>
      </c>
      <c r="C9" s="1065">
        <f t="shared" si="1"/>
        <v>8.5163603765127747E-3</v>
      </c>
      <c r="D9" s="141">
        <v>52</v>
      </c>
      <c r="E9" s="1065">
        <f t="shared" si="2"/>
        <v>1.0182102995887997E-2</v>
      </c>
      <c r="F9" s="1066">
        <v>34</v>
      </c>
      <c r="G9" s="1065">
        <f t="shared" si="3"/>
        <v>5.9440559440559438E-3</v>
      </c>
      <c r="H9" s="1066">
        <v>23</v>
      </c>
      <c r="I9" s="1065">
        <f t="shared" si="4"/>
        <v>3.80479735318445E-3</v>
      </c>
      <c r="J9" s="1066">
        <v>36</v>
      </c>
      <c r="K9" s="1065">
        <f t="shared" si="5"/>
        <v>6.0483870967741934E-3</v>
      </c>
      <c r="M9" s="1067"/>
      <c r="N9" s="1068"/>
    </row>
    <row r="10" spans="1:16" x14ac:dyDescent="0.2">
      <c r="A10" s="1064" t="s">
        <v>7</v>
      </c>
      <c r="B10" s="141">
        <v>11</v>
      </c>
      <c r="C10" s="1065">
        <f t="shared" si="1"/>
        <v>2.4652622142536979E-3</v>
      </c>
      <c r="D10" s="141">
        <v>12</v>
      </c>
      <c r="E10" s="1065">
        <f t="shared" si="2"/>
        <v>2.3497160759741531E-3</v>
      </c>
      <c r="F10" s="1066">
        <v>14</v>
      </c>
      <c r="G10" s="1065">
        <f t="shared" si="3"/>
        <v>2.4475524475524478E-3</v>
      </c>
      <c r="H10" s="1066">
        <v>13</v>
      </c>
      <c r="I10" s="1065">
        <f t="shared" si="4"/>
        <v>2.1505376344086021E-3</v>
      </c>
      <c r="J10" s="1066">
        <v>13</v>
      </c>
      <c r="K10" s="1065">
        <f t="shared" si="5"/>
        <v>2.1841397849462364E-3</v>
      </c>
      <c r="M10" s="1067"/>
      <c r="N10" s="1068"/>
    </row>
    <row r="11" spans="1:16" x14ac:dyDescent="0.2">
      <c r="A11" s="1064" t="s">
        <v>8</v>
      </c>
      <c r="B11" s="141">
        <v>22</v>
      </c>
      <c r="C11" s="1065">
        <f t="shared" si="1"/>
        <v>4.9305244285073957E-3</v>
      </c>
      <c r="D11" s="141">
        <v>33</v>
      </c>
      <c r="E11" s="1065">
        <f t="shared" si="2"/>
        <v>6.4617192089289214E-3</v>
      </c>
      <c r="F11" s="1066">
        <v>35</v>
      </c>
      <c r="G11" s="1065">
        <f t="shared" si="3"/>
        <v>6.118881118881119E-3</v>
      </c>
      <c r="H11" s="1066">
        <v>59</v>
      </c>
      <c r="I11" s="1065">
        <f t="shared" si="4"/>
        <v>9.7601323407775029E-3</v>
      </c>
      <c r="J11" s="1066">
        <v>51</v>
      </c>
      <c r="K11" s="1065">
        <f t="shared" si="5"/>
        <v>8.5685483870967735E-3</v>
      </c>
      <c r="M11" s="1067"/>
      <c r="N11" s="1068"/>
    </row>
    <row r="12" spans="1:16" x14ac:dyDescent="0.2">
      <c r="A12" s="1064" t="s">
        <v>9</v>
      </c>
      <c r="B12" s="141">
        <v>167</v>
      </c>
      <c r="C12" s="1065">
        <f t="shared" si="1"/>
        <v>3.7427162707306144E-2</v>
      </c>
      <c r="D12" s="141">
        <v>224</v>
      </c>
      <c r="E12" s="1065">
        <f t="shared" si="2"/>
        <v>4.3861366751517528E-2</v>
      </c>
      <c r="F12" s="1066">
        <v>203</v>
      </c>
      <c r="G12" s="1065">
        <f t="shared" si="3"/>
        <v>3.548951048951049E-2</v>
      </c>
      <c r="H12" s="1066">
        <v>263</v>
      </c>
      <c r="I12" s="1065">
        <f t="shared" si="4"/>
        <v>4.35070306038048E-2</v>
      </c>
      <c r="J12" s="1066">
        <v>317</v>
      </c>
      <c r="K12" s="1065">
        <f t="shared" si="5"/>
        <v>5.3259408602150539E-2</v>
      </c>
      <c r="M12" s="1067"/>
      <c r="N12" s="1068"/>
    </row>
    <row r="13" spans="1:16" x14ac:dyDescent="0.2">
      <c r="A13" s="1064" t="s">
        <v>10</v>
      </c>
      <c r="B13" s="903">
        <v>3854</v>
      </c>
      <c r="C13" s="1065">
        <f t="shared" si="1"/>
        <v>0.86373823397579563</v>
      </c>
      <c r="D13" s="903">
        <v>4418</v>
      </c>
      <c r="E13" s="1065">
        <f t="shared" si="2"/>
        <v>0.865087135304484</v>
      </c>
      <c r="F13" s="1069">
        <v>5005</v>
      </c>
      <c r="G13" s="1065">
        <f t="shared" si="3"/>
        <v>0.875</v>
      </c>
      <c r="H13" s="1069">
        <v>5249</v>
      </c>
      <c r="I13" s="1065">
        <f t="shared" si="4"/>
        <v>0.86832092638544256</v>
      </c>
      <c r="J13" s="1069">
        <v>5046</v>
      </c>
      <c r="K13" s="1065">
        <f t="shared" si="5"/>
        <v>0.84778225806451613</v>
      </c>
      <c r="M13" s="1070"/>
      <c r="N13" s="1068"/>
    </row>
    <row r="14" spans="1:16" x14ac:dyDescent="0.2">
      <c r="A14" s="1064" t="s">
        <v>134</v>
      </c>
      <c r="B14" s="141">
        <v>31</v>
      </c>
      <c r="C14" s="1065">
        <f t="shared" si="1"/>
        <v>6.9475571492604218E-3</v>
      </c>
      <c r="D14" s="141">
        <v>14</v>
      </c>
      <c r="E14" s="1065">
        <f t="shared" si="2"/>
        <v>2.7413354219698455E-3</v>
      </c>
      <c r="F14" s="1066">
        <v>30</v>
      </c>
      <c r="G14" s="1065">
        <f t="shared" si="3"/>
        <v>5.244755244755245E-3</v>
      </c>
      <c r="H14" s="1066">
        <v>22</v>
      </c>
      <c r="I14" s="1071">
        <f t="shared" si="4"/>
        <v>3.6393713813068652E-3</v>
      </c>
      <c r="J14" s="1066">
        <v>38</v>
      </c>
      <c r="K14" s="1065">
        <f t="shared" si="5"/>
        <v>6.384408602150538E-3</v>
      </c>
      <c r="M14" s="1067"/>
      <c r="N14" s="1068"/>
    </row>
    <row r="15" spans="1:16" x14ac:dyDescent="0.2">
      <c r="A15" s="1064" t="s">
        <v>12</v>
      </c>
      <c r="B15" s="141">
        <v>79</v>
      </c>
      <c r="C15" s="1065">
        <f t="shared" si="1"/>
        <v>1.7705064993276558E-2</v>
      </c>
      <c r="D15" s="141">
        <v>55</v>
      </c>
      <c r="E15" s="1065">
        <f t="shared" si="2"/>
        <v>1.0769532014881535E-2</v>
      </c>
      <c r="F15" s="1066">
        <v>66</v>
      </c>
      <c r="G15" s="1065">
        <f t="shared" si="3"/>
        <v>1.1538461538461539E-2</v>
      </c>
      <c r="H15" s="1066">
        <v>57</v>
      </c>
      <c r="I15" s="1065">
        <f t="shared" si="4"/>
        <v>9.4292803970223334E-3</v>
      </c>
      <c r="J15" s="1066">
        <v>70</v>
      </c>
      <c r="K15" s="1065">
        <f t="shared" si="5"/>
        <v>1.1760752688172043E-2</v>
      </c>
      <c r="M15" s="1067"/>
      <c r="N15" s="1068"/>
    </row>
    <row r="16" spans="1:16" x14ac:dyDescent="0.2">
      <c r="A16" s="1064" t="s">
        <v>13</v>
      </c>
      <c r="B16" s="141">
        <v>110</v>
      </c>
      <c r="C16" s="1065">
        <f t="shared" si="1"/>
        <v>2.4652622142536978E-2</v>
      </c>
      <c r="D16" s="141">
        <v>104</v>
      </c>
      <c r="E16" s="1065">
        <f t="shared" si="2"/>
        <v>2.0364205991775994E-2</v>
      </c>
      <c r="F16" s="1066">
        <v>134</v>
      </c>
      <c r="G16" s="1065">
        <f t="shared" si="3"/>
        <v>2.3426573426573425E-2</v>
      </c>
      <c r="H16" s="1066">
        <v>117</v>
      </c>
      <c r="I16" s="1065">
        <f t="shared" si="4"/>
        <v>1.935483870967742E-2</v>
      </c>
      <c r="J16" s="1066">
        <v>161</v>
      </c>
      <c r="K16" s="1065">
        <f t="shared" si="5"/>
        <v>2.7049731182795699E-2</v>
      </c>
      <c r="M16" s="1067"/>
      <c r="N16" s="1068"/>
    </row>
    <row r="17" spans="1:17" x14ac:dyDescent="0.2">
      <c r="A17" s="1064" t="s">
        <v>47</v>
      </c>
      <c r="B17" s="141">
        <v>32</v>
      </c>
      <c r="C17" s="1065">
        <f t="shared" si="1"/>
        <v>7.1716718960107579E-3</v>
      </c>
      <c r="D17" s="141">
        <v>43</v>
      </c>
      <c r="E17" s="1065">
        <f t="shared" si="2"/>
        <v>8.4198159389073813E-3</v>
      </c>
      <c r="F17" s="1066">
        <v>54</v>
      </c>
      <c r="G17" s="1065">
        <f t="shared" si="3"/>
        <v>9.4405594405594408E-3</v>
      </c>
      <c r="H17" s="1066">
        <v>49</v>
      </c>
      <c r="I17" s="1065">
        <f t="shared" si="4"/>
        <v>8.1058726220016551E-3</v>
      </c>
      <c r="J17" s="1066">
        <v>46</v>
      </c>
      <c r="K17" s="1065">
        <f t="shared" si="5"/>
        <v>7.7284946236559141E-3</v>
      </c>
      <c r="M17" s="1067"/>
      <c r="N17" s="1068"/>
    </row>
    <row r="18" spans="1:17" x14ac:dyDescent="0.2">
      <c r="A18" s="1064" t="s">
        <v>135</v>
      </c>
      <c r="B18" s="903">
        <v>32</v>
      </c>
      <c r="C18" s="1065">
        <f t="shared" si="1"/>
        <v>7.1716718960107579E-3</v>
      </c>
      <c r="D18" s="903">
        <v>49</v>
      </c>
      <c r="E18" s="1065">
        <f t="shared" si="2"/>
        <v>9.5946739768944592E-3</v>
      </c>
      <c r="F18" s="1066">
        <v>51</v>
      </c>
      <c r="G18" s="1065">
        <f t="shared" si="3"/>
        <v>8.9160839160839153E-3</v>
      </c>
      <c r="H18" s="1066">
        <v>53</v>
      </c>
      <c r="I18" s="1065">
        <f t="shared" si="4"/>
        <v>8.7675765095119942E-3</v>
      </c>
      <c r="J18" s="1066">
        <v>54</v>
      </c>
      <c r="K18" s="1065">
        <f t="shared" si="5"/>
        <v>9.0725806451612909E-3</v>
      </c>
      <c r="M18" s="1067"/>
      <c r="N18" s="1068"/>
    </row>
    <row r="19" spans="1:17" x14ac:dyDescent="0.2">
      <c r="A19" s="1064" t="s">
        <v>136</v>
      </c>
      <c r="B19" s="141">
        <v>36</v>
      </c>
      <c r="C19" s="1065">
        <f t="shared" si="1"/>
        <v>8.0681308830121024E-3</v>
      </c>
      <c r="D19" s="141">
        <v>30</v>
      </c>
      <c r="E19" s="1065">
        <f t="shared" si="2"/>
        <v>5.8742901899353824E-3</v>
      </c>
      <c r="F19" s="1066">
        <v>31</v>
      </c>
      <c r="G19" s="1065">
        <f t="shared" si="3"/>
        <v>5.4195804195804193E-3</v>
      </c>
      <c r="H19" s="1066">
        <v>45</v>
      </c>
      <c r="I19" s="1065">
        <f t="shared" si="4"/>
        <v>7.4441687344913151E-3</v>
      </c>
      <c r="J19" s="1066">
        <v>24</v>
      </c>
      <c r="K19" s="1065">
        <f t="shared" si="5"/>
        <v>4.0322580645161289E-3</v>
      </c>
      <c r="M19" s="1067"/>
      <c r="N19" s="1068"/>
    </row>
    <row r="20" spans="1:17" x14ac:dyDescent="0.2">
      <c r="A20" s="1064" t="s">
        <v>17</v>
      </c>
      <c r="B20" s="141">
        <v>6</v>
      </c>
      <c r="C20" s="1065">
        <f t="shared" si="1"/>
        <v>1.344688480502017E-3</v>
      </c>
      <c r="D20" s="141">
        <v>17</v>
      </c>
      <c r="E20" s="1065">
        <f t="shared" si="2"/>
        <v>3.3287644409633835E-3</v>
      </c>
      <c r="F20" s="1066">
        <v>1</v>
      </c>
      <c r="G20" s="1065">
        <f t="shared" si="3"/>
        <v>1.7482517482517483E-4</v>
      </c>
      <c r="H20" s="1066">
        <v>2</v>
      </c>
      <c r="I20" s="1065">
        <f t="shared" si="4"/>
        <v>3.3085194375516956E-4</v>
      </c>
      <c r="J20" s="1066">
        <v>8</v>
      </c>
      <c r="K20" s="1065">
        <f t="shared" si="5"/>
        <v>1.3440860215053765E-3</v>
      </c>
      <c r="M20" s="1067"/>
      <c r="N20" s="1068"/>
    </row>
    <row r="21" spans="1:17" x14ac:dyDescent="0.2">
      <c r="A21" s="1064" t="s">
        <v>18</v>
      </c>
      <c r="B21" s="141">
        <v>16</v>
      </c>
      <c r="C21" s="1065">
        <f t="shared" si="1"/>
        <v>3.5858359480053789E-3</v>
      </c>
      <c r="D21" s="141">
        <v>15</v>
      </c>
      <c r="E21" s="1065">
        <f t="shared" si="2"/>
        <v>2.9371450949676912E-3</v>
      </c>
      <c r="F21" s="1066">
        <v>11</v>
      </c>
      <c r="G21" s="1065">
        <f t="shared" si="3"/>
        <v>1.9230769230769232E-3</v>
      </c>
      <c r="H21" s="1066">
        <v>51</v>
      </c>
      <c r="I21" s="1071">
        <f t="shared" si="4"/>
        <v>8.4367245657568247E-3</v>
      </c>
      <c r="J21" s="1066">
        <v>29</v>
      </c>
      <c r="K21" s="1065">
        <f t="shared" si="5"/>
        <v>4.8723118279569893E-3</v>
      </c>
      <c r="M21" s="1067"/>
      <c r="N21" s="1068"/>
    </row>
    <row r="22" spans="1:17" ht="8.25" customHeight="1" x14ac:dyDescent="0.2">
      <c r="A22" s="288"/>
      <c r="B22" s="903"/>
      <c r="C22" s="904"/>
      <c r="D22" s="903"/>
      <c r="E22" s="904"/>
      <c r="F22" s="904"/>
      <c r="G22" s="1069"/>
      <c r="H22" s="1069"/>
      <c r="I22" s="904"/>
      <c r="J22" s="904"/>
      <c r="K22" s="1069"/>
      <c r="L22" s="904"/>
      <c r="M22" s="1069"/>
      <c r="N22" s="904"/>
      <c r="P22" s="1070"/>
      <c r="Q22" s="1068"/>
    </row>
    <row r="23" spans="1:17" x14ac:dyDescent="0.2">
      <c r="A23" s="745" t="s">
        <v>2681</v>
      </c>
      <c r="B23" s="745"/>
      <c r="C23" s="745"/>
      <c r="D23" s="745"/>
      <c r="E23" s="745"/>
      <c r="F23" s="745"/>
      <c r="G23" s="745"/>
      <c r="H23" s="745"/>
      <c r="I23" s="745"/>
      <c r="J23" s="745"/>
      <c r="K23" s="745"/>
    </row>
    <row r="24" spans="1:17" x14ac:dyDescent="0.2">
      <c r="A24" s="2"/>
      <c r="B24" s="2"/>
      <c r="C24" s="2"/>
      <c r="D24" s="903"/>
      <c r="E24" s="904"/>
      <c r="F24" s="904"/>
      <c r="G24" s="1072"/>
      <c r="H24" s="1072"/>
      <c r="I24" s="904"/>
      <c r="J24" s="904"/>
      <c r="K24" s="1065"/>
    </row>
    <row r="25" spans="1:17" ht="10.5" customHeight="1" x14ac:dyDescent="0.2">
      <c r="A25" s="2"/>
      <c r="B25" s="309"/>
      <c r="C25" s="309"/>
      <c r="D25" s="903"/>
      <c r="E25" s="904"/>
      <c r="F25" s="904"/>
      <c r="G25" s="1072"/>
      <c r="H25" s="1072"/>
      <c r="I25" s="904"/>
      <c r="J25" s="904"/>
      <c r="K25" s="1065"/>
    </row>
    <row r="26" spans="1:17" x14ac:dyDescent="0.2">
      <c r="B26" s="706" t="s">
        <v>547</v>
      </c>
    </row>
    <row r="27" spans="1:17" x14ac:dyDescent="0.2">
      <c r="B27" s="955">
        <v>2009</v>
      </c>
      <c r="C27" s="955">
        <v>2010</v>
      </c>
      <c r="D27" s="955">
        <v>2011</v>
      </c>
      <c r="E27" s="955">
        <v>2012</v>
      </c>
      <c r="F27" s="955">
        <v>2013</v>
      </c>
    </row>
    <row r="28" spans="1:17" x14ac:dyDescent="0.2">
      <c r="B28" s="956">
        <v>4462</v>
      </c>
      <c r="C28" s="956">
        <v>5107</v>
      </c>
      <c r="D28" s="956">
        <v>5720</v>
      </c>
      <c r="E28" s="433">
        <v>6045</v>
      </c>
      <c r="F28" s="956">
        <f>+J6</f>
        <v>5952</v>
      </c>
      <c r="G28" s="903"/>
    </row>
    <row r="91" spans="1:10" s="717" customFormat="1" ht="12.75" customHeight="1" x14ac:dyDescent="0.2">
      <c r="A91" s="141"/>
      <c r="B91" s="705"/>
      <c r="C91" s="705"/>
      <c r="D91" s="705"/>
      <c r="E91" s="705"/>
      <c r="F91" s="705"/>
      <c r="G91" s="705"/>
      <c r="H91" s="705"/>
      <c r="I91" s="705"/>
      <c r="J91" s="705"/>
    </row>
    <row r="115" spans="1:11" x14ac:dyDescent="0.2">
      <c r="A115" s="1010"/>
      <c r="B115" s="2"/>
      <c r="C115" s="2"/>
      <c r="D115" s="903"/>
      <c r="E115" s="904"/>
      <c r="F115" s="904"/>
      <c r="G115" s="1072"/>
      <c r="H115" s="1072"/>
      <c r="I115" s="904"/>
      <c r="J115" s="904"/>
      <c r="K115" s="1065"/>
    </row>
  </sheetData>
  <mergeCells count="8">
    <mergeCell ref="A23:K23"/>
    <mergeCell ref="A2:K2"/>
    <mergeCell ref="A4:A5"/>
    <mergeCell ref="B4:C4"/>
    <mergeCell ref="D4:E4"/>
    <mergeCell ref="F4:G4"/>
    <mergeCell ref="H4:I4"/>
    <mergeCell ref="J4:K4"/>
  </mergeCells>
  <pageMargins left="0.7" right="0.7" top="0.75" bottom="0.75" header="0.3" footer="0.3"/>
  <pageSetup paperSize="14" scale="91" orientation="landscape" r:id="rId1"/>
  <drawing r:id="rId2"/>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4F4957-AD46-496B-88DA-F0754F53A34B}">
  <sheetPr codeName="Hoja212"/>
  <dimension ref="A1:Z268"/>
  <sheetViews>
    <sheetView zoomScaleSheetLayoutView="100" workbookViewId="0">
      <selection activeCell="A53" sqref="A53"/>
    </sheetView>
  </sheetViews>
  <sheetFormatPr baseColWidth="10" defaultColWidth="11.44140625" defaultRowHeight="10.199999999999999" x14ac:dyDescent="0.2"/>
  <cols>
    <col min="1" max="1" width="23.5546875" style="141" customWidth="1"/>
    <col min="2" max="2" width="15.44140625" style="141" customWidth="1"/>
    <col min="3" max="3" width="13.109375" style="141" bestFit="1" customWidth="1"/>
    <col min="4" max="4" width="13.33203125" style="141" customWidth="1"/>
    <col min="5" max="5" width="11.109375" style="141" bestFit="1" customWidth="1"/>
    <col min="6" max="6" width="11.44140625" style="141"/>
    <col min="7" max="7" width="11" style="141" customWidth="1"/>
    <col min="8" max="10" width="11.109375" style="141" customWidth="1"/>
    <col min="11" max="11" width="11.5546875" style="141" customWidth="1"/>
    <col min="12" max="15" width="11.33203125" style="141" customWidth="1"/>
    <col min="16" max="16384" width="11.44140625" style="141"/>
  </cols>
  <sheetData>
    <row r="1" spans="1:26" x14ac:dyDescent="0.2">
      <c r="A1" s="691"/>
    </row>
    <row r="2" spans="1:26" x14ac:dyDescent="0.2">
      <c r="A2" s="1057" t="s">
        <v>2534</v>
      </c>
      <c r="B2" s="1057"/>
      <c r="C2" s="1057"/>
      <c r="D2" s="1057"/>
      <c r="E2" s="1057"/>
      <c r="F2" s="1057"/>
      <c r="G2" s="1057"/>
      <c r="H2" s="1057"/>
      <c r="I2" s="1057"/>
      <c r="J2" s="1057"/>
      <c r="K2" s="1057"/>
      <c r="L2" s="706"/>
      <c r="M2" s="706"/>
      <c r="N2" s="706"/>
      <c r="P2" s="706"/>
      <c r="Q2" s="722"/>
      <c r="R2" s="722"/>
      <c r="S2" s="722"/>
      <c r="T2" s="722"/>
      <c r="U2" s="722"/>
      <c r="V2" s="722"/>
      <c r="W2" s="722"/>
      <c r="X2" s="722"/>
      <c r="Y2" s="722"/>
      <c r="Z2" s="722"/>
    </row>
    <row r="3" spans="1:26" x14ac:dyDescent="0.2">
      <c r="A3" s="706"/>
      <c r="P3" s="706"/>
      <c r="V3" s="904"/>
    </row>
    <row r="4" spans="1:26" s="750" customFormat="1" ht="14.25" customHeight="1" x14ac:dyDescent="0.2">
      <c r="A4" s="716" t="s">
        <v>2590</v>
      </c>
      <c r="B4" s="716">
        <v>2009</v>
      </c>
      <c r="C4" s="716"/>
      <c r="D4" s="716">
        <v>2010</v>
      </c>
      <c r="E4" s="716"/>
      <c r="F4" s="768">
        <v>2011</v>
      </c>
      <c r="G4" s="852"/>
      <c r="H4" s="768">
        <v>2012</v>
      </c>
      <c r="I4" s="769"/>
      <c r="J4" s="768">
        <v>2013</v>
      </c>
      <c r="K4" s="769"/>
      <c r="M4" s="711"/>
      <c r="O4" s="1073"/>
      <c r="P4" s="1074"/>
      <c r="Q4" s="1074"/>
      <c r="R4" s="1074"/>
      <c r="S4" s="1074"/>
      <c r="T4" s="1074"/>
      <c r="U4" s="1074"/>
      <c r="V4" s="1074"/>
      <c r="W4" s="1074"/>
      <c r="X4" s="1074"/>
      <c r="Y4" s="1074"/>
    </row>
    <row r="5" spans="1:26" s="750" customFormat="1" ht="14.25" customHeight="1" x14ac:dyDescent="0.2">
      <c r="A5" s="716"/>
      <c r="B5" s="453" t="s">
        <v>2680</v>
      </c>
      <c r="C5" s="453" t="s">
        <v>801</v>
      </c>
      <c r="D5" s="453" t="s">
        <v>2680</v>
      </c>
      <c r="E5" s="453" t="s">
        <v>801</v>
      </c>
      <c r="F5" s="453" t="s">
        <v>2680</v>
      </c>
      <c r="G5" s="453" t="s">
        <v>801</v>
      </c>
      <c r="H5" s="453" t="s">
        <v>2680</v>
      </c>
      <c r="I5" s="453" t="s">
        <v>801</v>
      </c>
      <c r="J5" s="453" t="s">
        <v>2680</v>
      </c>
      <c r="K5" s="453" t="s">
        <v>801</v>
      </c>
      <c r="S5" s="1075"/>
    </row>
    <row r="6" spans="1:26" x14ac:dyDescent="0.2">
      <c r="A6" s="712" t="s">
        <v>3</v>
      </c>
      <c r="B6" s="753">
        <f t="shared" ref="B6:K6" si="0">SUM(B7:B21)</f>
        <v>4462</v>
      </c>
      <c r="C6" s="1076">
        <f t="shared" si="0"/>
        <v>1</v>
      </c>
      <c r="D6" s="753">
        <f t="shared" si="0"/>
        <v>5107</v>
      </c>
      <c r="E6" s="1076">
        <f t="shared" si="0"/>
        <v>0.99999999999999989</v>
      </c>
      <c r="F6" s="753">
        <f t="shared" si="0"/>
        <v>5720</v>
      </c>
      <c r="G6" s="1076">
        <f t="shared" si="0"/>
        <v>1</v>
      </c>
      <c r="H6" s="753">
        <f t="shared" si="0"/>
        <v>6045</v>
      </c>
      <c r="I6" s="1076">
        <f t="shared" si="0"/>
        <v>1.0000000000000002</v>
      </c>
      <c r="J6" s="753">
        <f t="shared" si="0"/>
        <v>5952</v>
      </c>
      <c r="K6" s="1076">
        <f t="shared" si="0"/>
        <v>1</v>
      </c>
      <c r="M6" s="714"/>
      <c r="N6" s="903"/>
      <c r="O6" s="1065"/>
      <c r="P6" s="903"/>
      <c r="Q6" s="1065"/>
      <c r="R6" s="903"/>
      <c r="S6" s="904"/>
      <c r="T6" s="1065"/>
    </row>
    <row r="7" spans="1:26" x14ac:dyDescent="0.2">
      <c r="A7" s="141" t="s">
        <v>2682</v>
      </c>
      <c r="B7" s="459">
        <v>248</v>
      </c>
      <c r="C7" s="1065">
        <f>+B7/$B$6</f>
        <v>5.5580457194083374E-2</v>
      </c>
      <c r="D7" s="459">
        <v>254</v>
      </c>
      <c r="E7" s="1065">
        <f>+D7/$D$6</f>
        <v>4.9735656941452905E-2</v>
      </c>
      <c r="F7" s="1066">
        <v>261</v>
      </c>
      <c r="G7" s="1065">
        <f>+F7/$F$6</f>
        <v>4.5629370629370627E-2</v>
      </c>
      <c r="H7" s="1066">
        <v>254</v>
      </c>
      <c r="I7" s="1065">
        <f>+H7/$H$6</f>
        <v>4.2018196856906533E-2</v>
      </c>
      <c r="J7" s="1066">
        <v>301</v>
      </c>
      <c r="K7" s="1065">
        <f>+J7/$J$6</f>
        <v>5.0571236559139782E-2</v>
      </c>
      <c r="N7" s="459"/>
      <c r="O7" s="1065"/>
      <c r="P7" s="1066"/>
      <c r="Q7" s="1065"/>
      <c r="R7" s="1066"/>
      <c r="S7" s="904"/>
      <c r="T7" s="1065"/>
    </row>
    <row r="8" spans="1:26" x14ac:dyDescent="0.2">
      <c r="A8" s="141" t="s">
        <v>2683</v>
      </c>
      <c r="B8" s="459">
        <v>103</v>
      </c>
      <c r="C8" s="1065">
        <f t="shared" ref="C8:C21" si="1">+B8/$B$6</f>
        <v>2.3083818915284625E-2</v>
      </c>
      <c r="D8" s="459">
        <v>165</v>
      </c>
      <c r="E8" s="1065">
        <f t="shared" ref="E8:E21" si="2">+D8/$D$6</f>
        <v>3.2308596044644602E-2</v>
      </c>
      <c r="F8" s="1066">
        <v>157</v>
      </c>
      <c r="G8" s="1065">
        <f t="shared" ref="G8:G21" si="3">+F8/$F$6</f>
        <v>2.7447552447552447E-2</v>
      </c>
      <c r="H8" s="1066">
        <v>219</v>
      </c>
      <c r="I8" s="1065">
        <f t="shared" ref="I8:I21" si="4">+H8/$H$6</f>
        <v>3.6228287841191066E-2</v>
      </c>
      <c r="J8" s="1066">
        <v>233</v>
      </c>
      <c r="K8" s="1065">
        <f t="shared" ref="K8:K21" si="5">+J8/$J$6</f>
        <v>3.9146505376344086E-2</v>
      </c>
      <c r="N8" s="459"/>
      <c r="O8" s="1065"/>
      <c r="P8" s="1066"/>
      <c r="Q8" s="1065"/>
      <c r="R8" s="1066"/>
      <c r="S8" s="904"/>
      <c r="T8" s="1065"/>
    </row>
    <row r="9" spans="1:26" x14ac:dyDescent="0.2">
      <c r="A9" s="141" t="s">
        <v>2566</v>
      </c>
      <c r="B9" s="459">
        <v>166</v>
      </c>
      <c r="C9" s="1065">
        <f t="shared" si="1"/>
        <v>3.7203047960555805E-2</v>
      </c>
      <c r="D9" s="459">
        <v>108</v>
      </c>
      <c r="E9" s="1065">
        <f t="shared" si="2"/>
        <v>2.1147444683767377E-2</v>
      </c>
      <c r="F9" s="1066">
        <v>204</v>
      </c>
      <c r="G9" s="1065">
        <f t="shared" si="3"/>
        <v>3.5664335664335661E-2</v>
      </c>
      <c r="H9" s="1066">
        <v>89</v>
      </c>
      <c r="I9" s="1065">
        <f t="shared" si="4"/>
        <v>1.4722911497105046E-2</v>
      </c>
      <c r="J9" s="1066">
        <v>121</v>
      </c>
      <c r="K9" s="1065">
        <f t="shared" si="5"/>
        <v>2.0329301075268816E-2</v>
      </c>
      <c r="N9" s="459"/>
      <c r="O9" s="1065"/>
      <c r="P9" s="1066"/>
      <c r="Q9" s="1065"/>
      <c r="R9" s="1066"/>
      <c r="S9" s="904"/>
      <c r="T9" s="1065"/>
    </row>
    <row r="10" spans="1:26" x14ac:dyDescent="0.2">
      <c r="A10" s="141" t="s">
        <v>2567</v>
      </c>
      <c r="B10" s="459">
        <v>341</v>
      </c>
      <c r="C10" s="1065">
        <f t="shared" si="1"/>
        <v>7.6423128641864638E-2</v>
      </c>
      <c r="D10" s="459">
        <v>359</v>
      </c>
      <c r="E10" s="1065">
        <f t="shared" si="2"/>
        <v>7.0295672606226753E-2</v>
      </c>
      <c r="F10" s="1066">
        <v>393</v>
      </c>
      <c r="G10" s="1065">
        <f t="shared" si="3"/>
        <v>6.8706293706293706E-2</v>
      </c>
      <c r="H10" s="1066">
        <v>465</v>
      </c>
      <c r="I10" s="1065">
        <f t="shared" si="4"/>
        <v>7.6923076923076927E-2</v>
      </c>
      <c r="J10" s="1066">
        <v>545</v>
      </c>
      <c r="K10" s="1065">
        <f t="shared" si="5"/>
        <v>9.1565860215053765E-2</v>
      </c>
      <c r="N10" s="459"/>
      <c r="O10" s="1065"/>
      <c r="P10" s="1066"/>
      <c r="Q10" s="1065"/>
      <c r="R10" s="1066"/>
      <c r="S10" s="904"/>
      <c r="T10" s="1065"/>
    </row>
    <row r="11" spans="1:26" x14ac:dyDescent="0.2">
      <c r="A11" s="141" t="s">
        <v>2684</v>
      </c>
      <c r="B11" s="459">
        <v>85</v>
      </c>
      <c r="C11" s="1065">
        <f t="shared" si="1"/>
        <v>1.9049753473778575E-2</v>
      </c>
      <c r="D11" s="459">
        <v>90</v>
      </c>
      <c r="E11" s="1065">
        <f t="shared" si="2"/>
        <v>1.7622870569806149E-2</v>
      </c>
      <c r="F11" s="1066">
        <v>90</v>
      </c>
      <c r="G11" s="1065">
        <f t="shared" si="3"/>
        <v>1.5734265734265736E-2</v>
      </c>
      <c r="H11" s="1066">
        <v>88</v>
      </c>
      <c r="I11" s="1065">
        <f t="shared" si="4"/>
        <v>1.4557485525227461E-2</v>
      </c>
      <c r="J11" s="1066">
        <v>106</v>
      </c>
      <c r="K11" s="1065">
        <f t="shared" si="5"/>
        <v>1.7809139784946238E-2</v>
      </c>
      <c r="N11" s="459"/>
      <c r="O11" s="1065"/>
      <c r="P11" s="1066"/>
      <c r="Q11" s="1065"/>
      <c r="R11" s="1066"/>
      <c r="S11" s="904"/>
      <c r="T11" s="1065"/>
    </row>
    <row r="12" spans="1:26" x14ac:dyDescent="0.2">
      <c r="A12" s="141" t="s">
        <v>2685</v>
      </c>
      <c r="B12" s="459">
        <v>322</v>
      </c>
      <c r="C12" s="1065">
        <f t="shared" si="1"/>
        <v>7.2164948453608241E-2</v>
      </c>
      <c r="D12" s="459">
        <v>341</v>
      </c>
      <c r="E12" s="1065">
        <f t="shared" si="2"/>
        <v>6.6771098492265521E-2</v>
      </c>
      <c r="F12" s="1066">
        <v>466</v>
      </c>
      <c r="G12" s="1065">
        <f t="shared" si="3"/>
        <v>8.1468531468531474E-2</v>
      </c>
      <c r="H12" s="1066">
        <v>371</v>
      </c>
      <c r="I12" s="1065">
        <f t="shared" si="4"/>
        <v>6.1373035566583953E-2</v>
      </c>
      <c r="J12" s="1066">
        <v>366</v>
      </c>
      <c r="K12" s="1065">
        <f t="shared" si="5"/>
        <v>6.1491935483870969E-2</v>
      </c>
      <c r="N12" s="459"/>
      <c r="O12" s="1065"/>
      <c r="P12" s="1066"/>
      <c r="Q12" s="1065"/>
      <c r="R12" s="1066"/>
      <c r="S12" s="904"/>
      <c r="T12" s="1065"/>
    </row>
    <row r="13" spans="1:26" x14ac:dyDescent="0.2">
      <c r="A13" s="141" t="s">
        <v>2686</v>
      </c>
      <c r="B13" s="459">
        <v>40</v>
      </c>
      <c r="C13" s="1065">
        <f t="shared" si="1"/>
        <v>8.9645898700134469E-3</v>
      </c>
      <c r="D13" s="459">
        <v>60</v>
      </c>
      <c r="E13" s="1065">
        <f t="shared" si="2"/>
        <v>1.1748580379870765E-2</v>
      </c>
      <c r="F13" s="1066">
        <v>40</v>
      </c>
      <c r="G13" s="1065">
        <f t="shared" si="3"/>
        <v>6.993006993006993E-3</v>
      </c>
      <c r="H13" s="1066">
        <v>33</v>
      </c>
      <c r="I13" s="1065">
        <f t="shared" si="4"/>
        <v>5.4590570719602978E-3</v>
      </c>
      <c r="J13" s="1066">
        <v>42</v>
      </c>
      <c r="K13" s="1065">
        <f t="shared" si="5"/>
        <v>7.0564516129032256E-3</v>
      </c>
      <c r="N13" s="459"/>
      <c r="O13" s="1065"/>
      <c r="P13" s="1066"/>
      <c r="Q13" s="1065"/>
      <c r="R13" s="1066"/>
      <c r="S13" s="904"/>
      <c r="T13" s="1065"/>
    </row>
    <row r="14" spans="1:26" x14ac:dyDescent="0.2">
      <c r="A14" s="141" t="s">
        <v>40</v>
      </c>
      <c r="B14" s="459">
        <v>579</v>
      </c>
      <c r="C14" s="1065">
        <f t="shared" si="1"/>
        <v>0.12976243836844464</v>
      </c>
      <c r="D14" s="459">
        <v>755</v>
      </c>
      <c r="E14" s="1065">
        <f t="shared" si="2"/>
        <v>0.14783630311337381</v>
      </c>
      <c r="F14" s="1066">
        <v>816</v>
      </c>
      <c r="G14" s="1065">
        <f t="shared" si="3"/>
        <v>0.14265734265734265</v>
      </c>
      <c r="H14" s="1066">
        <v>1420</v>
      </c>
      <c r="I14" s="1065">
        <f t="shared" si="4"/>
        <v>0.23490488006617039</v>
      </c>
      <c r="J14" s="1069">
        <v>940</v>
      </c>
      <c r="K14" s="1065">
        <f t="shared" si="5"/>
        <v>0.15793010752688172</v>
      </c>
      <c r="N14" s="459"/>
      <c r="O14" s="1065"/>
      <c r="P14" s="1066"/>
      <c r="Q14" s="1065"/>
      <c r="R14" s="1066"/>
      <c r="S14" s="904"/>
      <c r="T14" s="1065"/>
    </row>
    <row r="15" spans="1:26" x14ac:dyDescent="0.2">
      <c r="A15" s="141" t="s">
        <v>2687</v>
      </c>
      <c r="B15" s="459">
        <v>27</v>
      </c>
      <c r="C15" s="1065">
        <f t="shared" si="1"/>
        <v>6.0510981622590764E-3</v>
      </c>
      <c r="D15" s="459">
        <v>5</v>
      </c>
      <c r="E15" s="1065">
        <f t="shared" si="2"/>
        <v>9.790483649892304E-4</v>
      </c>
      <c r="F15" s="1066">
        <v>9</v>
      </c>
      <c r="G15" s="1065">
        <f t="shared" si="3"/>
        <v>1.5734265734265735E-3</v>
      </c>
      <c r="H15" s="1066">
        <v>19</v>
      </c>
      <c r="I15" s="1065">
        <f t="shared" si="4"/>
        <v>3.1430934656741108E-3</v>
      </c>
      <c r="J15" s="1066">
        <v>6</v>
      </c>
      <c r="K15" s="1065">
        <f t="shared" si="5"/>
        <v>1.0080645161290322E-3</v>
      </c>
      <c r="N15" s="459"/>
      <c r="O15" s="1065"/>
      <c r="P15" s="1066"/>
      <c r="Q15" s="1065"/>
      <c r="R15" s="1066"/>
      <c r="S15" s="904"/>
      <c r="T15" s="1065"/>
    </row>
    <row r="16" spans="1:26" x14ac:dyDescent="0.2">
      <c r="A16" s="141" t="s">
        <v>2688</v>
      </c>
      <c r="B16" s="459">
        <v>75</v>
      </c>
      <c r="C16" s="1065">
        <f t="shared" si="1"/>
        <v>1.6808606006275213E-2</v>
      </c>
      <c r="D16" s="459">
        <v>76</v>
      </c>
      <c r="E16" s="1065">
        <f t="shared" si="2"/>
        <v>1.4881535147836304E-2</v>
      </c>
      <c r="F16" s="1066">
        <v>63</v>
      </c>
      <c r="G16" s="1065">
        <f t="shared" si="3"/>
        <v>1.1013986013986014E-2</v>
      </c>
      <c r="H16" s="1066">
        <v>100</v>
      </c>
      <c r="I16" s="1065">
        <f t="shared" si="4"/>
        <v>1.6542597187758478E-2</v>
      </c>
      <c r="J16" s="1066">
        <v>78</v>
      </c>
      <c r="K16" s="1065">
        <f t="shared" si="5"/>
        <v>1.310483870967742E-2</v>
      </c>
      <c r="N16" s="459"/>
      <c r="O16" s="1065"/>
      <c r="P16" s="1066"/>
      <c r="Q16" s="1065"/>
      <c r="R16" s="1066"/>
      <c r="S16" s="904"/>
      <c r="T16" s="1065"/>
    </row>
    <row r="17" spans="1:23" x14ac:dyDescent="0.2">
      <c r="A17" s="141" t="s">
        <v>2689</v>
      </c>
      <c r="B17" s="459">
        <v>127</v>
      </c>
      <c r="C17" s="1065">
        <f t="shared" si="1"/>
        <v>2.8462572837292695E-2</v>
      </c>
      <c r="D17" s="459">
        <v>141</v>
      </c>
      <c r="E17" s="1065">
        <f t="shared" si="2"/>
        <v>2.7609163892696298E-2</v>
      </c>
      <c r="F17" s="1066">
        <v>163</v>
      </c>
      <c r="G17" s="1065">
        <f t="shared" si="3"/>
        <v>2.8496503496503497E-2</v>
      </c>
      <c r="H17" s="1066">
        <v>189</v>
      </c>
      <c r="I17" s="1065">
        <f t="shared" si="4"/>
        <v>3.1265508684863524E-2</v>
      </c>
      <c r="J17" s="1066">
        <v>84</v>
      </c>
      <c r="K17" s="1065">
        <f t="shared" si="5"/>
        <v>1.4112903225806451E-2</v>
      </c>
      <c r="N17" s="459"/>
      <c r="O17" s="1065"/>
      <c r="P17" s="1066"/>
      <c r="Q17" s="1065"/>
      <c r="R17" s="1066"/>
      <c r="S17" s="904"/>
      <c r="T17" s="1065"/>
    </row>
    <row r="18" spans="1:23" x14ac:dyDescent="0.2">
      <c r="A18" s="141" t="s">
        <v>2690</v>
      </c>
      <c r="B18" s="459">
        <v>339</v>
      </c>
      <c r="C18" s="1065">
        <f t="shared" si="1"/>
        <v>7.5974899148363959E-2</v>
      </c>
      <c r="D18" s="459">
        <v>465</v>
      </c>
      <c r="E18" s="1065">
        <f t="shared" si="2"/>
        <v>9.105149794399843E-2</v>
      </c>
      <c r="F18" s="1066">
        <v>333</v>
      </c>
      <c r="G18" s="1065">
        <f t="shared" si="3"/>
        <v>5.8216783216783217E-2</v>
      </c>
      <c r="H18" s="1066">
        <v>317</v>
      </c>
      <c r="I18" s="1065">
        <f t="shared" si="4"/>
        <v>5.2440033085194376E-2</v>
      </c>
      <c r="J18" s="1066">
        <v>274</v>
      </c>
      <c r="K18" s="1065">
        <f t="shared" si="5"/>
        <v>4.6034946236559141E-2</v>
      </c>
      <c r="N18" s="459"/>
      <c r="O18" s="1065"/>
      <c r="P18" s="1066"/>
      <c r="Q18" s="1065"/>
      <c r="R18" s="1066"/>
      <c r="S18" s="904"/>
      <c r="T18" s="1065"/>
    </row>
    <row r="19" spans="1:23" x14ac:dyDescent="0.2">
      <c r="A19" s="141" t="s">
        <v>2691</v>
      </c>
      <c r="B19" s="459">
        <v>346</v>
      </c>
      <c r="C19" s="1065">
        <f t="shared" si="1"/>
        <v>7.7543702375616322E-2</v>
      </c>
      <c r="D19" s="459">
        <v>330</v>
      </c>
      <c r="E19" s="1065">
        <f t="shared" si="2"/>
        <v>6.4617192089289205E-2</v>
      </c>
      <c r="F19" s="1066">
        <v>326</v>
      </c>
      <c r="G19" s="1065">
        <f t="shared" si="3"/>
        <v>5.6993006993006995E-2</v>
      </c>
      <c r="H19" s="1066">
        <v>352</v>
      </c>
      <c r="I19" s="1065">
        <f t="shared" si="4"/>
        <v>5.8229942100909843E-2</v>
      </c>
      <c r="J19" s="1066">
        <v>352</v>
      </c>
      <c r="K19" s="1065">
        <f t="shared" si="5"/>
        <v>5.9139784946236562E-2</v>
      </c>
      <c r="N19" s="459"/>
      <c r="O19" s="1065"/>
      <c r="P19" s="1066"/>
      <c r="Q19" s="1065"/>
      <c r="R19" s="1066"/>
      <c r="S19" s="904"/>
      <c r="T19" s="1065"/>
    </row>
    <row r="20" spans="1:23" x14ac:dyDescent="0.2">
      <c r="A20" s="141" t="s">
        <v>32</v>
      </c>
      <c r="B20" s="950">
        <v>1369</v>
      </c>
      <c r="C20" s="1065">
        <f t="shared" si="1"/>
        <v>0.30681308830121024</v>
      </c>
      <c r="D20" s="950">
        <v>1625</v>
      </c>
      <c r="E20" s="1065">
        <f t="shared" si="2"/>
        <v>0.31819071862149989</v>
      </c>
      <c r="F20" s="1069">
        <v>2088</v>
      </c>
      <c r="G20" s="1065">
        <f t="shared" si="3"/>
        <v>0.36503496503496502</v>
      </c>
      <c r="H20" s="1069">
        <v>1878</v>
      </c>
      <c r="I20" s="1065">
        <f t="shared" si="4"/>
        <v>0.31066997518610423</v>
      </c>
      <c r="J20" s="1069">
        <v>2142</v>
      </c>
      <c r="K20" s="1065">
        <f t="shared" si="5"/>
        <v>0.3598790322580645</v>
      </c>
      <c r="N20" s="950"/>
      <c r="O20" s="1065"/>
      <c r="P20" s="1069"/>
      <c r="Q20" s="1065"/>
      <c r="R20" s="1069"/>
      <c r="S20" s="904"/>
      <c r="T20" s="1065"/>
    </row>
    <row r="21" spans="1:23" x14ac:dyDescent="0.2">
      <c r="A21" s="141" t="s">
        <v>2692</v>
      </c>
      <c r="B21" s="459">
        <v>295</v>
      </c>
      <c r="C21" s="1065">
        <f t="shared" si="1"/>
        <v>6.6113850291349169E-2</v>
      </c>
      <c r="D21" s="459">
        <v>333</v>
      </c>
      <c r="E21" s="1065">
        <f t="shared" si="2"/>
        <v>6.5204621108282748E-2</v>
      </c>
      <c r="F21" s="1066">
        <v>311</v>
      </c>
      <c r="G21" s="1065">
        <f t="shared" si="3"/>
        <v>5.4370629370629371E-2</v>
      </c>
      <c r="H21" s="1066">
        <v>251</v>
      </c>
      <c r="I21" s="1065">
        <f t="shared" si="4"/>
        <v>4.1521918941273779E-2</v>
      </c>
      <c r="J21" s="1066">
        <v>362</v>
      </c>
      <c r="K21" s="1065">
        <f t="shared" si="5"/>
        <v>6.0819892473118281E-2</v>
      </c>
      <c r="N21" s="459"/>
      <c r="O21" s="1065"/>
      <c r="P21" s="1066"/>
      <c r="Q21" s="1065"/>
      <c r="R21" s="1066"/>
      <c r="S21" s="904"/>
      <c r="T21" s="1065"/>
    </row>
    <row r="22" spans="1:23" ht="8.25" customHeight="1" x14ac:dyDescent="0.2">
      <c r="B22" s="459"/>
      <c r="C22" s="1065"/>
      <c r="D22" s="459"/>
      <c r="E22" s="1065"/>
      <c r="F22" s="1065"/>
      <c r="G22" s="1066"/>
      <c r="H22" s="1066"/>
      <c r="I22" s="1065"/>
      <c r="J22" s="1065"/>
      <c r="K22" s="1066"/>
      <c r="L22" s="1065"/>
      <c r="M22" s="1066"/>
      <c r="N22" s="1065"/>
      <c r="Q22" s="459"/>
      <c r="R22" s="1065"/>
      <c r="S22" s="1066"/>
      <c r="T22" s="1065"/>
      <c r="U22" s="1066"/>
      <c r="V22" s="904"/>
      <c r="W22" s="1065"/>
    </row>
    <row r="23" spans="1:23" x14ac:dyDescent="0.2">
      <c r="A23" s="745" t="s">
        <v>2681</v>
      </c>
      <c r="B23" s="745"/>
      <c r="C23" s="745"/>
      <c r="D23" s="745"/>
      <c r="E23" s="745"/>
      <c r="F23" s="745"/>
      <c r="G23" s="745"/>
      <c r="H23" s="745"/>
      <c r="I23" s="745"/>
      <c r="J23" s="745"/>
      <c r="K23" s="745"/>
    </row>
    <row r="24" spans="1:23" s="717" customFormat="1" x14ac:dyDescent="0.25"/>
    <row r="25" spans="1:23" ht="8.25" customHeight="1" x14ac:dyDescent="0.2"/>
    <row r="55" spans="1:26" x14ac:dyDescent="0.2">
      <c r="A55" s="691"/>
    </row>
    <row r="56" spans="1:26" x14ac:dyDescent="0.2">
      <c r="A56" s="1077"/>
      <c r="B56" s="1077"/>
      <c r="C56" s="1077"/>
      <c r="D56" s="1077"/>
      <c r="E56" s="1077"/>
      <c r="F56" s="1077"/>
      <c r="G56" s="1077"/>
      <c r="H56" s="1077"/>
      <c r="I56" s="1077"/>
      <c r="J56" s="1077"/>
      <c r="K56" s="1077"/>
      <c r="L56" s="1077"/>
      <c r="M56" s="1077"/>
      <c r="N56" s="1077"/>
      <c r="P56" s="706"/>
      <c r="Q56" s="1078"/>
      <c r="R56" s="1078"/>
      <c r="S56" s="1078"/>
      <c r="T56" s="1078"/>
      <c r="U56" s="1078"/>
      <c r="V56" s="1078"/>
      <c r="W56" s="1078"/>
      <c r="X56" s="1078"/>
      <c r="Y56" s="1078"/>
      <c r="Z56" s="1078"/>
    </row>
    <row r="57" spans="1:26" s="859" customFormat="1" ht="21" customHeight="1" x14ac:dyDescent="0.2">
      <c r="A57" s="1079"/>
      <c r="B57" s="1079"/>
      <c r="C57" s="1079"/>
      <c r="D57" s="1079"/>
      <c r="E57" s="1079"/>
      <c r="F57" s="1079"/>
      <c r="G57" s="1079"/>
      <c r="H57" s="1079"/>
      <c r="I57" s="1079"/>
      <c r="J57" s="1079"/>
      <c r="K57" s="1079"/>
      <c r="L57" s="1080"/>
      <c r="M57" s="1080"/>
      <c r="N57" s="1080"/>
      <c r="P57" s="1081"/>
      <c r="Q57" s="1082"/>
      <c r="R57" s="1082"/>
      <c r="S57" s="1082"/>
      <c r="T57" s="1082"/>
      <c r="U57" s="1082"/>
      <c r="V57" s="1082"/>
      <c r="W57" s="1082"/>
      <c r="X57" s="1082"/>
      <c r="Y57" s="1082"/>
      <c r="Z57" s="1082"/>
    </row>
    <row r="58" spans="1:26" ht="10.5" customHeight="1" x14ac:dyDescent="0.2">
      <c r="A58" s="1077"/>
      <c r="B58" s="1077"/>
      <c r="C58" s="1077"/>
      <c r="D58" s="1077"/>
      <c r="E58" s="1077"/>
      <c r="F58" s="1077"/>
      <c r="G58" s="1077"/>
      <c r="H58" s="1077"/>
      <c r="I58" s="1077"/>
      <c r="J58" s="1077"/>
      <c r="K58" s="1077"/>
      <c r="L58" s="321"/>
      <c r="M58" s="24"/>
      <c r="P58" s="706"/>
      <c r="Q58" s="717"/>
      <c r="R58" s="717"/>
      <c r="S58" s="717"/>
      <c r="T58" s="717"/>
      <c r="U58" s="717"/>
      <c r="V58" s="717"/>
      <c r="W58" s="717"/>
      <c r="X58" s="717"/>
      <c r="Y58" s="717"/>
      <c r="Z58" s="717"/>
    </row>
    <row r="59" spans="1:26" s="717" customFormat="1" ht="14.25" customHeight="1" x14ac:dyDescent="0.25">
      <c r="A59" s="711"/>
      <c r="B59" s="711"/>
      <c r="C59" s="711"/>
      <c r="D59" s="711"/>
      <c r="E59" s="711"/>
      <c r="F59" s="711"/>
      <c r="G59" s="711"/>
      <c r="H59" s="711"/>
      <c r="I59" s="711"/>
      <c r="J59" s="337"/>
      <c r="K59" s="337"/>
      <c r="L59" s="337"/>
      <c r="N59" s="711"/>
      <c r="O59" s="1083"/>
      <c r="P59" s="1083"/>
      <c r="Q59" s="1083"/>
      <c r="R59" s="1083"/>
      <c r="S59" s="1083"/>
      <c r="T59" s="1084"/>
      <c r="U59" s="1083"/>
      <c r="V59" s="1083"/>
      <c r="W59" s="1083"/>
      <c r="X59" s="1083"/>
    </row>
    <row r="60" spans="1:26" s="717" customFormat="1" ht="14.25" customHeight="1" x14ac:dyDescent="0.25">
      <c r="A60" s="711"/>
      <c r="B60" s="776"/>
      <c r="C60" s="776"/>
      <c r="D60" s="776"/>
      <c r="E60" s="776"/>
      <c r="F60" s="776"/>
      <c r="G60" s="776"/>
      <c r="H60" s="776"/>
      <c r="I60" s="776"/>
      <c r="J60" s="776"/>
      <c r="K60" s="776"/>
      <c r="M60" s="724"/>
      <c r="N60" s="857"/>
      <c r="O60" s="1085"/>
      <c r="P60" s="857"/>
      <c r="Q60" s="1085"/>
      <c r="R60" s="857"/>
      <c r="S60" s="1086"/>
      <c r="T60" s="1085"/>
      <c r="U60" s="324"/>
      <c r="V60" s="324"/>
    </row>
    <row r="61" spans="1:26" x14ac:dyDescent="0.2">
      <c r="A61" s="711"/>
      <c r="B61" s="753"/>
      <c r="C61" s="1087"/>
      <c r="D61" s="753"/>
      <c r="E61" s="1087"/>
      <c r="F61" s="753"/>
      <c r="G61" s="1087"/>
      <c r="H61" s="753"/>
      <c r="I61" s="1087"/>
      <c r="J61" s="753"/>
      <c r="K61" s="1087"/>
      <c r="O61" s="1065"/>
      <c r="P61" s="1088"/>
      <c r="Q61" s="1065"/>
      <c r="R61" s="1088"/>
      <c r="S61" s="904"/>
      <c r="T61" s="1065"/>
      <c r="U61" s="2"/>
      <c r="V61" s="2"/>
    </row>
    <row r="62" spans="1:26" x14ac:dyDescent="0.2">
      <c r="C62" s="1065"/>
      <c r="E62" s="1065"/>
      <c r="F62" s="1066"/>
      <c r="G62" s="1065"/>
      <c r="H62" s="1066"/>
      <c r="I62" s="1065"/>
      <c r="J62" s="1066"/>
      <c r="K62" s="1065"/>
      <c r="O62" s="1065"/>
      <c r="P62" s="1088"/>
      <c r="Q62" s="1065"/>
      <c r="R62" s="1088"/>
      <c r="S62" s="904"/>
      <c r="T62" s="1065"/>
    </row>
    <row r="63" spans="1:26" x14ac:dyDescent="0.2">
      <c r="C63" s="1065"/>
      <c r="E63" s="1065"/>
      <c r="F63" s="1066"/>
      <c r="G63" s="1065"/>
      <c r="H63" s="1066"/>
      <c r="I63" s="1065"/>
      <c r="J63" s="1066"/>
      <c r="K63" s="1065"/>
      <c r="O63" s="1065"/>
      <c r="P63" s="1066"/>
      <c r="Q63" s="1065"/>
      <c r="R63" s="1066"/>
      <c r="S63" s="904"/>
      <c r="T63" s="1065"/>
    </row>
    <row r="64" spans="1:26" x14ac:dyDescent="0.2">
      <c r="C64" s="1065"/>
      <c r="E64" s="1065"/>
      <c r="F64" s="1066"/>
      <c r="G64" s="1065"/>
      <c r="H64" s="1066"/>
      <c r="I64" s="1065"/>
      <c r="J64" s="1066"/>
      <c r="K64" s="1065"/>
      <c r="O64" s="1065"/>
      <c r="P64" s="1066"/>
      <c r="Q64" s="1065"/>
      <c r="R64" s="1066"/>
      <c r="S64" s="904"/>
      <c r="T64" s="1065"/>
    </row>
    <row r="65" spans="1:26" x14ac:dyDescent="0.2">
      <c r="C65" s="1065"/>
      <c r="E65" s="1065"/>
      <c r="F65" s="1066"/>
      <c r="G65" s="1065"/>
      <c r="H65" s="1066"/>
      <c r="I65" s="1065"/>
      <c r="J65" s="1066"/>
      <c r="K65" s="1065"/>
      <c r="T65" s="1065"/>
    </row>
    <row r="66" spans="1:26" ht="8.25" customHeight="1" x14ac:dyDescent="0.2">
      <c r="C66" s="1065"/>
      <c r="E66" s="1065"/>
      <c r="F66" s="1065"/>
      <c r="G66" s="1066"/>
      <c r="H66" s="1066"/>
      <c r="I66" s="1065"/>
      <c r="J66" s="1065"/>
      <c r="K66" s="1066"/>
      <c r="L66" s="1065"/>
      <c r="M66" s="1066"/>
      <c r="N66" s="1065"/>
      <c r="W66" s="1065"/>
    </row>
    <row r="67" spans="1:26" ht="29.25" customHeight="1" x14ac:dyDescent="0.2">
      <c r="A67" s="722"/>
      <c r="B67" s="722"/>
      <c r="C67" s="722"/>
      <c r="D67" s="722"/>
      <c r="E67" s="722"/>
      <c r="F67" s="722"/>
      <c r="G67" s="722"/>
      <c r="H67" s="722"/>
      <c r="I67" s="722"/>
      <c r="J67" s="722"/>
      <c r="K67" s="722"/>
      <c r="L67" s="722"/>
      <c r="M67" s="722"/>
      <c r="N67" s="722"/>
    </row>
    <row r="68" spans="1:26" x14ac:dyDescent="0.2">
      <c r="A68" s="2"/>
      <c r="B68" s="2"/>
      <c r="C68" s="2"/>
      <c r="D68" s="2"/>
      <c r="E68" s="2"/>
      <c r="F68" s="2"/>
      <c r="G68" s="2"/>
      <c r="H68" s="2"/>
      <c r="I68" s="2"/>
      <c r="J68" s="2"/>
      <c r="K68" s="2"/>
      <c r="L68" s="1010"/>
      <c r="M68" s="1010"/>
      <c r="N68" s="1010"/>
    </row>
    <row r="70" spans="1:26" x14ac:dyDescent="0.2">
      <c r="A70" s="691"/>
    </row>
    <row r="71" spans="1:26" x14ac:dyDescent="0.2">
      <c r="A71" s="706"/>
      <c r="B71" s="706"/>
      <c r="C71" s="706"/>
      <c r="D71" s="706"/>
      <c r="E71" s="706"/>
      <c r="F71" s="706"/>
      <c r="G71" s="706"/>
      <c r="H71" s="706"/>
      <c r="I71" s="706"/>
      <c r="J71" s="706"/>
      <c r="K71" s="706"/>
    </row>
    <row r="72" spans="1:26" s="859" customFormat="1" x14ac:dyDescent="0.2">
      <c r="A72" s="1081"/>
      <c r="B72" s="1081"/>
      <c r="C72" s="1081"/>
      <c r="D72" s="1081"/>
      <c r="E72" s="1081"/>
      <c r="F72" s="1081"/>
      <c r="G72" s="1081"/>
      <c r="H72" s="1081"/>
      <c r="I72" s="1081"/>
      <c r="J72" s="1081"/>
      <c r="K72" s="1081"/>
    </row>
    <row r="73" spans="1:26" x14ac:dyDescent="0.2">
      <c r="A73" s="706"/>
      <c r="Q73" s="717"/>
      <c r="R73" s="717"/>
      <c r="S73" s="717"/>
      <c r="T73" s="717"/>
      <c r="U73" s="717"/>
      <c r="V73" s="717"/>
      <c r="W73" s="717"/>
      <c r="X73" s="717"/>
      <c r="Y73" s="717"/>
      <c r="Z73" s="717"/>
    </row>
    <row r="74" spans="1:26" ht="16.5" customHeight="1" x14ac:dyDescent="0.2">
      <c r="A74" s="736"/>
      <c r="B74" s="711"/>
      <c r="C74" s="711"/>
      <c r="D74" s="711"/>
      <c r="E74" s="711"/>
      <c r="F74" s="711"/>
      <c r="G74" s="711"/>
      <c r="H74" s="711"/>
      <c r="I74" s="711"/>
      <c r="J74" s="711"/>
      <c r="K74" s="711"/>
      <c r="M74" s="711"/>
      <c r="P74" s="459"/>
      <c r="Q74" s="459"/>
      <c r="R74" s="459"/>
      <c r="S74" s="459"/>
      <c r="T74" s="459"/>
      <c r="U74" s="1089"/>
      <c r="V74" s="459"/>
      <c r="W74" s="459"/>
      <c r="X74" s="459"/>
      <c r="Y74" s="459"/>
    </row>
    <row r="75" spans="1:26" ht="16.5" customHeight="1" x14ac:dyDescent="0.2">
      <c r="A75" s="736"/>
      <c r="B75" s="776"/>
      <c r="C75" s="776"/>
      <c r="D75" s="776"/>
      <c r="E75" s="776"/>
      <c r="F75" s="776"/>
      <c r="G75" s="776"/>
      <c r="H75" s="776"/>
      <c r="I75" s="776"/>
      <c r="J75" s="776"/>
      <c r="K75" s="776"/>
      <c r="M75" s="714"/>
      <c r="N75" s="903"/>
      <c r="O75" s="1065"/>
      <c r="P75" s="903"/>
      <c r="Q75" s="1065"/>
      <c r="R75" s="903"/>
      <c r="S75" s="904"/>
      <c r="T75" s="1065"/>
    </row>
    <row r="76" spans="1:26" x14ac:dyDescent="0.2">
      <c r="A76" s="711"/>
      <c r="B76" s="753"/>
      <c r="C76" s="1087"/>
      <c r="D76" s="753"/>
      <c r="E76" s="1087"/>
      <c r="F76" s="753"/>
      <c r="G76" s="1087"/>
      <c r="H76" s="753"/>
      <c r="I76" s="1087"/>
      <c r="J76" s="753"/>
      <c r="K76" s="1087"/>
      <c r="N76" s="903"/>
      <c r="O76" s="1065"/>
      <c r="P76" s="903"/>
      <c r="Q76" s="1065"/>
      <c r="R76" s="903"/>
      <c r="S76" s="904"/>
      <c r="T76" s="1065"/>
    </row>
    <row r="77" spans="1:26" x14ac:dyDescent="0.2">
      <c r="B77" s="903"/>
      <c r="C77" s="1065"/>
      <c r="D77" s="903"/>
      <c r="E77" s="1065"/>
      <c r="F77" s="903"/>
      <c r="G77" s="1065"/>
      <c r="H77" s="903"/>
      <c r="I77" s="1065"/>
      <c r="J77" s="1069"/>
      <c r="K77" s="1065"/>
      <c r="N77" s="903"/>
      <c r="O77" s="1065"/>
      <c r="P77" s="903"/>
      <c r="Q77" s="1065"/>
      <c r="R77" s="903"/>
      <c r="S77" s="904"/>
      <c r="T77" s="1065"/>
    </row>
    <row r="78" spans="1:26" x14ac:dyDescent="0.2">
      <c r="B78" s="903"/>
      <c r="C78" s="1065"/>
      <c r="D78" s="903"/>
      <c r="E78" s="1065"/>
      <c r="F78" s="903"/>
      <c r="G78" s="1065"/>
      <c r="H78" s="903"/>
      <c r="I78" s="1065"/>
      <c r="J78" s="1066"/>
      <c r="K78" s="1065"/>
      <c r="N78" s="903"/>
      <c r="O78" s="1065"/>
      <c r="P78" s="903"/>
      <c r="Q78" s="1065"/>
      <c r="R78" s="903"/>
      <c r="S78" s="904"/>
    </row>
    <row r="79" spans="1:26" x14ac:dyDescent="0.2">
      <c r="B79" s="903"/>
      <c r="C79" s="1065"/>
      <c r="D79" s="903"/>
      <c r="E79" s="1065"/>
      <c r="F79" s="903"/>
      <c r="G79" s="1065"/>
      <c r="H79" s="903"/>
      <c r="I79" s="1065"/>
      <c r="J79" s="1066"/>
      <c r="K79" s="1065"/>
    </row>
    <row r="80" spans="1:26" ht="7.5" customHeight="1" x14ac:dyDescent="0.2">
      <c r="B80" s="903"/>
      <c r="C80" s="1065"/>
      <c r="D80" s="903"/>
      <c r="E80" s="1065"/>
      <c r="F80" s="1065"/>
      <c r="G80" s="903"/>
      <c r="H80" s="903"/>
      <c r="I80" s="1065"/>
      <c r="J80" s="1065"/>
      <c r="K80" s="903"/>
      <c r="L80" s="1065"/>
      <c r="M80" s="1066"/>
      <c r="N80" s="1065"/>
    </row>
    <row r="81" spans="1:25" ht="10.5" customHeight="1" x14ac:dyDescent="0.2"/>
    <row r="82" spans="1:25" x14ac:dyDescent="0.2">
      <c r="A82" s="336"/>
      <c r="B82" s="336"/>
      <c r="C82" s="336"/>
      <c r="D82" s="336"/>
      <c r="E82" s="336"/>
      <c r="F82" s="336"/>
      <c r="G82" s="336"/>
      <c r="H82" s="336"/>
      <c r="I82" s="336"/>
      <c r="J82" s="336"/>
      <c r="K82" s="336"/>
      <c r="L82" s="1010"/>
      <c r="M82" s="1010"/>
      <c r="N82" s="1010"/>
    </row>
    <row r="83" spans="1:25" x14ac:dyDescent="0.2">
      <c r="A83" s="336"/>
      <c r="B83" s="336"/>
      <c r="C83" s="336"/>
      <c r="D83" s="336"/>
      <c r="E83" s="336"/>
      <c r="F83" s="336"/>
      <c r="G83" s="336"/>
      <c r="H83" s="336"/>
      <c r="I83" s="336"/>
      <c r="J83" s="336"/>
      <c r="K83" s="336"/>
      <c r="L83" s="1010"/>
      <c r="M83" s="1010"/>
      <c r="N83" s="1010"/>
    </row>
    <row r="84" spans="1:25" x14ac:dyDescent="0.2">
      <c r="A84" s="691"/>
    </row>
    <row r="85" spans="1:25" x14ac:dyDescent="0.2">
      <c r="A85" s="706"/>
      <c r="B85" s="706"/>
      <c r="C85" s="706"/>
      <c r="D85" s="706"/>
      <c r="E85" s="706"/>
      <c r="F85" s="706"/>
      <c r="G85" s="706"/>
      <c r="H85" s="706"/>
      <c r="I85" s="706"/>
      <c r="J85" s="706"/>
      <c r="K85" s="706"/>
      <c r="U85" s="904"/>
    </row>
    <row r="86" spans="1:25" s="859" customFormat="1" x14ac:dyDescent="0.2">
      <c r="A86" s="1081"/>
      <c r="B86" s="1081"/>
      <c r="C86" s="1081"/>
      <c r="D86" s="1081"/>
      <c r="E86" s="1081"/>
      <c r="F86" s="1081"/>
      <c r="G86" s="1081"/>
      <c r="H86" s="1081"/>
      <c r="I86" s="1081"/>
      <c r="J86" s="1081"/>
      <c r="K86" s="1081"/>
      <c r="U86" s="1090"/>
    </row>
    <row r="88" spans="1:25" ht="15" customHeight="1" x14ac:dyDescent="0.2">
      <c r="A88" s="711"/>
      <c r="B88" s="736"/>
      <c r="C88" s="736"/>
      <c r="D88" s="736"/>
      <c r="E88" s="736"/>
      <c r="F88" s="736"/>
      <c r="G88" s="736"/>
      <c r="H88" s="736"/>
      <c r="I88" s="736"/>
      <c r="J88" s="736"/>
      <c r="K88" s="736"/>
      <c r="M88" s="736"/>
      <c r="P88" s="1058"/>
      <c r="Q88" s="1058"/>
      <c r="R88" s="1058"/>
      <c r="S88" s="1058"/>
      <c r="T88" s="1058"/>
      <c r="U88" s="1058"/>
      <c r="V88" s="1058"/>
      <c r="W88" s="1058"/>
      <c r="X88" s="1058"/>
      <c r="Y88" s="1058"/>
    </row>
    <row r="89" spans="1:25" ht="15" customHeight="1" x14ac:dyDescent="0.2">
      <c r="A89" s="711"/>
      <c r="B89" s="776"/>
      <c r="C89" s="776"/>
      <c r="D89" s="776"/>
      <c r="E89" s="776"/>
      <c r="F89" s="776"/>
      <c r="G89" s="1091"/>
      <c r="H89" s="776"/>
      <c r="I89" s="776"/>
      <c r="J89" s="776"/>
      <c r="K89" s="776"/>
      <c r="N89" s="459"/>
      <c r="O89" s="459"/>
      <c r="P89" s="459"/>
      <c r="Q89" s="459"/>
      <c r="R89" s="459"/>
      <c r="S89" s="459"/>
      <c r="T89" s="459"/>
      <c r="U89" s="459"/>
      <c r="V89" s="459"/>
      <c r="W89" s="459"/>
    </row>
    <row r="90" spans="1:25" x14ac:dyDescent="0.2">
      <c r="A90" s="711"/>
      <c r="B90" s="787"/>
      <c r="C90" s="1092"/>
      <c r="D90" s="787"/>
      <c r="E90" s="1093"/>
      <c r="F90" s="787"/>
      <c r="G90" s="1093"/>
      <c r="H90" s="787"/>
      <c r="I90" s="1093"/>
      <c r="J90" s="787"/>
      <c r="K90" s="1094"/>
      <c r="L90" s="818"/>
      <c r="O90" s="1095"/>
      <c r="Q90" s="1065"/>
      <c r="S90" s="904"/>
      <c r="U90" s="1096"/>
      <c r="W90" s="1095"/>
    </row>
    <row r="91" spans="1:25" x14ac:dyDescent="0.2">
      <c r="B91" s="646"/>
      <c r="C91" s="1097"/>
      <c r="D91" s="459"/>
      <c r="E91" s="1071"/>
      <c r="F91" s="459"/>
      <c r="G91" s="1089"/>
      <c r="H91" s="459"/>
      <c r="I91" s="1098"/>
      <c r="J91" s="646"/>
      <c r="K91" s="1098"/>
      <c r="N91" s="646"/>
      <c r="O91" s="1099"/>
      <c r="Q91" s="1065"/>
      <c r="S91" s="904"/>
      <c r="U91" s="1096"/>
      <c r="V91" s="665"/>
      <c r="W91" s="1099"/>
    </row>
    <row r="92" spans="1:25" x14ac:dyDescent="0.2">
      <c r="B92" s="646"/>
      <c r="C92" s="1097"/>
      <c r="D92" s="459"/>
      <c r="E92" s="1071"/>
      <c r="F92" s="459"/>
      <c r="G92" s="1089"/>
      <c r="H92" s="459"/>
      <c r="I92" s="1098"/>
      <c r="J92" s="646"/>
      <c r="K92" s="1098"/>
      <c r="N92" s="646"/>
      <c r="O92" s="1099"/>
      <c r="Q92" s="1065"/>
      <c r="S92" s="904"/>
      <c r="U92" s="1096"/>
      <c r="V92" s="665"/>
      <c r="W92" s="1099"/>
    </row>
    <row r="93" spans="1:25" x14ac:dyDescent="0.2">
      <c r="B93" s="646"/>
      <c r="C93" s="1097"/>
      <c r="D93" s="459"/>
      <c r="E93" s="1071"/>
      <c r="F93" s="459"/>
      <c r="G93" s="1089"/>
      <c r="H93" s="459"/>
      <c r="I93" s="1098"/>
      <c r="J93" s="646"/>
      <c r="K93" s="1098"/>
      <c r="N93" s="646"/>
      <c r="O93" s="1099"/>
      <c r="Q93" s="1065"/>
      <c r="S93" s="904"/>
      <c r="U93" s="1096"/>
      <c r="V93" s="665"/>
      <c r="W93" s="1099"/>
    </row>
    <row r="94" spans="1:25" x14ac:dyDescent="0.2">
      <c r="B94" s="646"/>
      <c r="C94" s="1097"/>
      <c r="D94" s="459"/>
      <c r="E94" s="1071"/>
      <c r="F94" s="459"/>
      <c r="G94" s="1089"/>
      <c r="H94" s="459"/>
      <c r="I94" s="1098"/>
      <c r="J94" s="646"/>
      <c r="K94" s="1098"/>
      <c r="N94" s="646"/>
      <c r="O94" s="1099"/>
      <c r="Q94" s="1065"/>
      <c r="S94" s="904"/>
      <c r="U94" s="1096"/>
      <c r="V94" s="665"/>
      <c r="W94" s="1099"/>
    </row>
    <row r="95" spans="1:25" x14ac:dyDescent="0.2">
      <c r="B95" s="646"/>
      <c r="C95" s="1097"/>
      <c r="D95" s="459"/>
      <c r="E95" s="1071"/>
      <c r="F95" s="459"/>
      <c r="G95" s="1089"/>
      <c r="H95" s="459"/>
      <c r="I95" s="1098"/>
      <c r="J95" s="646"/>
      <c r="K95" s="1098"/>
      <c r="N95" s="646"/>
      <c r="O95" s="1099"/>
      <c r="Q95" s="1065"/>
      <c r="S95" s="904"/>
      <c r="U95" s="1096"/>
      <c r="V95" s="665"/>
      <c r="W95" s="1099"/>
    </row>
    <row r="96" spans="1:25" x14ac:dyDescent="0.2">
      <c r="B96" s="459"/>
      <c r="C96" s="459"/>
      <c r="D96" s="459"/>
      <c r="E96" s="459"/>
      <c r="F96" s="459"/>
      <c r="G96" s="1089"/>
      <c r="H96" s="459"/>
      <c r="I96" s="459"/>
      <c r="J96" s="646"/>
      <c r="K96" s="1098"/>
      <c r="N96" s="459"/>
      <c r="O96" s="1096"/>
      <c r="Q96" s="1065"/>
      <c r="S96" s="904"/>
      <c r="U96" s="1096"/>
      <c r="V96" s="665"/>
      <c r="W96" s="1099"/>
    </row>
    <row r="97" spans="1:26" x14ac:dyDescent="0.2">
      <c r="B97" s="459"/>
      <c r="C97" s="459"/>
      <c r="D97" s="459"/>
      <c r="E97" s="1071"/>
      <c r="F97" s="459"/>
      <c r="G97" s="1089"/>
      <c r="H97" s="459"/>
      <c r="I97" s="1098"/>
      <c r="J97" s="646"/>
      <c r="K97" s="1098"/>
      <c r="N97" s="459"/>
      <c r="O97" s="1096"/>
      <c r="Q97" s="1065"/>
      <c r="S97" s="904"/>
      <c r="U97" s="1096"/>
      <c r="V97" s="665"/>
      <c r="W97" s="1099"/>
    </row>
    <row r="98" spans="1:26" ht="7.5" customHeight="1" x14ac:dyDescent="0.2">
      <c r="Q98" s="1100"/>
      <c r="R98" s="1096"/>
      <c r="T98" s="1065"/>
      <c r="V98" s="904"/>
      <c r="X98" s="1096"/>
      <c r="Y98" s="1101"/>
      <c r="Z98" s="1102"/>
    </row>
    <row r="102" spans="1:26" x14ac:dyDescent="0.2">
      <c r="A102" s="2"/>
      <c r="B102" s="2"/>
      <c r="C102" s="2"/>
      <c r="D102" s="2"/>
      <c r="E102" s="2"/>
      <c r="F102" s="2"/>
      <c r="G102" s="2"/>
      <c r="H102" s="2"/>
      <c r="I102" s="2"/>
      <c r="J102" s="2"/>
      <c r="K102" s="2"/>
    </row>
    <row r="105" spans="1:26" x14ac:dyDescent="0.2">
      <c r="A105" s="691"/>
    </row>
    <row r="106" spans="1:26" ht="38.25" customHeight="1" x14ac:dyDescent="0.2">
      <c r="A106" s="893"/>
      <c r="B106" s="893"/>
      <c r="C106" s="893"/>
    </row>
    <row r="108" spans="1:26" ht="18" customHeight="1" x14ac:dyDescent="0.2">
      <c r="A108" s="776"/>
      <c r="B108" s="1103"/>
      <c r="C108" s="776"/>
    </row>
    <row r="109" spans="1:26" x14ac:dyDescent="0.2">
      <c r="A109" s="750"/>
      <c r="C109" s="1065"/>
      <c r="D109" s="904"/>
      <c r="E109" s="1104"/>
    </row>
    <row r="110" spans="1:26" x14ac:dyDescent="0.2">
      <c r="A110" s="750"/>
      <c r="C110" s="1065"/>
      <c r="D110" s="904"/>
      <c r="E110" s="1104"/>
      <c r="K110" s="1105"/>
    </row>
    <row r="111" spans="1:26" x14ac:dyDescent="0.2">
      <c r="A111" s="750"/>
      <c r="C111" s="1065"/>
      <c r="D111" s="904"/>
      <c r="E111" s="1104"/>
    </row>
    <row r="112" spans="1:26" x14ac:dyDescent="0.2">
      <c r="A112" s="750"/>
      <c r="C112" s="1071"/>
      <c r="D112" s="1089"/>
      <c r="K112" s="1105"/>
    </row>
    <row r="113" spans="1:11" x14ac:dyDescent="0.2">
      <c r="A113" s="750"/>
      <c r="C113" s="1071"/>
      <c r="D113" s="1089"/>
    </row>
    <row r="114" spans="1:11" x14ac:dyDescent="0.2">
      <c r="A114" s="750"/>
      <c r="C114" s="1071"/>
      <c r="D114" s="1089"/>
      <c r="K114" s="1106"/>
    </row>
    <row r="115" spans="1:11" x14ac:dyDescent="0.2">
      <c r="A115" s="750"/>
      <c r="C115" s="1071"/>
      <c r="D115" s="1089"/>
      <c r="G115" s="1107"/>
      <c r="H115" s="1107"/>
    </row>
    <row r="116" spans="1:11" x14ac:dyDescent="0.2">
      <c r="A116" s="750"/>
      <c r="C116" s="1071"/>
      <c r="D116" s="465"/>
      <c r="K116" s="1106"/>
    </row>
    <row r="117" spans="1:11" x14ac:dyDescent="0.2">
      <c r="A117" s="750"/>
      <c r="C117" s="1071"/>
      <c r="D117" s="1089"/>
      <c r="G117" s="1107"/>
      <c r="H117" s="1107"/>
      <c r="K117" s="1107"/>
    </row>
    <row r="118" spans="1:11" x14ac:dyDescent="0.2">
      <c r="A118" s="750"/>
      <c r="C118" s="1071"/>
      <c r="D118" s="1089"/>
    </row>
    <row r="119" spans="1:11" x14ac:dyDescent="0.2">
      <c r="A119" s="750"/>
      <c r="C119" s="1071"/>
      <c r="D119" s="1089"/>
    </row>
    <row r="120" spans="1:11" x14ac:dyDescent="0.2">
      <c r="A120" s="750"/>
      <c r="C120" s="1071"/>
      <c r="D120" s="1089"/>
    </row>
    <row r="121" spans="1:11" x14ac:dyDescent="0.2">
      <c r="A121" s="750"/>
      <c r="C121" s="1071"/>
      <c r="D121" s="1089"/>
    </row>
    <row r="122" spans="1:11" x14ac:dyDescent="0.2">
      <c r="A122" s="750"/>
      <c r="C122" s="1071"/>
      <c r="D122" s="1089"/>
    </row>
    <row r="123" spans="1:11" x14ac:dyDescent="0.2">
      <c r="A123" s="750"/>
      <c r="C123" s="1071"/>
      <c r="D123" s="1089"/>
    </row>
    <row r="124" spans="1:11" x14ac:dyDescent="0.2">
      <c r="A124" s="750"/>
      <c r="C124" s="1071"/>
      <c r="D124" s="1089"/>
    </row>
    <row r="125" spans="1:11" x14ac:dyDescent="0.2">
      <c r="A125" s="750"/>
      <c r="C125" s="1071"/>
      <c r="D125" s="1089"/>
    </row>
    <row r="126" spans="1:11" x14ac:dyDescent="0.2">
      <c r="A126" s="750"/>
      <c r="C126" s="1071"/>
      <c r="D126" s="1089"/>
    </row>
    <row r="127" spans="1:11" x14ac:dyDescent="0.2">
      <c r="A127" s="750"/>
      <c r="B127" s="1066"/>
      <c r="C127" s="1108"/>
      <c r="D127" s="1109"/>
    </row>
    <row r="128" spans="1:11" x14ac:dyDescent="0.2">
      <c r="A128" s="750"/>
      <c r="B128" s="1066"/>
      <c r="C128" s="1108"/>
      <c r="D128" s="1109"/>
    </row>
    <row r="129" spans="1:25" x14ac:dyDescent="0.2">
      <c r="A129" s="750"/>
      <c r="B129" s="1066"/>
      <c r="C129" s="1108"/>
      <c r="D129" s="1109"/>
    </row>
    <row r="130" spans="1:25" ht="9.75" customHeight="1" x14ac:dyDescent="0.2">
      <c r="B130" s="1066"/>
      <c r="C130" s="1109"/>
    </row>
    <row r="131" spans="1:25" s="717" customFormat="1" ht="24" customHeight="1" x14ac:dyDescent="0.2">
      <c r="A131" s="722"/>
      <c r="B131" s="722"/>
      <c r="C131" s="722"/>
      <c r="D131" s="2"/>
      <c r="E131" s="2"/>
      <c r="F131" s="2"/>
      <c r="G131" s="2"/>
      <c r="H131" s="2"/>
      <c r="I131" s="2"/>
      <c r="J131" s="2"/>
      <c r="L131" s="141"/>
    </row>
    <row r="132" spans="1:25" ht="39.75" customHeight="1" x14ac:dyDescent="0.2">
      <c r="A132" s="1032"/>
      <c r="B132" s="1032"/>
      <c r="C132" s="1032"/>
      <c r="D132" s="1110"/>
      <c r="E132" s="1110"/>
      <c r="F132" s="1110"/>
      <c r="G132" s="1110"/>
      <c r="H132" s="1110"/>
      <c r="I132" s="1110"/>
      <c r="J132" s="1110"/>
      <c r="K132" s="1110"/>
      <c r="M132" s="2"/>
    </row>
    <row r="133" spans="1:25" s="717" customFormat="1" ht="47.25" customHeight="1" x14ac:dyDescent="0.2">
      <c r="A133" s="309"/>
      <c r="B133" s="309"/>
      <c r="C133" s="309"/>
      <c r="D133" s="682"/>
      <c r="E133" s="682"/>
      <c r="F133" s="682"/>
      <c r="G133" s="682"/>
      <c r="H133" s="682"/>
      <c r="I133" s="682"/>
      <c r="J133" s="682"/>
      <c r="L133" s="718"/>
    </row>
    <row r="134" spans="1:25" s="717" customFormat="1" ht="33" customHeight="1" x14ac:dyDescent="0.2">
      <c r="A134" s="309"/>
      <c r="B134" s="309"/>
      <c r="C134" s="309"/>
      <c r="D134" s="309"/>
      <c r="E134" s="309"/>
      <c r="F134" s="309"/>
      <c r="G134" s="309"/>
      <c r="H134" s="309"/>
      <c r="I134" s="309"/>
      <c r="J134" s="309"/>
      <c r="L134" s="1110"/>
    </row>
    <row r="135" spans="1:25" ht="30.75" customHeight="1" x14ac:dyDescent="0.2">
      <c r="A135" s="309"/>
      <c r="B135" s="309"/>
      <c r="C135" s="309"/>
      <c r="D135" s="903"/>
      <c r="E135" s="904"/>
      <c r="F135" s="904"/>
      <c r="G135" s="1072"/>
      <c r="H135" s="1072"/>
      <c r="I135" s="904"/>
      <c r="J135" s="904"/>
      <c r="K135" s="1065"/>
    </row>
    <row r="136" spans="1:25" s="717" customFormat="1" ht="12.75" customHeight="1" x14ac:dyDescent="0.2">
      <c r="A136" s="141"/>
      <c r="B136" s="705"/>
      <c r="C136" s="705"/>
      <c r="D136" s="705"/>
      <c r="E136" s="705"/>
      <c r="F136" s="705"/>
      <c r="G136" s="705"/>
      <c r="H136" s="705"/>
      <c r="I136" s="705"/>
      <c r="J136" s="705"/>
    </row>
    <row r="137" spans="1:25" s="717" customFormat="1" ht="12.75" customHeight="1" x14ac:dyDescent="0.2">
      <c r="A137" s="141"/>
      <c r="B137" s="705"/>
      <c r="C137" s="705"/>
      <c r="D137" s="705"/>
      <c r="E137" s="705"/>
      <c r="F137" s="705"/>
      <c r="G137" s="705"/>
      <c r="H137" s="705"/>
      <c r="I137" s="705"/>
      <c r="J137" s="705"/>
    </row>
    <row r="138" spans="1:25" x14ac:dyDescent="0.2">
      <c r="A138" s="691"/>
      <c r="B138" s="2"/>
      <c r="C138" s="2"/>
      <c r="D138" s="2"/>
      <c r="E138" s="2"/>
      <c r="F138" s="2"/>
      <c r="G138" s="2"/>
      <c r="H138" s="2"/>
      <c r="I138" s="2"/>
      <c r="J138" s="2"/>
    </row>
    <row r="139" spans="1:25" x14ac:dyDescent="0.2">
      <c r="A139" s="706"/>
      <c r="B139" s="706"/>
      <c r="C139" s="706"/>
      <c r="D139" s="706"/>
      <c r="E139" s="706"/>
      <c r="F139" s="706"/>
      <c r="G139" s="706"/>
      <c r="H139" s="706"/>
      <c r="I139" s="706"/>
      <c r="J139" s="706"/>
      <c r="K139" s="706"/>
      <c r="L139" s="706"/>
      <c r="M139" s="706"/>
      <c r="N139" s="706"/>
      <c r="Q139" s="2"/>
      <c r="R139" s="2"/>
      <c r="S139" s="2"/>
      <c r="T139" s="2"/>
      <c r="U139" s="2"/>
      <c r="V139" s="2"/>
    </row>
    <row r="140" spans="1:25" s="859" customFormat="1" x14ac:dyDescent="0.2">
      <c r="A140" s="1081"/>
      <c r="B140" s="1081"/>
      <c r="C140" s="1081"/>
      <c r="D140" s="1081"/>
      <c r="E140" s="1081"/>
      <c r="F140" s="1081"/>
      <c r="G140" s="1081"/>
      <c r="H140" s="1081"/>
      <c r="I140" s="1081"/>
      <c r="J140" s="1081"/>
      <c r="K140" s="1081"/>
      <c r="L140" s="1081"/>
      <c r="M140" s="1081"/>
      <c r="N140" s="1081"/>
      <c r="Q140" s="759"/>
      <c r="R140" s="759"/>
      <c r="S140" s="759"/>
      <c r="T140" s="759"/>
      <c r="U140" s="759"/>
      <c r="V140" s="759"/>
    </row>
    <row r="141" spans="1:25" x14ac:dyDescent="0.2">
      <c r="V141" s="904"/>
    </row>
    <row r="142" spans="1:25" ht="14.25" customHeight="1" x14ac:dyDescent="0.2">
      <c r="A142" s="736"/>
      <c r="B142" s="711"/>
      <c r="C142" s="711"/>
      <c r="D142" s="711"/>
      <c r="E142" s="711"/>
      <c r="F142" s="711"/>
      <c r="G142" s="711"/>
      <c r="H142" s="711"/>
      <c r="I142" s="711"/>
      <c r="J142" s="711"/>
      <c r="K142" s="711"/>
      <c r="M142" s="711"/>
      <c r="P142" s="717"/>
      <c r="Q142" s="717"/>
      <c r="R142" s="717"/>
      <c r="S142" s="717"/>
      <c r="T142" s="717"/>
      <c r="U142" s="717"/>
      <c r="V142" s="717"/>
      <c r="W142" s="717"/>
      <c r="X142" s="717"/>
      <c r="Y142" s="717"/>
    </row>
    <row r="143" spans="1:25" ht="14.25" customHeight="1" x14ac:dyDescent="0.2">
      <c r="A143" s="736"/>
      <c r="B143" s="776"/>
      <c r="C143" s="776"/>
      <c r="D143" s="776"/>
      <c r="E143" s="776"/>
      <c r="F143" s="776"/>
      <c r="G143" s="776"/>
      <c r="H143" s="776"/>
      <c r="I143" s="776"/>
      <c r="J143" s="776"/>
      <c r="K143" s="776"/>
      <c r="N143" s="459"/>
      <c r="O143" s="459"/>
      <c r="P143" s="459"/>
      <c r="Q143" s="459"/>
      <c r="R143" s="459"/>
      <c r="S143" s="1089"/>
      <c r="T143" s="459"/>
      <c r="U143" s="459"/>
      <c r="V143" s="459"/>
      <c r="W143" s="459"/>
    </row>
    <row r="144" spans="1:25" x14ac:dyDescent="0.2">
      <c r="A144" s="711"/>
      <c r="B144" s="753"/>
      <c r="C144" s="1087"/>
      <c r="D144" s="753"/>
      <c r="E144" s="1087"/>
      <c r="F144" s="753"/>
      <c r="G144" s="1087"/>
      <c r="H144" s="753"/>
      <c r="I144" s="1087"/>
      <c r="J144" s="753"/>
      <c r="K144" s="1087"/>
      <c r="N144" s="903"/>
      <c r="O144" s="1065"/>
      <c r="P144" s="903"/>
      <c r="Q144" s="1065"/>
      <c r="R144" s="903"/>
      <c r="S144" s="904"/>
    </row>
    <row r="145" spans="1:22" x14ac:dyDescent="0.2">
      <c r="A145" s="718"/>
      <c r="B145" s="950"/>
      <c r="C145" s="1071"/>
      <c r="D145" s="950"/>
      <c r="E145" s="1071"/>
      <c r="F145" s="950"/>
      <c r="G145" s="1071"/>
      <c r="H145" s="1069"/>
      <c r="I145" s="1071"/>
      <c r="J145" s="1069"/>
      <c r="K145" s="1071"/>
      <c r="N145" s="950"/>
      <c r="O145" s="1071"/>
      <c r="P145" s="950"/>
      <c r="Q145" s="1071"/>
      <c r="R145" s="1111"/>
      <c r="S145" s="1089"/>
    </row>
    <row r="146" spans="1:22" x14ac:dyDescent="0.2">
      <c r="A146" s="718"/>
      <c r="B146" s="950"/>
      <c r="C146" s="1071"/>
      <c r="D146" s="950"/>
      <c r="E146" s="1071"/>
      <c r="F146" s="950"/>
      <c r="G146" s="1071"/>
      <c r="H146" s="1066"/>
      <c r="I146" s="1071"/>
      <c r="J146" s="1069"/>
      <c r="K146" s="1071"/>
      <c r="N146" s="950"/>
      <c r="O146" s="1071"/>
      <c r="P146" s="950"/>
      <c r="Q146" s="1071"/>
      <c r="R146" s="1088"/>
      <c r="S146" s="1089"/>
    </row>
    <row r="147" spans="1:22" x14ac:dyDescent="0.2">
      <c r="A147" s="718"/>
      <c r="B147" s="950"/>
      <c r="C147" s="1071"/>
      <c r="D147" s="950"/>
      <c r="E147" s="1071"/>
      <c r="F147" s="950"/>
      <c r="G147" s="1071"/>
      <c r="H147" s="1066"/>
      <c r="I147" s="1071"/>
      <c r="J147" s="1066"/>
      <c r="K147" s="1071"/>
      <c r="N147" s="950"/>
      <c r="O147" s="1071"/>
      <c r="P147" s="950"/>
      <c r="Q147" s="1071"/>
      <c r="R147" s="1088"/>
      <c r="S147" s="1089"/>
    </row>
    <row r="148" spans="1:22" x14ac:dyDescent="0.2">
      <c r="A148" s="718"/>
      <c r="B148" s="950"/>
      <c r="C148" s="1071"/>
      <c r="D148" s="950"/>
      <c r="E148" s="1071"/>
      <c r="F148" s="950"/>
      <c r="G148" s="1071"/>
      <c r="H148" s="1066"/>
      <c r="I148" s="1071"/>
      <c r="J148" s="1066"/>
      <c r="K148" s="1071"/>
      <c r="N148" s="950"/>
      <c r="O148" s="1071"/>
      <c r="P148" s="950"/>
      <c r="Q148" s="1071"/>
      <c r="R148" s="1088"/>
      <c r="S148" s="1089"/>
    </row>
    <row r="149" spans="1:22" x14ac:dyDescent="0.2">
      <c r="A149" s="718"/>
      <c r="B149" s="950"/>
      <c r="C149" s="1071"/>
      <c r="D149" s="950"/>
      <c r="E149" s="1071"/>
      <c r="F149" s="950"/>
      <c r="G149" s="1071"/>
      <c r="H149" s="1066"/>
      <c r="I149" s="1071"/>
      <c r="J149" s="1066"/>
      <c r="K149" s="1071"/>
      <c r="N149" s="950"/>
      <c r="O149" s="1071"/>
      <c r="P149" s="950"/>
      <c r="Q149" s="1071"/>
      <c r="R149" s="1088"/>
      <c r="S149" s="1089"/>
    </row>
    <row r="150" spans="1:22" x14ac:dyDescent="0.2">
      <c r="A150" s="718"/>
      <c r="B150" s="950"/>
      <c r="C150" s="1071"/>
      <c r="D150" s="950"/>
      <c r="E150" s="1071"/>
      <c r="F150" s="950"/>
      <c r="G150" s="1071"/>
      <c r="H150" s="1066"/>
      <c r="I150" s="1071"/>
      <c r="J150" s="1066"/>
      <c r="K150" s="1071"/>
      <c r="N150" s="950"/>
      <c r="O150" s="1071"/>
      <c r="P150" s="950"/>
      <c r="Q150" s="1071"/>
      <c r="R150" s="1088"/>
      <c r="S150" s="1089"/>
    </row>
    <row r="151" spans="1:22" x14ac:dyDescent="0.2">
      <c r="A151" s="718"/>
      <c r="B151" s="950"/>
      <c r="C151" s="1071"/>
      <c r="D151" s="950"/>
      <c r="E151" s="1071"/>
      <c r="F151" s="950"/>
      <c r="G151" s="1071"/>
      <c r="H151" s="1066"/>
      <c r="I151" s="1071"/>
      <c r="J151" s="1066"/>
      <c r="K151" s="1071"/>
      <c r="N151" s="950"/>
      <c r="O151" s="1071"/>
      <c r="P151" s="950"/>
      <c r="Q151" s="1071"/>
      <c r="R151" s="1088"/>
      <c r="S151" s="1089"/>
    </row>
    <row r="152" spans="1:22" x14ac:dyDescent="0.2">
      <c r="A152" s="718"/>
      <c r="B152" s="950"/>
      <c r="C152" s="1071"/>
      <c r="D152" s="950"/>
      <c r="E152" s="1071"/>
      <c r="F152" s="950"/>
      <c r="G152" s="1071"/>
      <c r="H152" s="1066"/>
      <c r="I152" s="1071"/>
      <c r="J152" s="1066"/>
      <c r="K152" s="1071"/>
      <c r="N152" s="950"/>
      <c r="O152" s="1071"/>
      <c r="P152" s="950"/>
      <c r="Q152" s="1071"/>
      <c r="R152" s="1088"/>
      <c r="S152" s="1089"/>
    </row>
    <row r="153" spans="1:22" x14ac:dyDescent="0.2">
      <c r="A153" s="718"/>
      <c r="B153" s="950"/>
      <c r="C153" s="1071"/>
      <c r="D153" s="950"/>
      <c r="E153" s="1071"/>
      <c r="F153" s="950"/>
      <c r="G153" s="1071"/>
      <c r="H153" s="1066"/>
      <c r="I153" s="1071"/>
      <c r="J153" s="1066"/>
      <c r="K153" s="1071"/>
      <c r="N153" s="950"/>
      <c r="O153" s="1071"/>
      <c r="P153" s="950"/>
      <c r="Q153" s="1071"/>
      <c r="R153" s="1088"/>
      <c r="S153" s="1089"/>
    </row>
    <row r="154" spans="1:22" x14ac:dyDescent="0.2">
      <c r="A154" s="718"/>
      <c r="B154" s="950"/>
      <c r="C154" s="1071"/>
      <c r="D154" s="950"/>
      <c r="E154" s="1071"/>
      <c r="F154" s="950"/>
      <c r="G154" s="1071"/>
      <c r="H154" s="1066"/>
      <c r="I154" s="1071"/>
      <c r="J154" s="1066"/>
      <c r="K154" s="1071"/>
      <c r="N154" s="950"/>
      <c r="O154" s="1071"/>
      <c r="P154" s="950"/>
      <c r="Q154" s="1071"/>
      <c r="R154" s="1088"/>
      <c r="S154" s="1089"/>
    </row>
    <row r="155" spans="1:22" x14ac:dyDescent="0.2">
      <c r="A155" s="718"/>
      <c r="B155" s="950"/>
      <c r="C155" s="1071"/>
      <c r="D155" s="950"/>
      <c r="E155" s="1071"/>
      <c r="F155" s="950"/>
      <c r="G155" s="1071"/>
      <c r="H155" s="1066"/>
      <c r="I155" s="1071"/>
      <c r="J155" s="1066"/>
      <c r="K155" s="1071"/>
      <c r="N155" s="950"/>
      <c r="O155" s="1071"/>
      <c r="P155" s="950"/>
      <c r="Q155" s="1071"/>
      <c r="R155" s="1088"/>
      <c r="S155" s="1089"/>
    </row>
    <row r="156" spans="1:22" ht="8.25" customHeight="1" x14ac:dyDescent="0.2">
      <c r="B156" s="950"/>
      <c r="C156" s="1071"/>
      <c r="D156" s="950"/>
      <c r="E156" s="1071"/>
      <c r="F156" s="1071"/>
      <c r="G156" s="950"/>
      <c r="H156" s="950"/>
      <c r="I156" s="1071"/>
      <c r="J156" s="1071"/>
      <c r="K156" s="1066"/>
      <c r="L156" s="1071"/>
      <c r="M156" s="1066"/>
      <c r="N156" s="1071"/>
      <c r="Q156" s="950"/>
      <c r="R156" s="1071"/>
      <c r="S156" s="950"/>
      <c r="T156" s="1071"/>
      <c r="U156" s="1088"/>
      <c r="V156" s="1089"/>
    </row>
    <row r="157" spans="1:22" ht="12.75" customHeight="1" x14ac:dyDescent="0.2">
      <c r="A157" s="1058"/>
      <c r="B157" s="1058"/>
      <c r="C157" s="1058"/>
      <c r="D157" s="1058"/>
      <c r="E157" s="1058"/>
      <c r="F157" s="1058"/>
      <c r="G157" s="1058"/>
      <c r="H157" s="1058"/>
      <c r="I157" s="1058"/>
      <c r="J157" s="1058"/>
      <c r="K157" s="1058"/>
      <c r="L157" s="1058"/>
      <c r="M157" s="1058"/>
      <c r="N157" s="1058"/>
    </row>
    <row r="158" spans="1:22" x14ac:dyDescent="0.2">
      <c r="A158" s="2"/>
      <c r="B158" s="2"/>
      <c r="C158" s="2"/>
      <c r="D158" s="903"/>
      <c r="E158" s="904"/>
      <c r="F158" s="904"/>
      <c r="G158" s="1072"/>
      <c r="H158" s="1072"/>
      <c r="I158" s="904"/>
      <c r="J158" s="904"/>
      <c r="K158" s="1065"/>
    </row>
    <row r="159" spans="1:22" x14ac:dyDescent="0.2">
      <c r="A159" s="1010"/>
      <c r="B159" s="2"/>
      <c r="C159" s="2"/>
      <c r="D159" s="903"/>
      <c r="E159" s="904"/>
      <c r="F159" s="904"/>
      <c r="G159" s="1072"/>
      <c r="H159" s="1072"/>
      <c r="I159" s="904"/>
      <c r="J159" s="904"/>
      <c r="K159" s="1065"/>
    </row>
    <row r="160" spans="1:22" ht="10.5" customHeight="1" x14ac:dyDescent="0.2">
      <c r="A160" s="691"/>
      <c r="B160" s="818"/>
      <c r="C160" s="818"/>
      <c r="D160" s="818"/>
      <c r="E160" s="818"/>
      <c r="F160" s="818"/>
      <c r="G160" s="818"/>
      <c r="H160" s="818"/>
      <c r="I160" s="1112"/>
      <c r="J160" s="1112"/>
      <c r="K160" s="1113"/>
    </row>
    <row r="161" spans="1:24" ht="10.5" customHeight="1" x14ac:dyDescent="0.2">
      <c r="A161" s="893"/>
      <c r="B161" s="893"/>
      <c r="C161" s="893"/>
      <c r="D161" s="893"/>
      <c r="E161" s="893"/>
      <c r="F161" s="893"/>
      <c r="G161" s="893"/>
      <c r="H161" s="893"/>
      <c r="I161" s="893"/>
      <c r="J161" s="893"/>
      <c r="K161" s="893"/>
      <c r="L161" s="893"/>
      <c r="P161" s="2"/>
      <c r="Q161" s="2"/>
      <c r="R161" s="2"/>
      <c r="S161" s="2"/>
      <c r="T161" s="2"/>
      <c r="U161" s="2"/>
    </row>
    <row r="162" spans="1:24" ht="10.5" customHeight="1" x14ac:dyDescent="0.2">
      <c r="A162" s="1114"/>
      <c r="B162" s="1114"/>
      <c r="C162" s="1114"/>
      <c r="D162" s="1114"/>
      <c r="E162" s="1114"/>
      <c r="F162" s="1114"/>
      <c r="G162" s="1114"/>
      <c r="H162" s="1114"/>
      <c r="I162" s="1114"/>
      <c r="J162" s="1114"/>
      <c r="K162" s="1114"/>
      <c r="L162" s="1114"/>
      <c r="P162" s="2"/>
      <c r="Q162" s="2"/>
      <c r="R162" s="2"/>
      <c r="S162" s="2"/>
      <c r="T162" s="2"/>
      <c r="U162" s="2"/>
    </row>
    <row r="163" spans="1:24" ht="10.5" customHeight="1" x14ac:dyDescent="0.2">
      <c r="A163" s="1115"/>
      <c r="B163" s="1115"/>
      <c r="C163" s="1115"/>
      <c r="D163" s="1115"/>
      <c r="E163" s="1115"/>
      <c r="F163" s="1115"/>
      <c r="G163" s="1115"/>
      <c r="H163" s="1115"/>
      <c r="I163" s="1115"/>
      <c r="J163" s="1115"/>
      <c r="K163" s="1115"/>
      <c r="L163" s="1115"/>
      <c r="P163" s="2"/>
      <c r="Q163" s="2"/>
      <c r="R163" s="2"/>
      <c r="S163" s="2"/>
      <c r="T163" s="2"/>
      <c r="U163" s="2"/>
    </row>
    <row r="164" spans="1:24" ht="12" customHeight="1" x14ac:dyDescent="0.2">
      <c r="A164" s="910"/>
      <c r="B164" s="910"/>
      <c r="C164" s="910"/>
      <c r="D164" s="910"/>
      <c r="E164" s="910"/>
      <c r="F164" s="910"/>
      <c r="G164" s="910"/>
      <c r="H164" s="910"/>
      <c r="I164" s="2"/>
      <c r="J164" s="2"/>
      <c r="P164" s="2"/>
      <c r="Q164" s="2"/>
      <c r="R164" s="2"/>
      <c r="S164" s="2"/>
      <c r="T164" s="2"/>
      <c r="U164" s="2"/>
    </row>
    <row r="165" spans="1:24" s="818" customFormat="1" ht="19.5" customHeight="1" x14ac:dyDescent="0.2">
      <c r="A165" s="736"/>
      <c r="B165" s="736"/>
      <c r="C165" s="711"/>
      <c r="D165" s="711"/>
      <c r="E165" s="711"/>
      <c r="F165" s="711"/>
      <c r="G165" s="711"/>
      <c r="H165" s="711"/>
      <c r="I165" s="711"/>
      <c r="J165" s="711"/>
      <c r="K165" s="711"/>
      <c r="L165" s="711"/>
      <c r="P165" s="1010"/>
      <c r="Q165" s="1100"/>
    </row>
    <row r="166" spans="1:24" s="818" customFormat="1" ht="19.5" customHeight="1" x14ac:dyDescent="0.2">
      <c r="A166" s="736"/>
      <c r="B166" s="736"/>
      <c r="C166" s="776"/>
      <c r="D166" s="776"/>
      <c r="E166" s="776"/>
      <c r="F166" s="776"/>
      <c r="G166" s="776"/>
      <c r="H166" s="776"/>
      <c r="I166" s="776"/>
      <c r="J166" s="776"/>
      <c r="K166" s="776"/>
      <c r="L166" s="776"/>
      <c r="O166" s="1116"/>
      <c r="P166" s="1117"/>
      <c r="R166" s="1118"/>
      <c r="S166" s="1118"/>
      <c r="T166" s="1118"/>
      <c r="U166" s="1118"/>
      <c r="V166" s="1118"/>
      <c r="W166" s="1118"/>
    </row>
    <row r="167" spans="1:24" s="711" customFormat="1" ht="13.5" customHeight="1" x14ac:dyDescent="0.25">
      <c r="A167" s="1119"/>
      <c r="B167" s="1119"/>
      <c r="C167" s="1120"/>
      <c r="D167" s="1121"/>
      <c r="F167" s="1122"/>
      <c r="H167" s="1122"/>
      <c r="J167" s="1122"/>
      <c r="L167" s="1123"/>
      <c r="M167" s="717"/>
      <c r="O167" s="717"/>
      <c r="P167" s="1084"/>
      <c r="Q167" s="1084"/>
      <c r="R167" s="717"/>
      <c r="S167" s="717"/>
      <c r="T167" s="717"/>
      <c r="U167" s="717"/>
      <c r="V167" s="692"/>
      <c r="W167" s="1124"/>
      <c r="X167" s="717"/>
    </row>
    <row r="168" spans="1:24" ht="10.5" customHeight="1" x14ac:dyDescent="0.2">
      <c r="C168" s="134"/>
      <c r="D168" s="1098"/>
      <c r="E168" s="134"/>
      <c r="F168" s="1098"/>
      <c r="G168" s="134"/>
      <c r="H168" s="1098"/>
      <c r="I168" s="134"/>
      <c r="J168" s="1098"/>
      <c r="K168" s="677"/>
      <c r="L168" s="1125"/>
      <c r="O168" s="1032"/>
      <c r="P168" s="1032"/>
      <c r="Q168" s="1066"/>
      <c r="R168" s="459"/>
      <c r="S168" s="459"/>
      <c r="T168" s="459"/>
      <c r="V168" s="2"/>
      <c r="W168" s="1022"/>
    </row>
    <row r="169" spans="1:24" ht="10.5" customHeight="1" x14ac:dyDescent="0.2">
      <c r="C169" s="134"/>
      <c r="D169" s="1098"/>
      <c r="E169" s="134"/>
      <c r="F169" s="1098"/>
      <c r="G169" s="134"/>
      <c r="H169" s="1098"/>
      <c r="I169" s="134"/>
      <c r="J169" s="1098"/>
      <c r="K169" s="131"/>
      <c r="L169" s="1125"/>
      <c r="O169" s="1032"/>
      <c r="P169" s="1032"/>
      <c r="Q169" s="1066"/>
      <c r="R169" s="459"/>
      <c r="S169" s="459"/>
      <c r="T169" s="459"/>
      <c r="W169" s="904"/>
    </row>
    <row r="170" spans="1:24" ht="10.5" customHeight="1" x14ac:dyDescent="0.2">
      <c r="C170" s="134"/>
      <c r="D170" s="1098"/>
      <c r="E170" s="134"/>
      <c r="F170" s="1098"/>
      <c r="G170" s="134"/>
      <c r="H170" s="1098"/>
      <c r="I170" s="134"/>
      <c r="J170" s="1098"/>
      <c r="K170" s="131"/>
      <c r="L170" s="1125"/>
      <c r="O170" s="1032"/>
      <c r="P170" s="1032"/>
      <c r="Q170" s="1066"/>
      <c r="R170" s="459"/>
      <c r="S170" s="459"/>
      <c r="T170" s="459"/>
      <c r="V170" s="2"/>
      <c r="W170" s="1022"/>
    </row>
    <row r="171" spans="1:24" ht="10.5" customHeight="1" x14ac:dyDescent="0.2">
      <c r="C171" s="134"/>
      <c r="D171" s="1098"/>
      <c r="E171" s="134"/>
      <c r="F171" s="1098"/>
      <c r="G171" s="134"/>
      <c r="H171" s="1098"/>
      <c r="I171" s="134"/>
      <c r="J171" s="1098"/>
      <c r="K171" s="131"/>
      <c r="L171" s="1125"/>
      <c r="O171" s="1032"/>
      <c r="P171" s="1032"/>
      <c r="Q171" s="1066"/>
      <c r="R171" s="459"/>
      <c r="S171" s="459"/>
      <c r="T171" s="459"/>
      <c r="V171" s="2"/>
      <c r="W171" s="1022"/>
    </row>
    <row r="172" spans="1:24" ht="10.5" customHeight="1" x14ac:dyDescent="0.2">
      <c r="C172" s="134"/>
      <c r="D172" s="1098"/>
      <c r="E172" s="134"/>
      <c r="F172" s="1098"/>
      <c r="G172" s="134"/>
      <c r="H172" s="1098"/>
      <c r="I172" s="134"/>
      <c r="J172" s="1098"/>
      <c r="K172" s="677"/>
      <c r="L172" s="1125"/>
      <c r="O172" s="1032"/>
      <c r="P172" s="1032"/>
      <c r="Q172" s="1066"/>
      <c r="R172" s="459"/>
      <c r="S172" s="459"/>
      <c r="T172" s="459"/>
      <c r="V172" s="2"/>
      <c r="W172" s="1022"/>
    </row>
    <row r="173" spans="1:24" ht="10.5" customHeight="1" x14ac:dyDescent="0.2">
      <c r="C173" s="134"/>
      <c r="D173" s="1098"/>
      <c r="E173" s="134"/>
      <c r="F173" s="1098"/>
      <c r="G173" s="134"/>
      <c r="H173" s="1098"/>
      <c r="I173" s="134"/>
      <c r="J173" s="1098"/>
      <c r="K173" s="677"/>
      <c r="L173" s="1125"/>
      <c r="O173" s="1032"/>
      <c r="P173" s="1032"/>
      <c r="Q173" s="1066"/>
      <c r="R173" s="459"/>
      <c r="S173" s="459"/>
      <c r="T173" s="459"/>
      <c r="V173" s="2"/>
      <c r="W173" s="1022"/>
    </row>
    <row r="174" spans="1:24" ht="10.5" customHeight="1" x14ac:dyDescent="0.2">
      <c r="C174" s="134"/>
      <c r="D174" s="1098"/>
      <c r="E174" s="134"/>
      <c r="F174" s="1098"/>
      <c r="G174" s="134"/>
      <c r="H174" s="1098"/>
      <c r="I174" s="134"/>
      <c r="J174" s="1098"/>
      <c r="K174" s="677"/>
      <c r="L174" s="1125"/>
      <c r="O174" s="1032"/>
      <c r="P174" s="1032"/>
      <c r="Q174" s="1066"/>
      <c r="R174" s="459"/>
      <c r="S174" s="459"/>
      <c r="T174" s="459"/>
      <c r="V174" s="2"/>
      <c r="W174" s="1022"/>
    </row>
    <row r="175" spans="1:24" ht="10.5" customHeight="1" x14ac:dyDescent="0.2">
      <c r="C175" s="134"/>
      <c r="D175" s="1098"/>
      <c r="E175" s="134"/>
      <c r="F175" s="1098"/>
      <c r="G175" s="134"/>
      <c r="H175" s="1098"/>
      <c r="I175" s="134"/>
      <c r="J175" s="1098"/>
      <c r="K175" s="131"/>
      <c r="L175" s="1125"/>
      <c r="O175" s="1032"/>
      <c r="P175" s="1032"/>
      <c r="Q175" s="1066"/>
      <c r="R175" s="459"/>
      <c r="S175" s="459"/>
      <c r="T175" s="459"/>
      <c r="W175" s="904"/>
    </row>
    <row r="176" spans="1:24" ht="10.5" customHeight="1" x14ac:dyDescent="0.2">
      <c r="C176" s="134"/>
      <c r="D176" s="1098"/>
      <c r="E176" s="134"/>
      <c r="F176" s="1098"/>
      <c r="G176" s="134"/>
      <c r="H176" s="1098"/>
      <c r="I176" s="134"/>
      <c r="J176" s="1098"/>
      <c r="K176" s="677"/>
      <c r="L176" s="1125"/>
      <c r="O176" s="1032"/>
      <c r="P176" s="1032"/>
      <c r="Q176" s="1066"/>
      <c r="R176" s="459"/>
      <c r="S176" s="459"/>
      <c r="T176" s="459"/>
      <c r="V176" s="2"/>
      <c r="W176" s="1022"/>
    </row>
    <row r="177" spans="3:23" ht="10.5" customHeight="1" x14ac:dyDescent="0.2">
      <c r="C177" s="134"/>
      <c r="D177" s="1098"/>
      <c r="E177" s="134"/>
      <c r="F177" s="1098"/>
      <c r="G177" s="134"/>
      <c r="H177" s="1098"/>
      <c r="I177" s="134"/>
      <c r="J177" s="1098"/>
      <c r="K177" s="677"/>
      <c r="L177" s="1125"/>
      <c r="O177" s="1032"/>
      <c r="P177" s="1032"/>
      <c r="Q177" s="1066"/>
      <c r="R177" s="459"/>
      <c r="S177" s="459"/>
      <c r="T177" s="459"/>
      <c r="V177" s="2"/>
      <c r="W177" s="1022"/>
    </row>
    <row r="178" spans="3:23" ht="10.5" customHeight="1" x14ac:dyDescent="0.2">
      <c r="C178" s="134"/>
      <c r="D178" s="1098"/>
      <c r="E178" s="134"/>
      <c r="F178" s="1098"/>
      <c r="G178" s="134"/>
      <c r="H178" s="1098"/>
      <c r="I178" s="134"/>
      <c r="J178" s="1098"/>
      <c r="K178" s="677"/>
      <c r="L178" s="1125"/>
      <c r="O178" s="1032"/>
      <c r="P178" s="1032"/>
      <c r="Q178" s="1066"/>
      <c r="R178" s="459"/>
      <c r="S178" s="459"/>
      <c r="T178" s="459"/>
      <c r="V178" s="2"/>
      <c r="W178" s="1022"/>
    </row>
    <row r="179" spans="3:23" ht="10.5" customHeight="1" x14ac:dyDescent="0.2">
      <c r="C179" s="134"/>
      <c r="D179" s="1098"/>
      <c r="E179" s="134"/>
      <c r="F179" s="1098"/>
      <c r="G179" s="134"/>
      <c r="H179" s="1098"/>
      <c r="I179" s="134"/>
      <c r="J179" s="1098"/>
      <c r="K179" s="677"/>
      <c r="L179" s="1125"/>
      <c r="O179" s="1032"/>
      <c r="P179" s="1032"/>
      <c r="Q179" s="1066"/>
      <c r="R179" s="459"/>
      <c r="S179" s="459"/>
      <c r="T179" s="459"/>
      <c r="V179" s="2"/>
      <c r="W179" s="1022"/>
    </row>
    <row r="180" spans="3:23" ht="10.5" customHeight="1" x14ac:dyDescent="0.2">
      <c r="C180" s="134"/>
      <c r="D180" s="1098"/>
      <c r="E180" s="134"/>
      <c r="F180" s="1098"/>
      <c r="G180" s="134"/>
      <c r="H180" s="1098"/>
      <c r="I180" s="134"/>
      <c r="J180" s="1098"/>
      <c r="K180" s="677"/>
      <c r="L180" s="1125"/>
      <c r="O180" s="1032"/>
      <c r="P180" s="1032"/>
      <c r="Q180" s="1066"/>
      <c r="R180" s="459"/>
      <c r="S180" s="459"/>
      <c r="T180" s="459"/>
      <c r="V180" s="2"/>
      <c r="W180" s="1022"/>
    </row>
    <row r="181" spans="3:23" ht="10.5" customHeight="1" x14ac:dyDescent="0.2">
      <c r="C181" s="134"/>
      <c r="D181" s="1098"/>
      <c r="E181" s="134"/>
      <c r="F181" s="1098"/>
      <c r="G181" s="134"/>
      <c r="H181" s="1098"/>
      <c r="I181" s="134"/>
      <c r="J181" s="1098"/>
      <c r="K181" s="677"/>
      <c r="L181" s="1125"/>
      <c r="O181" s="1032"/>
      <c r="P181" s="1032"/>
      <c r="Q181" s="1066"/>
      <c r="R181" s="459"/>
      <c r="S181" s="459"/>
      <c r="T181" s="459"/>
      <c r="V181" s="2"/>
      <c r="W181" s="1022"/>
    </row>
    <row r="182" spans="3:23" ht="10.5" customHeight="1" x14ac:dyDescent="0.2">
      <c r="C182" s="134"/>
      <c r="D182" s="1098"/>
      <c r="E182" s="134"/>
      <c r="F182" s="1098"/>
      <c r="G182" s="134"/>
      <c r="H182" s="1098"/>
      <c r="I182" s="134"/>
      <c r="J182" s="1098"/>
      <c r="K182" s="677"/>
      <c r="L182" s="1125"/>
      <c r="O182" s="1032"/>
      <c r="P182" s="1032"/>
      <c r="Q182" s="1066"/>
      <c r="R182" s="459"/>
      <c r="S182" s="459"/>
      <c r="T182" s="459"/>
      <c r="V182" s="2"/>
      <c r="W182" s="1022"/>
    </row>
    <row r="183" spans="3:23" ht="10.5" customHeight="1" x14ac:dyDescent="0.2">
      <c r="C183" s="134"/>
      <c r="D183" s="1098"/>
      <c r="E183" s="134"/>
      <c r="F183" s="1098"/>
      <c r="G183" s="134"/>
      <c r="H183" s="1098"/>
      <c r="I183" s="134"/>
      <c r="J183" s="1098"/>
      <c r="K183" s="677"/>
      <c r="L183" s="1125"/>
      <c r="O183" s="1032"/>
      <c r="P183" s="1032"/>
      <c r="Q183" s="1066"/>
      <c r="R183" s="459"/>
      <c r="S183" s="459"/>
      <c r="T183" s="459"/>
      <c r="V183" s="2"/>
      <c r="W183" s="1022"/>
    </row>
    <row r="184" spans="3:23" ht="10.5" customHeight="1" x14ac:dyDescent="0.2">
      <c r="C184" s="134"/>
      <c r="D184" s="1098"/>
      <c r="E184" s="134"/>
      <c r="F184" s="1098"/>
      <c r="G184" s="134"/>
      <c r="H184" s="1098"/>
      <c r="I184" s="134"/>
      <c r="J184" s="1098"/>
      <c r="K184" s="677"/>
      <c r="L184" s="1125"/>
      <c r="O184" s="1032"/>
      <c r="P184" s="1032"/>
      <c r="Q184" s="1066"/>
      <c r="R184" s="459"/>
      <c r="S184" s="459"/>
      <c r="T184" s="459"/>
      <c r="V184" s="2"/>
      <c r="W184" s="1022"/>
    </row>
    <row r="185" spans="3:23" ht="10.5" customHeight="1" x14ac:dyDescent="0.2">
      <c r="C185" s="134"/>
      <c r="D185" s="1098"/>
      <c r="E185" s="134"/>
      <c r="F185" s="1098"/>
      <c r="G185" s="134"/>
      <c r="H185" s="1098"/>
      <c r="I185" s="134"/>
      <c r="J185" s="1098"/>
      <c r="K185" s="677"/>
      <c r="L185" s="1125"/>
      <c r="O185" s="1032"/>
      <c r="P185" s="1032"/>
      <c r="Q185" s="1066"/>
      <c r="R185" s="459"/>
      <c r="S185" s="459"/>
      <c r="T185" s="459"/>
      <c r="V185" s="2"/>
      <c r="W185" s="1022"/>
    </row>
    <row r="186" spans="3:23" ht="10.5" customHeight="1" x14ac:dyDescent="0.2">
      <c r="C186" s="134"/>
      <c r="D186" s="1098"/>
      <c r="E186" s="134"/>
      <c r="F186" s="1098"/>
      <c r="G186" s="134"/>
      <c r="H186" s="1098"/>
      <c r="I186" s="134"/>
      <c r="J186" s="1098"/>
      <c r="K186" s="677"/>
      <c r="L186" s="1125"/>
      <c r="O186" s="1032"/>
      <c r="P186" s="1032"/>
      <c r="Q186" s="1066"/>
      <c r="R186" s="459"/>
      <c r="S186" s="459"/>
      <c r="T186" s="459"/>
      <c r="V186" s="2"/>
      <c r="W186" s="1022"/>
    </row>
    <row r="187" spans="3:23" ht="10.5" customHeight="1" x14ac:dyDescent="0.2">
      <c r="C187" s="134"/>
      <c r="D187" s="1098"/>
      <c r="E187" s="134"/>
      <c r="F187" s="1098"/>
      <c r="G187" s="134"/>
      <c r="H187" s="1098"/>
      <c r="I187" s="134"/>
      <c r="J187" s="1098"/>
      <c r="K187" s="677"/>
      <c r="L187" s="1125"/>
      <c r="R187" s="459"/>
      <c r="S187" s="459"/>
      <c r="T187" s="459"/>
      <c r="V187" s="2"/>
      <c r="W187" s="1022"/>
    </row>
    <row r="188" spans="3:23" ht="10.5" customHeight="1" x14ac:dyDescent="0.2">
      <c r="C188" s="134"/>
      <c r="D188" s="1098"/>
      <c r="E188" s="134"/>
      <c r="F188" s="1098"/>
      <c r="G188" s="134"/>
      <c r="H188" s="1098"/>
      <c r="I188" s="134"/>
      <c r="J188" s="1098"/>
      <c r="K188" s="677"/>
      <c r="L188" s="1125"/>
      <c r="R188" s="459"/>
      <c r="S188" s="459"/>
      <c r="T188" s="459"/>
      <c r="V188" s="2"/>
      <c r="W188" s="1022"/>
    </row>
    <row r="189" spans="3:23" ht="10.5" customHeight="1" x14ac:dyDescent="0.2">
      <c r="C189" s="134"/>
      <c r="D189" s="1098"/>
      <c r="E189" s="134"/>
      <c r="F189" s="1098"/>
      <c r="G189" s="134"/>
      <c r="H189" s="1098"/>
      <c r="I189" s="134"/>
      <c r="J189" s="1098"/>
      <c r="K189" s="677"/>
      <c r="L189" s="1125"/>
      <c r="R189" s="459"/>
      <c r="S189" s="459"/>
      <c r="T189" s="459"/>
      <c r="V189" s="2"/>
      <c r="W189" s="1022"/>
    </row>
    <row r="190" spans="3:23" ht="10.5" customHeight="1" x14ac:dyDescent="0.2">
      <c r="C190" s="134"/>
      <c r="D190" s="1098"/>
      <c r="E190" s="134"/>
      <c r="F190" s="1098"/>
      <c r="G190" s="134"/>
      <c r="H190" s="1098"/>
      <c r="I190" s="134"/>
      <c r="J190" s="1098"/>
      <c r="K190" s="131"/>
      <c r="L190" s="1125"/>
      <c r="R190" s="459"/>
      <c r="S190" s="459"/>
      <c r="T190" s="459"/>
      <c r="W190" s="904"/>
    </row>
    <row r="191" spans="3:23" ht="10.5" customHeight="1" x14ac:dyDescent="0.2">
      <c r="C191" s="134"/>
      <c r="D191" s="1098"/>
      <c r="E191" s="134"/>
      <c r="F191" s="1098"/>
      <c r="G191" s="134"/>
      <c r="H191" s="1098"/>
      <c r="I191" s="134"/>
      <c r="J191" s="1098"/>
      <c r="K191" s="677"/>
      <c r="L191" s="1125"/>
      <c r="R191" s="459"/>
      <c r="S191" s="459"/>
      <c r="T191" s="459"/>
      <c r="V191" s="2"/>
      <c r="W191" s="1022"/>
    </row>
    <row r="192" spans="3:23" ht="10.5" customHeight="1" x14ac:dyDescent="0.2">
      <c r="C192" s="134"/>
      <c r="D192" s="1098"/>
      <c r="E192" s="134"/>
      <c r="F192" s="1098"/>
      <c r="G192" s="134"/>
      <c r="H192" s="1098"/>
      <c r="I192" s="134"/>
      <c r="J192" s="1098"/>
      <c r="K192" s="677"/>
      <c r="L192" s="1125"/>
      <c r="R192" s="459"/>
      <c r="S192" s="459"/>
      <c r="T192" s="459"/>
      <c r="V192" s="2"/>
      <c r="W192" s="1022"/>
    </row>
    <row r="193" spans="3:23" ht="10.5" customHeight="1" x14ac:dyDescent="0.2">
      <c r="C193" s="134"/>
      <c r="D193" s="1098"/>
      <c r="E193" s="134"/>
      <c r="F193" s="1098"/>
      <c r="G193" s="134"/>
      <c r="H193" s="1098"/>
      <c r="I193" s="134"/>
      <c r="J193" s="1098"/>
      <c r="K193" s="677"/>
      <c r="L193" s="1125"/>
      <c r="R193" s="459"/>
      <c r="S193" s="459"/>
      <c r="T193" s="459"/>
      <c r="V193" s="2"/>
      <c r="W193" s="1022"/>
    </row>
    <row r="194" spans="3:23" ht="10.5" customHeight="1" x14ac:dyDescent="0.2">
      <c r="C194" s="134"/>
      <c r="D194" s="1098"/>
      <c r="E194" s="134"/>
      <c r="F194" s="1098"/>
      <c r="G194" s="134"/>
      <c r="H194" s="1098"/>
      <c r="I194" s="134"/>
      <c r="J194" s="1098"/>
      <c r="K194" s="677"/>
      <c r="L194" s="1125"/>
      <c r="R194" s="459"/>
      <c r="S194" s="459"/>
      <c r="T194" s="459"/>
      <c r="V194" s="2"/>
      <c r="W194" s="1022"/>
    </row>
    <row r="195" spans="3:23" ht="10.5" customHeight="1" x14ac:dyDescent="0.2">
      <c r="C195" s="134"/>
      <c r="D195" s="1098"/>
      <c r="E195" s="134"/>
      <c r="F195" s="1098"/>
      <c r="G195" s="134"/>
      <c r="H195" s="1098"/>
      <c r="I195" s="134"/>
      <c r="J195" s="1098"/>
      <c r="K195" s="134"/>
      <c r="L195" s="1125"/>
      <c r="R195" s="459"/>
      <c r="S195" s="459"/>
      <c r="T195" s="459"/>
      <c r="V195" s="2"/>
      <c r="W195" s="1022"/>
    </row>
    <row r="196" spans="3:23" ht="10.5" customHeight="1" x14ac:dyDescent="0.2">
      <c r="C196" s="134"/>
      <c r="D196" s="1098"/>
      <c r="E196" s="134"/>
      <c r="F196" s="1098"/>
      <c r="G196" s="134"/>
      <c r="H196" s="1098"/>
      <c r="I196" s="134"/>
      <c r="J196" s="1098"/>
      <c r="K196" s="131"/>
      <c r="L196" s="1125"/>
      <c r="R196" s="459"/>
      <c r="S196" s="459"/>
      <c r="T196" s="459"/>
      <c r="W196" s="904"/>
    </row>
    <row r="197" spans="3:23" ht="10.5" customHeight="1" x14ac:dyDescent="0.2">
      <c r="C197" s="134"/>
      <c r="D197" s="1098"/>
      <c r="E197" s="134"/>
      <c r="F197" s="1098"/>
      <c r="G197" s="134"/>
      <c r="H197" s="1098"/>
      <c r="I197" s="134"/>
      <c r="J197" s="1098"/>
      <c r="K197" s="677"/>
      <c r="L197" s="1125"/>
      <c r="R197" s="459"/>
      <c r="S197" s="459"/>
      <c r="T197" s="459"/>
      <c r="V197" s="2"/>
      <c r="W197" s="1022"/>
    </row>
    <row r="198" spans="3:23" ht="10.5" customHeight="1" x14ac:dyDescent="0.2">
      <c r="C198" s="134"/>
      <c r="D198" s="1098"/>
      <c r="E198" s="134"/>
      <c r="F198" s="1098"/>
      <c r="G198" s="134"/>
      <c r="H198" s="1098"/>
      <c r="I198" s="134"/>
      <c r="J198" s="1098"/>
      <c r="K198" s="677"/>
      <c r="L198" s="1125"/>
      <c r="R198" s="459"/>
      <c r="S198" s="459"/>
      <c r="T198" s="459"/>
      <c r="V198" s="2"/>
      <c r="W198" s="1022"/>
    </row>
    <row r="199" spans="3:23" ht="10.5" customHeight="1" x14ac:dyDescent="0.2">
      <c r="C199" s="134"/>
      <c r="D199" s="1098"/>
      <c r="E199" s="134"/>
      <c r="F199" s="1098"/>
      <c r="G199" s="134"/>
      <c r="H199" s="1098"/>
      <c r="I199" s="134"/>
      <c r="J199" s="1098"/>
      <c r="K199" s="677"/>
      <c r="L199" s="1125"/>
      <c r="R199" s="459"/>
      <c r="S199" s="459"/>
      <c r="T199" s="459"/>
      <c r="V199" s="2"/>
      <c r="W199" s="1022"/>
    </row>
    <row r="200" spans="3:23" ht="10.5" customHeight="1" x14ac:dyDescent="0.2">
      <c r="C200" s="134"/>
      <c r="D200" s="1098"/>
      <c r="E200" s="134"/>
      <c r="F200" s="1098"/>
      <c r="G200" s="134"/>
      <c r="H200" s="1098"/>
      <c r="I200" s="134"/>
      <c r="J200" s="1098"/>
      <c r="K200" s="677"/>
      <c r="L200" s="1125"/>
      <c r="R200" s="459"/>
      <c r="S200" s="459"/>
      <c r="T200" s="459"/>
      <c r="V200" s="2"/>
      <c r="W200" s="1022"/>
    </row>
    <row r="201" spans="3:23" ht="10.5" customHeight="1" x14ac:dyDescent="0.2">
      <c r="C201" s="134"/>
      <c r="D201" s="1098"/>
      <c r="E201" s="134"/>
      <c r="F201" s="1098"/>
      <c r="G201" s="134"/>
      <c r="H201" s="1098"/>
      <c r="I201" s="134"/>
      <c r="J201" s="1098"/>
      <c r="K201" s="677"/>
      <c r="L201" s="1125"/>
      <c r="R201" s="459"/>
      <c r="S201" s="459"/>
      <c r="T201" s="459"/>
      <c r="V201" s="2"/>
      <c r="W201" s="1022"/>
    </row>
    <row r="202" spans="3:23" ht="10.5" customHeight="1" x14ac:dyDescent="0.2">
      <c r="C202" s="134"/>
      <c r="D202" s="1098"/>
      <c r="E202" s="134"/>
      <c r="F202" s="1098"/>
      <c r="G202" s="134"/>
      <c r="H202" s="1098"/>
      <c r="I202" s="134"/>
      <c r="J202" s="1098"/>
      <c r="K202" s="677"/>
      <c r="L202" s="1125"/>
      <c r="R202" s="459"/>
      <c r="S202" s="459"/>
      <c r="T202" s="459"/>
      <c r="V202" s="2"/>
      <c r="W202" s="1022"/>
    </row>
    <row r="203" spans="3:23" ht="10.5" customHeight="1" x14ac:dyDescent="0.2">
      <c r="C203" s="134"/>
      <c r="D203" s="1098"/>
      <c r="E203" s="134"/>
      <c r="F203" s="1098"/>
      <c r="G203" s="134"/>
      <c r="H203" s="1098"/>
      <c r="I203" s="134"/>
      <c r="J203" s="1098"/>
      <c r="K203" s="677"/>
      <c r="L203" s="1125"/>
      <c r="R203" s="459"/>
      <c r="S203" s="459"/>
      <c r="T203" s="459"/>
      <c r="V203" s="2"/>
      <c r="W203" s="1022"/>
    </row>
    <row r="204" spans="3:23" ht="10.5" customHeight="1" x14ac:dyDescent="0.2">
      <c r="C204" s="134"/>
      <c r="D204" s="1098"/>
      <c r="E204" s="134"/>
      <c r="F204" s="1098"/>
      <c r="G204" s="134"/>
      <c r="H204" s="1098"/>
      <c r="I204" s="134"/>
      <c r="J204" s="1098"/>
      <c r="K204" s="677"/>
      <c r="L204" s="1125"/>
      <c r="R204" s="459"/>
      <c r="S204" s="459"/>
      <c r="T204" s="459"/>
      <c r="V204" s="2"/>
      <c r="W204" s="1022"/>
    </row>
    <row r="205" spans="3:23" ht="10.5" customHeight="1" x14ac:dyDescent="0.2">
      <c r="C205" s="134"/>
      <c r="D205" s="1098"/>
      <c r="E205" s="134"/>
      <c r="F205" s="1098"/>
      <c r="G205" s="134"/>
      <c r="H205" s="1098"/>
      <c r="I205" s="134"/>
      <c r="J205" s="1098"/>
      <c r="K205" s="677"/>
      <c r="L205" s="1125"/>
      <c r="R205" s="459"/>
      <c r="S205" s="459"/>
      <c r="T205" s="459"/>
      <c r="V205" s="2"/>
      <c r="W205" s="1022"/>
    </row>
    <row r="206" spans="3:23" ht="10.5" customHeight="1" x14ac:dyDescent="0.2">
      <c r="C206" s="134"/>
      <c r="D206" s="1098"/>
      <c r="E206" s="134"/>
      <c r="F206" s="1098"/>
      <c r="G206" s="134"/>
      <c r="H206" s="1098"/>
      <c r="I206" s="134"/>
      <c r="J206" s="1098"/>
      <c r="K206" s="677"/>
      <c r="L206" s="1125"/>
      <c r="R206" s="459"/>
      <c r="S206" s="459"/>
      <c r="T206" s="459"/>
      <c r="V206" s="2"/>
      <c r="W206" s="1022"/>
    </row>
    <row r="207" spans="3:23" ht="10.5" customHeight="1" x14ac:dyDescent="0.2">
      <c r="C207" s="134"/>
      <c r="D207" s="1098"/>
      <c r="E207" s="134"/>
      <c r="F207" s="1098"/>
      <c r="G207" s="134"/>
      <c r="H207" s="1098"/>
      <c r="I207" s="134"/>
      <c r="J207" s="1098"/>
      <c r="K207" s="677"/>
      <c r="L207" s="1125"/>
      <c r="R207" s="459"/>
      <c r="S207" s="459"/>
      <c r="T207" s="459"/>
      <c r="W207" s="904"/>
    </row>
    <row r="208" spans="3:23" ht="10.5" customHeight="1" x14ac:dyDescent="0.2">
      <c r="C208" s="134"/>
      <c r="D208" s="1098"/>
      <c r="E208" s="134"/>
      <c r="F208" s="1098"/>
      <c r="G208" s="134"/>
      <c r="H208" s="1098"/>
      <c r="I208" s="134"/>
      <c r="J208" s="1098"/>
      <c r="K208" s="677"/>
      <c r="L208" s="1125"/>
      <c r="R208" s="459"/>
      <c r="S208" s="459"/>
      <c r="T208" s="459"/>
      <c r="V208" s="2"/>
      <c r="W208" s="1022"/>
    </row>
    <row r="209" spans="1:23" ht="10.5" customHeight="1" x14ac:dyDescent="0.2">
      <c r="C209" s="134"/>
      <c r="D209" s="1098"/>
      <c r="E209" s="134"/>
      <c r="F209" s="1098"/>
      <c r="G209" s="134"/>
      <c r="H209" s="1098"/>
      <c r="I209" s="134"/>
      <c r="J209" s="1098"/>
      <c r="K209" s="134"/>
      <c r="L209" s="1125"/>
      <c r="R209" s="459"/>
      <c r="S209" s="459"/>
      <c r="T209" s="459"/>
      <c r="V209" s="2"/>
      <c r="W209" s="1022"/>
    </row>
    <row r="210" spans="1:23" ht="10.5" customHeight="1" x14ac:dyDescent="0.2">
      <c r="C210" s="134"/>
      <c r="D210" s="1098"/>
      <c r="E210" s="134"/>
      <c r="F210" s="1098"/>
      <c r="G210" s="134"/>
      <c r="H210" s="1098"/>
      <c r="I210" s="134"/>
      <c r="J210" s="1098"/>
      <c r="K210" s="677"/>
      <c r="L210" s="1125"/>
      <c r="M210" s="1007"/>
      <c r="R210" s="459"/>
      <c r="S210" s="459"/>
      <c r="T210" s="459"/>
      <c r="V210" s="2"/>
      <c r="W210" s="1022"/>
    </row>
    <row r="211" spans="1:23" ht="10.5" customHeight="1" x14ac:dyDescent="0.2">
      <c r="C211" s="134"/>
      <c r="D211" s="1098"/>
      <c r="E211" s="134"/>
      <c r="F211" s="1098"/>
      <c r="G211" s="134"/>
      <c r="H211" s="1098"/>
      <c r="I211" s="134"/>
      <c r="J211" s="1098"/>
      <c r="K211" s="677"/>
      <c r="L211" s="1125"/>
      <c r="M211" s="1007"/>
      <c r="R211" s="459"/>
      <c r="S211" s="459"/>
      <c r="T211" s="459"/>
      <c r="V211" s="2"/>
      <c r="W211" s="1022"/>
    </row>
    <row r="212" spans="1:23" ht="10.5" customHeight="1" x14ac:dyDescent="0.2">
      <c r="C212" s="134"/>
      <c r="D212" s="1098"/>
      <c r="E212" s="134"/>
      <c r="F212" s="1098"/>
      <c r="G212" s="134"/>
      <c r="H212" s="1098"/>
      <c r="I212" s="134"/>
      <c r="J212" s="1098"/>
      <c r="K212" s="677"/>
      <c r="L212" s="1125"/>
      <c r="M212" s="1007"/>
      <c r="R212" s="459"/>
      <c r="S212" s="459"/>
      <c r="T212" s="459"/>
      <c r="V212" s="2"/>
      <c r="W212" s="1022"/>
    </row>
    <row r="213" spans="1:23" ht="10.5" customHeight="1" x14ac:dyDescent="0.2">
      <c r="B213" s="134"/>
      <c r="C213" s="134"/>
      <c r="D213" s="134"/>
      <c r="E213" s="134"/>
      <c r="F213" s="134"/>
      <c r="G213" s="677"/>
      <c r="H213" s="677"/>
      <c r="I213" s="309"/>
      <c r="J213" s="309"/>
      <c r="K213" s="1007"/>
      <c r="P213" s="459"/>
      <c r="Q213" s="459"/>
      <c r="R213" s="459"/>
      <c r="T213" s="2"/>
      <c r="U213" s="1022"/>
    </row>
    <row r="214" spans="1:23" ht="10.5" customHeight="1" x14ac:dyDescent="0.2">
      <c r="A214" s="2"/>
      <c r="B214" s="2"/>
      <c r="C214" s="2"/>
      <c r="D214" s="2"/>
      <c r="E214" s="2"/>
      <c r="F214" s="2"/>
      <c r="G214" s="2"/>
      <c r="H214" s="2"/>
      <c r="I214" s="2"/>
      <c r="J214" s="2"/>
      <c r="K214" s="2"/>
      <c r="L214" s="2"/>
    </row>
    <row r="215" spans="1:23" ht="10.5" customHeight="1" x14ac:dyDescent="0.2">
      <c r="A215" s="309"/>
      <c r="B215" s="309"/>
      <c r="C215" s="309"/>
      <c r="D215" s="309"/>
      <c r="E215" s="309"/>
      <c r="F215" s="309"/>
      <c r="G215" s="309"/>
      <c r="H215" s="309"/>
      <c r="I215" s="309"/>
      <c r="J215" s="309"/>
      <c r="K215" s="309"/>
      <c r="L215" s="309"/>
      <c r="U215" s="1126"/>
    </row>
    <row r="216" spans="1:23" s="714" customFormat="1" ht="11.25" customHeight="1" x14ac:dyDescent="0.2">
      <c r="A216" s="304"/>
      <c r="B216" s="304"/>
      <c r="C216" s="304"/>
      <c r="D216" s="304"/>
      <c r="E216" s="304"/>
      <c r="F216" s="304"/>
      <c r="G216" s="304"/>
      <c r="H216" s="304"/>
      <c r="I216" s="304"/>
      <c r="J216" s="304"/>
      <c r="K216" s="304"/>
      <c r="L216" s="304"/>
      <c r="M216" s="304"/>
      <c r="N216" s="304"/>
      <c r="O216" s="304"/>
      <c r="P216" s="304"/>
    </row>
    <row r="217" spans="1:23" x14ac:dyDescent="0.2">
      <c r="A217" s="2"/>
      <c r="B217" s="2"/>
      <c r="C217" s="2"/>
      <c r="D217" s="903"/>
      <c r="E217" s="904"/>
      <c r="F217" s="904"/>
      <c r="G217" s="1072"/>
      <c r="H217" s="1072"/>
      <c r="I217" s="904"/>
      <c r="J217" s="904"/>
      <c r="K217" s="1065"/>
    </row>
    <row r="218" spans="1:23" x14ac:dyDescent="0.2">
      <c r="A218" s="1010"/>
      <c r="B218" s="2"/>
      <c r="C218" s="2"/>
      <c r="D218" s="903"/>
      <c r="E218" s="904"/>
      <c r="F218" s="904"/>
      <c r="G218" s="1072"/>
      <c r="H218" s="1072"/>
      <c r="I218" s="904"/>
      <c r="J218" s="904"/>
      <c r="K218" s="1065"/>
    </row>
    <row r="219" spans="1:23" x14ac:dyDescent="0.2">
      <c r="A219" s="691"/>
      <c r="B219" s="2"/>
      <c r="C219" s="2"/>
      <c r="D219" s="903"/>
      <c r="E219" s="904"/>
      <c r="F219" s="904"/>
      <c r="G219" s="1072"/>
      <c r="H219" s="1072"/>
      <c r="I219" s="904"/>
      <c r="J219" s="904"/>
      <c r="K219" s="1065"/>
    </row>
    <row r="220" spans="1:23" s="722" customFormat="1" ht="24" customHeight="1" x14ac:dyDescent="0.2">
      <c r="A220" s="893"/>
      <c r="B220" s="893"/>
      <c r="C220" s="893"/>
      <c r="D220" s="893"/>
      <c r="E220" s="893"/>
      <c r="F220" s="893"/>
      <c r="G220" s="893"/>
      <c r="H220" s="893"/>
      <c r="I220" s="893"/>
      <c r="J220" s="893"/>
      <c r="K220" s="893"/>
      <c r="O220" s="309"/>
      <c r="Q220" s="309"/>
      <c r="R220" s="309"/>
      <c r="S220" s="309"/>
      <c r="T220" s="309"/>
    </row>
    <row r="221" spans="1:23" s="1127" customFormat="1" ht="12" customHeight="1" x14ac:dyDescent="0.2">
      <c r="A221" s="1114"/>
      <c r="B221" s="1114"/>
      <c r="C221" s="1114"/>
      <c r="D221" s="1114"/>
      <c r="E221" s="1114"/>
      <c r="F221" s="1114"/>
      <c r="G221" s="1114"/>
      <c r="H221" s="1114"/>
      <c r="I221" s="1114"/>
      <c r="J221" s="1114"/>
      <c r="K221" s="1114"/>
    </row>
    <row r="222" spans="1:23" ht="10.5" customHeight="1" x14ac:dyDescent="0.2">
      <c r="I222" s="1128"/>
      <c r="J222" s="1128"/>
      <c r="K222" s="1113"/>
    </row>
    <row r="223" spans="1:23" ht="25.5" customHeight="1" x14ac:dyDescent="0.2">
      <c r="A223" s="637"/>
      <c r="B223" s="711"/>
      <c r="C223" s="711"/>
      <c r="D223" s="711"/>
      <c r="E223" s="711"/>
      <c r="F223" s="711"/>
      <c r="G223" s="711"/>
      <c r="H223" s="711"/>
      <c r="I223" s="711"/>
      <c r="J223" s="711"/>
      <c r="K223" s="711"/>
      <c r="M223" s="770"/>
    </row>
    <row r="224" spans="1:23" x14ac:dyDescent="0.2">
      <c r="A224" s="706"/>
      <c r="B224" s="1129"/>
      <c r="C224" s="1094"/>
      <c r="D224" s="1129"/>
      <c r="E224" s="1094"/>
      <c r="F224" s="1129"/>
      <c r="G224" s="1094"/>
      <c r="H224" s="1129"/>
      <c r="I224" s="1094"/>
      <c r="J224" s="1129"/>
      <c r="K224" s="1094"/>
    </row>
    <row r="225" spans="1:11" x14ac:dyDescent="0.2">
      <c r="A225" s="1130"/>
      <c r="B225" s="134"/>
      <c r="C225" s="1131"/>
      <c r="D225" s="134"/>
      <c r="E225" s="1131"/>
      <c r="F225" s="134"/>
      <c r="G225" s="1131"/>
      <c r="H225" s="1132"/>
      <c r="I225" s="1131"/>
      <c r="J225" s="1066"/>
      <c r="K225" s="1131"/>
    </row>
    <row r="226" spans="1:11" x14ac:dyDescent="0.2">
      <c r="A226" s="1130"/>
      <c r="B226" s="134"/>
      <c r="C226" s="1131"/>
      <c r="D226" s="134"/>
      <c r="E226" s="1131"/>
      <c r="F226" s="134"/>
      <c r="G226" s="1071"/>
      <c r="H226" s="1132"/>
      <c r="I226" s="1131"/>
      <c r="J226" s="1132"/>
      <c r="K226" s="1131"/>
    </row>
    <row r="227" spans="1:11" x14ac:dyDescent="0.2">
      <c r="A227" s="1130"/>
      <c r="B227" s="134"/>
      <c r="C227" s="1131"/>
      <c r="D227" s="134"/>
      <c r="E227" s="1071"/>
      <c r="F227" s="134"/>
      <c r="G227" s="1071"/>
      <c r="H227" s="1132"/>
      <c r="I227" s="1131"/>
      <c r="J227" s="1066"/>
      <c r="K227" s="1131"/>
    </row>
    <row r="228" spans="1:11" x14ac:dyDescent="0.2">
      <c r="A228" s="1130"/>
      <c r="B228" s="134"/>
      <c r="C228" s="1131"/>
      <c r="D228" s="134"/>
      <c r="E228" s="1071"/>
      <c r="F228" s="134"/>
      <c r="G228" s="1071"/>
      <c r="H228" s="1132"/>
      <c r="I228" s="1131"/>
      <c r="J228" s="1132"/>
      <c r="K228" s="1131"/>
    </row>
    <row r="229" spans="1:11" x14ac:dyDescent="0.2">
      <c r="A229" s="1130"/>
      <c r="B229" s="134"/>
      <c r="C229" s="1131"/>
      <c r="D229" s="134"/>
      <c r="E229" s="1131"/>
      <c r="F229" s="134"/>
      <c r="G229" s="1131"/>
      <c r="H229" s="1132"/>
      <c r="I229" s="1131"/>
      <c r="J229" s="1066"/>
      <c r="K229" s="1131"/>
    </row>
    <row r="230" spans="1:11" x14ac:dyDescent="0.2">
      <c r="A230" s="1130"/>
      <c r="B230" s="134"/>
      <c r="C230" s="1131"/>
      <c r="D230" s="134"/>
      <c r="E230" s="1071"/>
      <c r="F230" s="134"/>
      <c r="G230" s="1071"/>
      <c r="H230" s="1132"/>
      <c r="I230" s="1131"/>
      <c r="J230" s="1066"/>
      <c r="K230" s="1131"/>
    </row>
    <row r="231" spans="1:11" x14ac:dyDescent="0.2">
      <c r="A231" s="1130"/>
      <c r="B231" s="134"/>
      <c r="C231" s="1131"/>
      <c r="D231" s="134"/>
      <c r="E231" s="1071"/>
      <c r="F231" s="134"/>
      <c r="G231" s="1071"/>
      <c r="H231" s="1132"/>
      <c r="I231" s="1131"/>
      <c r="J231" s="1066"/>
      <c r="K231" s="1131"/>
    </row>
    <row r="232" spans="1:11" x14ac:dyDescent="0.2">
      <c r="A232" s="1130"/>
      <c r="B232" s="134"/>
      <c r="C232" s="1131"/>
      <c r="D232" s="134"/>
      <c r="E232" s="1071"/>
      <c r="F232" s="134"/>
      <c r="G232" s="1131"/>
      <c r="H232" s="134"/>
      <c r="I232" s="1131"/>
      <c r="J232" s="1066"/>
      <c r="K232" s="1131"/>
    </row>
    <row r="233" spans="1:11" x14ac:dyDescent="0.2">
      <c r="A233" s="1130"/>
      <c r="B233" s="134"/>
      <c r="C233" s="1131"/>
      <c r="D233" s="134"/>
      <c r="E233" s="1131"/>
      <c r="F233" s="134"/>
      <c r="G233" s="1071"/>
      <c r="H233" s="1132"/>
      <c r="I233" s="1131"/>
      <c r="J233" s="1066"/>
      <c r="K233" s="1131"/>
    </row>
    <row r="234" spans="1:11" x14ac:dyDescent="0.2">
      <c r="A234" s="1130"/>
      <c r="B234" s="134"/>
      <c r="C234" s="1131"/>
      <c r="D234" s="134"/>
      <c r="E234" s="1071"/>
      <c r="F234" s="134"/>
      <c r="G234" s="1071"/>
      <c r="H234" s="1132"/>
      <c r="I234" s="1131"/>
      <c r="J234" s="1066"/>
      <c r="K234" s="1131"/>
    </row>
    <row r="235" spans="1:11" x14ac:dyDescent="0.2">
      <c r="A235" s="1130"/>
      <c r="B235" s="134"/>
      <c r="C235" s="1131"/>
      <c r="D235" s="134"/>
      <c r="E235" s="1131"/>
      <c r="F235" s="134"/>
      <c r="G235" s="1071"/>
      <c r="H235" s="1132"/>
      <c r="I235" s="1131"/>
      <c r="J235" s="1066"/>
      <c r="K235" s="1131"/>
    </row>
    <row r="236" spans="1:11" x14ac:dyDescent="0.2">
      <c r="A236" s="1130"/>
      <c r="B236" s="134"/>
      <c r="C236" s="1131"/>
      <c r="D236" s="134"/>
      <c r="E236" s="1071"/>
      <c r="F236" s="134"/>
      <c r="G236" s="1071"/>
      <c r="H236" s="134"/>
      <c r="I236" s="1131"/>
      <c r="J236" s="1066"/>
      <c r="K236" s="1131"/>
    </row>
    <row r="237" spans="1:11" x14ac:dyDescent="0.2">
      <c r="A237" s="1130"/>
      <c r="B237" s="134"/>
      <c r="C237" s="1131"/>
      <c r="D237" s="134"/>
      <c r="E237" s="1071"/>
      <c r="F237" s="134"/>
      <c r="G237" s="1071"/>
      <c r="H237" s="1132"/>
      <c r="I237" s="1131"/>
      <c r="J237" s="1066"/>
      <c r="K237" s="1131"/>
    </row>
    <row r="238" spans="1:11" x14ac:dyDescent="0.2">
      <c r="A238" s="1130"/>
      <c r="B238" s="134"/>
      <c r="C238" s="1131"/>
      <c r="D238" s="134"/>
      <c r="E238" s="1131"/>
      <c r="F238" s="134"/>
      <c r="G238" s="1071"/>
      <c r="H238" s="134"/>
      <c r="I238" s="1131"/>
      <c r="J238" s="1132"/>
      <c r="K238" s="1131"/>
    </row>
    <row r="239" spans="1:11" x14ac:dyDescent="0.2">
      <c r="A239" s="1130"/>
      <c r="B239" s="134"/>
      <c r="C239" s="1131"/>
      <c r="D239" s="134"/>
      <c r="E239" s="1071"/>
      <c r="F239" s="134"/>
      <c r="G239" s="1071"/>
      <c r="H239" s="1133"/>
      <c r="I239" s="1131"/>
      <c r="J239" s="1066"/>
      <c r="K239" s="1131"/>
    </row>
    <row r="240" spans="1:11" ht="9" customHeight="1" x14ac:dyDescent="0.2">
      <c r="A240" s="288"/>
      <c r="C240" s="1071"/>
      <c r="E240" s="1071"/>
      <c r="F240" s="1071"/>
      <c r="G240" s="1066"/>
      <c r="H240" s="1066"/>
      <c r="I240" s="1071"/>
      <c r="J240" s="1071"/>
    </row>
    <row r="241" spans="1:16" s="1136" customFormat="1" ht="25.5" customHeight="1" x14ac:dyDescent="0.2">
      <c r="A241" s="1134"/>
      <c r="B241" s="1134"/>
      <c r="C241" s="1134"/>
      <c r="D241" s="1134"/>
      <c r="E241" s="1134"/>
      <c r="F241" s="1134"/>
      <c r="G241" s="1134"/>
      <c r="H241" s="1134"/>
      <c r="I241" s="1134"/>
      <c r="J241" s="1134"/>
      <c r="K241" s="1134"/>
      <c r="L241" s="1135"/>
      <c r="M241" s="1135"/>
      <c r="N241" s="1135"/>
      <c r="O241" s="1135"/>
      <c r="P241" s="1135"/>
    </row>
    <row r="242" spans="1:16" x14ac:dyDescent="0.2">
      <c r="A242" s="304"/>
      <c r="B242" s="304"/>
      <c r="C242" s="304"/>
      <c r="D242" s="304"/>
      <c r="E242" s="304"/>
      <c r="F242" s="304"/>
      <c r="G242" s="304"/>
      <c r="H242" s="304"/>
      <c r="I242" s="304"/>
      <c r="J242" s="304"/>
      <c r="K242" s="304"/>
    </row>
    <row r="243" spans="1:16" x14ac:dyDescent="0.2">
      <c r="A243" s="2"/>
    </row>
    <row r="244" spans="1:16" x14ac:dyDescent="0.2">
      <c r="A244" s="1010"/>
    </row>
    <row r="245" spans="1:16" x14ac:dyDescent="0.2">
      <c r="A245" s="691"/>
    </row>
    <row r="246" spans="1:16" ht="12.75" customHeight="1" x14ac:dyDescent="0.2">
      <c r="A246" s="711"/>
      <c r="B246" s="711"/>
      <c r="C246" s="711"/>
      <c r="D246" s="711"/>
      <c r="E246" s="711"/>
      <c r="F246" s="711"/>
      <c r="G246" s="711"/>
      <c r="H246" s="711"/>
      <c r="I246" s="711"/>
      <c r="J246" s="711"/>
      <c r="K246" s="711"/>
    </row>
    <row r="247" spans="1:16" x14ac:dyDescent="0.2">
      <c r="A247" s="711"/>
      <c r="B247" s="711"/>
      <c r="C247" s="711"/>
      <c r="D247" s="2"/>
      <c r="E247" s="2"/>
      <c r="F247" s="2"/>
      <c r="G247" s="2"/>
      <c r="H247" s="2"/>
      <c r="I247" s="2"/>
      <c r="J247" s="2"/>
    </row>
    <row r="248" spans="1:16" ht="12.75" customHeight="1" x14ac:dyDescent="0.2">
      <c r="A248" s="988"/>
      <c r="B248" s="711"/>
      <c r="C248" s="711"/>
      <c r="D248" s="711"/>
      <c r="E248" s="711"/>
      <c r="F248" s="711"/>
      <c r="G248" s="711"/>
      <c r="H248" s="711"/>
      <c r="I248" s="711"/>
      <c r="J248" s="711"/>
      <c r="K248" s="711"/>
      <c r="M248" s="711"/>
    </row>
    <row r="249" spans="1:16" ht="14.25" customHeight="1" x14ac:dyDescent="0.2">
      <c r="A249" s="988"/>
      <c r="B249" s="1137"/>
      <c r="C249" s="1137"/>
      <c r="D249" s="1137"/>
      <c r="E249" s="1137"/>
      <c r="F249" s="1137"/>
      <c r="G249" s="1137"/>
      <c r="H249" s="1137"/>
      <c r="I249" s="1137"/>
      <c r="J249" s="1137"/>
      <c r="K249" s="1137"/>
    </row>
    <row r="250" spans="1:16" x14ac:dyDescent="0.2">
      <c r="A250" s="1138"/>
      <c r="B250" s="1139"/>
      <c r="C250" s="1140"/>
      <c r="D250" s="1139"/>
      <c r="E250" s="1140"/>
      <c r="F250" s="1139"/>
      <c r="G250" s="1140"/>
      <c r="H250" s="1139"/>
      <c r="I250" s="1140"/>
      <c r="J250" s="1139"/>
      <c r="K250" s="1140"/>
    </row>
    <row r="251" spans="1:16" x14ac:dyDescent="0.2">
      <c r="A251" s="1032"/>
      <c r="B251" s="1141"/>
      <c r="C251" s="906"/>
      <c r="D251" s="1141"/>
      <c r="E251" s="906"/>
      <c r="F251" s="1141"/>
      <c r="G251" s="906"/>
      <c r="H251" s="1141"/>
      <c r="I251" s="906"/>
      <c r="J251" s="665"/>
      <c r="K251" s="906"/>
    </row>
    <row r="252" spans="1:16" x14ac:dyDescent="0.2">
      <c r="A252" s="1032"/>
      <c r="B252" s="1141"/>
      <c r="C252" s="906"/>
      <c r="D252" s="1141"/>
      <c r="E252" s="906"/>
      <c r="F252" s="1141"/>
      <c r="G252" s="906"/>
      <c r="H252" s="1141"/>
      <c r="I252" s="906"/>
      <c r="J252" s="665"/>
      <c r="K252" s="906"/>
    </row>
    <row r="253" spans="1:16" x14ac:dyDescent="0.2">
      <c r="A253" s="1032"/>
      <c r="B253" s="1141"/>
      <c r="C253" s="906"/>
      <c r="D253" s="1141"/>
      <c r="E253" s="906"/>
      <c r="F253" s="1141"/>
      <c r="G253" s="906"/>
      <c r="H253" s="1141"/>
      <c r="I253" s="906"/>
      <c r="J253" s="665"/>
      <c r="K253" s="906"/>
    </row>
    <row r="254" spans="1:16" x14ac:dyDescent="0.2">
      <c r="A254" s="1032"/>
      <c r="B254" s="1141"/>
      <c r="C254" s="906"/>
      <c r="D254" s="1141"/>
      <c r="E254" s="906"/>
      <c r="F254" s="1141"/>
      <c r="G254" s="906"/>
      <c r="H254" s="1141"/>
      <c r="I254" s="906"/>
      <c r="J254" s="665"/>
      <c r="K254" s="906"/>
    </row>
    <row r="255" spans="1:16" x14ac:dyDescent="0.2">
      <c r="A255" s="1032"/>
      <c r="B255" s="1141"/>
      <c r="C255" s="906"/>
      <c r="D255" s="1141"/>
      <c r="E255" s="906"/>
      <c r="F255" s="1141"/>
      <c r="G255" s="906"/>
      <c r="H255" s="1141"/>
      <c r="I255" s="906"/>
      <c r="J255" s="665"/>
      <c r="K255" s="906"/>
    </row>
    <row r="256" spans="1:16" x14ac:dyDescent="0.2">
      <c r="A256" s="1032"/>
      <c r="B256" s="1141"/>
      <c r="C256" s="906"/>
      <c r="D256" s="1141"/>
      <c r="E256" s="906"/>
      <c r="F256" s="1141"/>
      <c r="G256" s="906"/>
      <c r="H256" s="1141"/>
      <c r="I256" s="906"/>
      <c r="J256" s="665"/>
      <c r="K256" s="906"/>
    </row>
    <row r="257" spans="1:11" x14ac:dyDescent="0.2">
      <c r="A257" s="1032"/>
      <c r="B257" s="1141"/>
      <c r="C257" s="906"/>
      <c r="D257" s="1141"/>
      <c r="E257" s="906"/>
      <c r="F257" s="1141"/>
      <c r="G257" s="906"/>
      <c r="H257" s="1141"/>
      <c r="I257" s="906"/>
      <c r="J257" s="665"/>
      <c r="K257" s="906"/>
    </row>
    <row r="258" spans="1:11" x14ac:dyDescent="0.2">
      <c r="A258" s="1032"/>
      <c r="B258" s="1141"/>
      <c r="C258" s="906"/>
      <c r="D258" s="1141"/>
      <c r="E258" s="906"/>
      <c r="F258" s="1141"/>
      <c r="G258" s="906"/>
      <c r="H258" s="1141"/>
      <c r="I258" s="906"/>
      <c r="J258" s="665"/>
      <c r="K258" s="906"/>
    </row>
    <row r="259" spans="1:11" x14ac:dyDescent="0.2">
      <c r="A259" s="1032"/>
      <c r="B259" s="1141"/>
      <c r="C259" s="906"/>
      <c r="D259" s="1141"/>
      <c r="E259" s="906"/>
      <c r="F259" s="1141"/>
      <c r="G259" s="906"/>
      <c r="H259" s="1141"/>
      <c r="I259" s="906"/>
      <c r="J259" s="665"/>
      <c r="K259" s="906"/>
    </row>
    <row r="260" spans="1:11" x14ac:dyDescent="0.2">
      <c r="A260" s="1032"/>
      <c r="B260" s="1141"/>
      <c r="C260" s="906"/>
      <c r="D260" s="1141"/>
      <c r="E260" s="906"/>
      <c r="F260" s="1141"/>
      <c r="G260" s="906"/>
      <c r="H260" s="1141"/>
      <c r="I260" s="906"/>
      <c r="J260" s="665"/>
      <c r="K260" s="906"/>
    </row>
    <row r="261" spans="1:11" x14ac:dyDescent="0.2">
      <c r="A261" s="1032"/>
      <c r="B261" s="1141"/>
      <c r="C261" s="906"/>
      <c r="D261" s="1141"/>
      <c r="E261" s="906"/>
      <c r="F261" s="1141"/>
      <c r="G261" s="906"/>
      <c r="H261" s="1141"/>
      <c r="I261" s="906"/>
      <c r="J261" s="665"/>
      <c r="K261" s="906"/>
    </row>
    <row r="262" spans="1:11" x14ac:dyDescent="0.2">
      <c r="A262" s="1032"/>
      <c r="B262" s="1141"/>
      <c r="C262" s="906"/>
      <c r="D262" s="1141"/>
      <c r="E262" s="906"/>
      <c r="F262" s="1141"/>
      <c r="G262" s="906"/>
      <c r="H262" s="1141"/>
      <c r="I262" s="906"/>
      <c r="J262" s="665"/>
      <c r="K262" s="906"/>
    </row>
    <row r="263" spans="1:11" x14ac:dyDescent="0.2">
      <c r="A263" s="1032"/>
      <c r="B263" s="1141"/>
      <c r="C263" s="906"/>
      <c r="D263" s="1141"/>
      <c r="E263" s="906"/>
      <c r="F263" s="1141"/>
      <c r="G263" s="906"/>
      <c r="H263" s="1141"/>
      <c r="I263" s="906"/>
      <c r="J263" s="665"/>
      <c r="K263" s="906"/>
    </row>
    <row r="264" spans="1:11" x14ac:dyDescent="0.2">
      <c r="A264" s="2"/>
      <c r="B264" s="2"/>
      <c r="C264" s="2"/>
      <c r="D264" s="2"/>
      <c r="E264" s="2"/>
      <c r="F264" s="2"/>
      <c r="G264" s="2"/>
      <c r="H264" s="2"/>
      <c r="I264" s="2"/>
      <c r="J264" s="2"/>
      <c r="K264" s="2"/>
    </row>
    <row r="265" spans="1:11" x14ac:dyDescent="0.2">
      <c r="A265" s="2"/>
    </row>
    <row r="266" spans="1:11" x14ac:dyDescent="0.2">
      <c r="A266" s="2"/>
      <c r="B266" s="2"/>
      <c r="C266" s="2"/>
      <c r="D266" s="2"/>
      <c r="E266" s="2"/>
      <c r="F266" s="2"/>
      <c r="G266" s="2"/>
      <c r="H266" s="2"/>
      <c r="I266" s="2"/>
      <c r="J266" s="2"/>
      <c r="K266" s="2"/>
    </row>
    <row r="268" spans="1:11" x14ac:dyDescent="0.2">
      <c r="H268" s="1096"/>
      <c r="J268" s="1096"/>
    </row>
  </sheetData>
  <mergeCells count="8">
    <mergeCell ref="A23:K23"/>
    <mergeCell ref="A2:K2"/>
    <mergeCell ref="A4:A5"/>
    <mergeCell ref="B4:C4"/>
    <mergeCell ref="D4:E4"/>
    <mergeCell ref="F4:G4"/>
    <mergeCell ref="H4:I4"/>
    <mergeCell ref="J4:K4"/>
  </mergeCells>
  <pageMargins left="0.7" right="0.7" top="0.75" bottom="0.75" header="0.3" footer="0.3"/>
  <pageSetup paperSize="14" orientation="landscape" r:id="rId1"/>
  <rowBreaks count="3" manualBreakCount="3">
    <brk id="31" max="16383" man="1"/>
    <brk id="105" max="16383" man="1"/>
    <brk id="212" max="16383" man="1"/>
  </rowBreaks>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629BA-F4BE-4F24-A1A1-E545370B905B}">
  <sheetPr codeName="Hoja213"/>
  <dimension ref="A1:Z19"/>
  <sheetViews>
    <sheetView workbookViewId="0">
      <selection activeCell="A53" sqref="A53"/>
    </sheetView>
  </sheetViews>
  <sheetFormatPr baseColWidth="10" defaultRowHeight="13.2" x14ac:dyDescent="0.25"/>
  <sheetData>
    <row r="1" spans="1:26" x14ac:dyDescent="0.25">
      <c r="A1" s="1009"/>
    </row>
    <row r="2" spans="1:26" s="141" customFormat="1" ht="24.75" customHeight="1" x14ac:dyDescent="0.2">
      <c r="A2" s="1142" t="s">
        <v>2535</v>
      </c>
      <c r="B2" s="1142"/>
      <c r="C2" s="1142"/>
      <c r="D2" s="1142"/>
      <c r="E2" s="1142"/>
      <c r="F2" s="1142"/>
      <c r="G2" s="1142"/>
      <c r="H2" s="1142"/>
      <c r="I2" s="1142"/>
      <c r="J2" s="1142"/>
      <c r="K2" s="1142"/>
      <c r="L2" s="1077"/>
      <c r="M2" s="1077"/>
      <c r="N2" s="1077"/>
      <c r="P2" s="706"/>
      <c r="Q2" s="1078"/>
      <c r="R2" s="1078"/>
      <c r="S2" s="1078"/>
      <c r="T2" s="1078"/>
      <c r="U2" s="1078"/>
      <c r="V2" s="1078"/>
      <c r="W2" s="1078"/>
      <c r="X2" s="1078"/>
      <c r="Y2" s="1078"/>
      <c r="Z2" s="1078"/>
    </row>
    <row r="3" spans="1:26" s="141" customFormat="1" ht="10.5" customHeight="1" x14ac:dyDescent="0.2">
      <c r="A3" s="1143"/>
      <c r="B3" s="1143"/>
      <c r="C3" s="1143"/>
      <c r="D3" s="1143"/>
      <c r="E3" s="1143"/>
      <c r="F3" s="1143"/>
      <c r="G3" s="1143"/>
      <c r="H3" s="1143"/>
      <c r="I3" s="1143"/>
      <c r="J3" s="1143"/>
      <c r="K3" s="1143"/>
      <c r="L3" s="321"/>
      <c r="M3" s="24"/>
      <c r="P3" s="706"/>
      <c r="Q3" s="717"/>
      <c r="R3" s="717"/>
      <c r="S3" s="717"/>
      <c r="T3" s="717"/>
      <c r="U3" s="717"/>
      <c r="V3" s="717"/>
      <c r="W3" s="717"/>
      <c r="X3" s="717"/>
      <c r="Y3" s="717"/>
      <c r="Z3" s="717"/>
    </row>
    <row r="4" spans="1:26" s="717" customFormat="1" ht="14.25" customHeight="1" x14ac:dyDescent="0.25">
      <c r="A4" s="716" t="s">
        <v>2693</v>
      </c>
      <c r="B4" s="716">
        <v>2009</v>
      </c>
      <c r="C4" s="716"/>
      <c r="D4" s="716">
        <v>2010</v>
      </c>
      <c r="E4" s="716"/>
      <c r="F4" s="768">
        <v>2011</v>
      </c>
      <c r="G4" s="769"/>
      <c r="H4" s="852">
        <v>2012</v>
      </c>
      <c r="I4" s="852"/>
      <c r="J4" s="323">
        <v>2013</v>
      </c>
      <c r="K4" s="323"/>
      <c r="L4" s="337"/>
      <c r="N4" s="711"/>
      <c r="O4" s="1083"/>
      <c r="P4" s="1083"/>
      <c r="Q4" s="1083"/>
      <c r="R4" s="1083"/>
      <c r="S4" s="1083"/>
      <c r="T4" s="1084"/>
      <c r="U4" s="1083"/>
      <c r="V4" s="1083"/>
      <c r="W4" s="1083"/>
      <c r="X4" s="1083"/>
    </row>
    <row r="5" spans="1:26" s="717" customFormat="1" ht="14.25" customHeight="1" x14ac:dyDescent="0.25">
      <c r="A5" s="716"/>
      <c r="B5" s="453" t="s">
        <v>2680</v>
      </c>
      <c r="C5" s="453" t="s">
        <v>801</v>
      </c>
      <c r="D5" s="453" t="s">
        <v>2680</v>
      </c>
      <c r="E5" s="453" t="s">
        <v>801</v>
      </c>
      <c r="F5" s="453" t="s">
        <v>2680</v>
      </c>
      <c r="G5" s="453" t="s">
        <v>801</v>
      </c>
      <c r="H5" s="453" t="s">
        <v>2680</v>
      </c>
      <c r="I5" s="453" t="s">
        <v>801</v>
      </c>
      <c r="J5" s="453" t="s">
        <v>2680</v>
      </c>
      <c r="K5" s="453" t="s">
        <v>801</v>
      </c>
      <c r="M5" s="724"/>
      <c r="N5" s="857"/>
      <c r="O5" s="1085"/>
      <c r="P5" s="857"/>
      <c r="Q5" s="1085"/>
      <c r="R5" s="857"/>
      <c r="S5" s="1086"/>
      <c r="T5" s="1085"/>
      <c r="U5" s="324"/>
      <c r="V5" s="324"/>
    </row>
    <row r="6" spans="1:26" s="141" customFormat="1" ht="10.199999999999999" x14ac:dyDescent="0.2">
      <c r="A6" s="711" t="s">
        <v>3</v>
      </c>
      <c r="B6" s="753">
        <f t="shared" ref="B6:K6" si="0">SUM(B7:B10)</f>
        <v>1026</v>
      </c>
      <c r="C6" s="1076">
        <f t="shared" si="0"/>
        <v>1</v>
      </c>
      <c r="D6" s="753">
        <f t="shared" si="0"/>
        <v>998</v>
      </c>
      <c r="E6" s="1076">
        <f t="shared" si="0"/>
        <v>1</v>
      </c>
      <c r="F6" s="753">
        <f t="shared" si="0"/>
        <v>1340</v>
      </c>
      <c r="G6" s="1076">
        <f t="shared" si="0"/>
        <v>1</v>
      </c>
      <c r="H6" s="753">
        <f t="shared" si="0"/>
        <v>1184</v>
      </c>
      <c r="I6" s="1076">
        <f t="shared" si="0"/>
        <v>1</v>
      </c>
      <c r="J6" s="753">
        <f t="shared" si="0"/>
        <v>1450</v>
      </c>
      <c r="K6" s="1076">
        <f t="shared" si="0"/>
        <v>1</v>
      </c>
      <c r="O6" s="1065"/>
      <c r="P6" s="1088"/>
      <c r="Q6" s="1065"/>
      <c r="R6" s="1088"/>
      <c r="S6" s="904"/>
      <c r="T6" s="1065"/>
      <c r="U6" s="2"/>
      <c r="V6" s="2"/>
    </row>
    <row r="7" spans="1:26" s="141" customFormat="1" ht="10.199999999999999" x14ac:dyDescent="0.2">
      <c r="A7" s="141" t="s">
        <v>2694</v>
      </c>
      <c r="B7" s="141">
        <v>297</v>
      </c>
      <c r="C7" s="1065">
        <f>+B7/$B$6</f>
        <v>0.28947368421052633</v>
      </c>
      <c r="D7" s="141">
        <v>303</v>
      </c>
      <c r="E7" s="1065">
        <f>+D7/$D$6</f>
        <v>0.30360721442885774</v>
      </c>
      <c r="F7" s="1066">
        <v>290</v>
      </c>
      <c r="G7" s="1065">
        <f>+F7/$F$6</f>
        <v>0.21641791044776118</v>
      </c>
      <c r="H7" s="1066">
        <v>279</v>
      </c>
      <c r="I7" s="1065">
        <f>+H7/$H$6</f>
        <v>0.23564189189189189</v>
      </c>
      <c r="J7" s="1066">
        <v>326</v>
      </c>
      <c r="K7" s="1065">
        <f>+J7/$J$6</f>
        <v>0.22482758620689655</v>
      </c>
      <c r="O7" s="1065"/>
      <c r="P7" s="1088"/>
      <c r="Q7" s="1065"/>
      <c r="R7" s="1088"/>
      <c r="S7" s="904"/>
      <c r="T7" s="1065"/>
    </row>
    <row r="8" spans="1:26" s="141" customFormat="1" ht="10.199999999999999" x14ac:dyDescent="0.2">
      <c r="A8" s="141" t="s">
        <v>2695</v>
      </c>
      <c r="B8" s="141">
        <v>263</v>
      </c>
      <c r="C8" s="1065">
        <f>+B8/$B$6</f>
        <v>0.25633528265107214</v>
      </c>
      <c r="D8" s="141">
        <v>268</v>
      </c>
      <c r="E8" s="1065">
        <f>+D8/$D$6</f>
        <v>0.26853707414829658</v>
      </c>
      <c r="F8" s="1066">
        <v>378</v>
      </c>
      <c r="G8" s="1065">
        <f>+F8/$F$6</f>
        <v>0.282089552238806</v>
      </c>
      <c r="H8" s="1066">
        <v>373</v>
      </c>
      <c r="I8" s="1065">
        <f>+H8/$H$6</f>
        <v>0.31503378378378377</v>
      </c>
      <c r="J8" s="1066">
        <v>480</v>
      </c>
      <c r="K8" s="1065">
        <f>+J8/$J$6</f>
        <v>0.33103448275862069</v>
      </c>
      <c r="O8" s="1065"/>
      <c r="P8" s="1066"/>
      <c r="Q8" s="1065"/>
      <c r="R8" s="1066"/>
      <c r="S8" s="904"/>
      <c r="T8" s="1065"/>
    </row>
    <row r="9" spans="1:26" s="141" customFormat="1" ht="10.199999999999999" x14ac:dyDescent="0.2">
      <c r="A9" s="141" t="s">
        <v>2696</v>
      </c>
      <c r="B9" s="141">
        <v>344</v>
      </c>
      <c r="C9" s="1065">
        <f>+B9/$B$6</f>
        <v>0.33528265107212474</v>
      </c>
      <c r="D9" s="141">
        <v>332</v>
      </c>
      <c r="E9" s="1065">
        <f>+D9/$D$6</f>
        <v>0.33266533066132264</v>
      </c>
      <c r="F9" s="1066">
        <v>542</v>
      </c>
      <c r="G9" s="1065">
        <f>+F9/$F$6</f>
        <v>0.40447761194029852</v>
      </c>
      <c r="H9" s="1066">
        <v>382</v>
      </c>
      <c r="I9" s="1065">
        <f>+H9/$H$6</f>
        <v>0.32263513513513514</v>
      </c>
      <c r="J9" s="1066">
        <v>458</v>
      </c>
      <c r="K9" s="1065">
        <f>+J9/$J$6</f>
        <v>0.31586206896551722</v>
      </c>
      <c r="O9" s="1065"/>
      <c r="P9" s="1066"/>
      <c r="Q9" s="1065"/>
      <c r="R9" s="1066"/>
      <c r="S9" s="904"/>
      <c r="T9" s="1065"/>
    </row>
    <row r="10" spans="1:26" s="141" customFormat="1" ht="10.199999999999999" x14ac:dyDescent="0.2">
      <c r="A10" s="141" t="s">
        <v>2697</v>
      </c>
      <c r="B10" s="141">
        <v>122</v>
      </c>
      <c r="C10" s="1065">
        <f>+B10/$B$6</f>
        <v>0.1189083820662768</v>
      </c>
      <c r="D10" s="141">
        <v>95</v>
      </c>
      <c r="E10" s="1065">
        <f>+D10/$D$6</f>
        <v>9.5190380761523044E-2</v>
      </c>
      <c r="F10" s="1066">
        <v>130</v>
      </c>
      <c r="G10" s="1065">
        <f>+F10/$F$6</f>
        <v>9.7014925373134331E-2</v>
      </c>
      <c r="H10" s="1066">
        <v>150</v>
      </c>
      <c r="I10" s="1065">
        <f>+H10/$H$6</f>
        <v>0.1266891891891892</v>
      </c>
      <c r="J10" s="1066">
        <v>186</v>
      </c>
      <c r="K10" s="1065">
        <f>+J10/$J$6</f>
        <v>0.12827586206896552</v>
      </c>
      <c r="T10" s="1065"/>
    </row>
    <row r="11" spans="1:26" s="141" customFormat="1" ht="8.25" customHeight="1" x14ac:dyDescent="0.2">
      <c r="C11" s="1065"/>
      <c r="E11" s="1065"/>
      <c r="F11" s="1065"/>
      <c r="G11" s="1066"/>
      <c r="H11" s="1066"/>
      <c r="I11" s="1065"/>
      <c r="J11" s="1065"/>
      <c r="K11" s="1066"/>
      <c r="L11" s="1065"/>
      <c r="M11" s="1066"/>
      <c r="N11" s="1065"/>
      <c r="W11" s="1065"/>
    </row>
    <row r="12" spans="1:26" s="141" customFormat="1" ht="10.199999999999999" x14ac:dyDescent="0.2">
      <c r="A12" s="745" t="s">
        <v>2681</v>
      </c>
      <c r="B12" s="745"/>
      <c r="C12" s="745"/>
      <c r="D12" s="745"/>
      <c r="E12" s="745"/>
      <c r="F12" s="745"/>
      <c r="G12" s="745"/>
      <c r="H12" s="745"/>
      <c r="I12" s="745"/>
      <c r="J12" s="745"/>
      <c r="K12" s="745"/>
      <c r="L12" s="1010"/>
      <c r="M12" s="1010"/>
      <c r="N12" s="1010"/>
    </row>
    <row r="13" spans="1:26" s="141" customFormat="1" ht="10.199999999999999" x14ac:dyDescent="0.2"/>
    <row r="14" spans="1:26" x14ac:dyDescent="0.25">
      <c r="A14" s="706" t="s">
        <v>547</v>
      </c>
      <c r="B14" s="141"/>
      <c r="C14" s="141"/>
      <c r="D14" s="141"/>
      <c r="E14" s="141"/>
      <c r="F14" s="141"/>
    </row>
    <row r="15" spans="1:26" x14ac:dyDescent="0.25">
      <c r="A15" s="955"/>
      <c r="B15" s="955">
        <v>2009</v>
      </c>
      <c r="C15" s="955">
        <v>2010</v>
      </c>
      <c r="D15" s="955">
        <v>2011</v>
      </c>
      <c r="E15" s="955">
        <v>2012</v>
      </c>
      <c r="F15" s="955">
        <v>2013</v>
      </c>
    </row>
    <row r="16" spans="1:26" x14ac:dyDescent="0.25">
      <c r="A16" s="957" t="s">
        <v>2694</v>
      </c>
      <c r="B16" s="957">
        <v>297</v>
      </c>
      <c r="C16" s="957">
        <v>303</v>
      </c>
      <c r="D16" s="1144">
        <v>290</v>
      </c>
      <c r="E16" s="1144">
        <v>279</v>
      </c>
      <c r="F16" s="1144">
        <v>326</v>
      </c>
    </row>
    <row r="17" spans="1:6" x14ac:dyDescent="0.25">
      <c r="A17" s="957" t="s">
        <v>2695</v>
      </c>
      <c r="B17" s="957">
        <v>263</v>
      </c>
      <c r="C17" s="957">
        <v>268</v>
      </c>
      <c r="D17" s="1144">
        <v>378</v>
      </c>
      <c r="E17" s="1144">
        <v>373</v>
      </c>
      <c r="F17" s="1144">
        <v>480</v>
      </c>
    </row>
    <row r="18" spans="1:6" x14ac:dyDescent="0.25">
      <c r="A18" s="957" t="s">
        <v>2698</v>
      </c>
      <c r="B18" s="957">
        <v>344</v>
      </c>
      <c r="C18" s="957">
        <v>332</v>
      </c>
      <c r="D18" s="1144">
        <v>542</v>
      </c>
      <c r="E18" s="1144">
        <v>382</v>
      </c>
      <c r="F18" s="1144">
        <v>458</v>
      </c>
    </row>
    <row r="19" spans="1:6" x14ac:dyDescent="0.25">
      <c r="A19" s="957" t="s">
        <v>2697</v>
      </c>
      <c r="B19" s="957">
        <v>122</v>
      </c>
      <c r="C19" s="957">
        <v>95</v>
      </c>
      <c r="D19" s="1144">
        <v>130</v>
      </c>
      <c r="E19" s="1144">
        <v>150</v>
      </c>
      <c r="F19" s="1144">
        <v>186</v>
      </c>
    </row>
  </sheetData>
  <mergeCells count="9">
    <mergeCell ref="A12:K12"/>
    <mergeCell ref="A2:K2"/>
    <mergeCell ref="A3:K3"/>
    <mergeCell ref="A4:A5"/>
    <mergeCell ref="B4:C4"/>
    <mergeCell ref="D4:E4"/>
    <mergeCell ref="F4:G4"/>
    <mergeCell ref="H4:I4"/>
    <mergeCell ref="J4:K4"/>
  </mergeCells>
  <pageMargins left="0.7" right="0.7" top="0.75" bottom="0.75" header="0.3" footer="0.3"/>
  <pageSetup paperSize="14" orientation="landscape" r:id="rId1"/>
  <drawing r:id="rId2"/>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8490EF-182A-4365-9A10-1A4E81EA4E22}">
  <sheetPr codeName="Hoja214"/>
  <dimension ref="A2:Z12"/>
  <sheetViews>
    <sheetView workbookViewId="0">
      <selection activeCell="A53" sqref="A53"/>
    </sheetView>
  </sheetViews>
  <sheetFormatPr baseColWidth="10" defaultColWidth="13" defaultRowHeight="13.2" x14ac:dyDescent="0.25"/>
  <cols>
    <col min="1" max="1" width="20.5546875" customWidth="1"/>
    <col min="9" max="9" width="13" customWidth="1"/>
  </cols>
  <sheetData>
    <row r="2" spans="1:26" s="141" customFormat="1" ht="12.75" customHeight="1" x14ac:dyDescent="0.2">
      <c r="A2" s="747" t="s">
        <v>2536</v>
      </c>
      <c r="B2" s="747"/>
      <c r="C2" s="747"/>
      <c r="D2" s="747"/>
      <c r="E2" s="747"/>
      <c r="F2" s="747"/>
      <c r="G2" s="747"/>
      <c r="H2" s="747"/>
      <c r="I2" s="747"/>
      <c r="J2" s="747"/>
      <c r="K2" s="747"/>
    </row>
    <row r="3" spans="1:26" s="141" customFormat="1" ht="10.199999999999999" x14ac:dyDescent="0.2">
      <c r="A3" s="706"/>
      <c r="Q3" s="717"/>
      <c r="R3" s="717"/>
      <c r="S3" s="717"/>
      <c r="T3" s="717"/>
      <c r="U3" s="717"/>
      <c r="V3" s="717"/>
      <c r="W3" s="717"/>
      <c r="X3" s="717"/>
      <c r="Y3" s="717"/>
      <c r="Z3" s="717"/>
    </row>
    <row r="4" spans="1:26" s="141" customFormat="1" ht="16.5" customHeight="1" x14ac:dyDescent="0.2">
      <c r="A4" s="707" t="s">
        <v>2699</v>
      </c>
      <c r="B4" s="716">
        <v>2009</v>
      </c>
      <c r="C4" s="716"/>
      <c r="D4" s="716">
        <v>2010</v>
      </c>
      <c r="E4" s="716"/>
      <c r="F4" s="768">
        <v>2011</v>
      </c>
      <c r="G4" s="852"/>
      <c r="H4" s="768">
        <v>2012</v>
      </c>
      <c r="I4" s="769"/>
      <c r="J4" s="768">
        <v>2013</v>
      </c>
      <c r="K4" s="769"/>
      <c r="M4" s="711"/>
      <c r="P4" s="459"/>
      <c r="Q4" s="459"/>
      <c r="R4" s="459"/>
      <c r="S4" s="459"/>
      <c r="T4" s="459"/>
      <c r="U4" s="1089"/>
      <c r="V4" s="459"/>
      <c r="W4" s="459"/>
      <c r="X4" s="459"/>
      <c r="Y4" s="459"/>
    </row>
    <row r="5" spans="1:26" s="141" customFormat="1" ht="16.5" customHeight="1" x14ac:dyDescent="0.2">
      <c r="A5" s="710"/>
      <c r="B5" s="453" t="s">
        <v>2680</v>
      </c>
      <c r="C5" s="453" t="s">
        <v>801</v>
      </c>
      <c r="D5" s="453" t="s">
        <v>2680</v>
      </c>
      <c r="E5" s="453" t="s">
        <v>801</v>
      </c>
      <c r="F5" s="453" t="s">
        <v>2680</v>
      </c>
      <c r="G5" s="453" t="s">
        <v>801</v>
      </c>
      <c r="H5" s="453" t="s">
        <v>2680</v>
      </c>
      <c r="I5" s="453" t="s">
        <v>801</v>
      </c>
      <c r="J5" s="453" t="s">
        <v>2680</v>
      </c>
      <c r="K5" s="453" t="s">
        <v>801</v>
      </c>
      <c r="M5" s="714"/>
      <c r="N5" s="903"/>
      <c r="O5" s="1065"/>
      <c r="P5" s="903"/>
      <c r="Q5" s="1065"/>
      <c r="R5" s="903"/>
      <c r="S5" s="904"/>
      <c r="T5" s="1065"/>
    </row>
    <row r="6" spans="1:26" s="141" customFormat="1" ht="10.199999999999999" x14ac:dyDescent="0.2">
      <c r="A6" s="711" t="s">
        <v>3</v>
      </c>
      <c r="B6" s="753">
        <f>SUM(B7:B9)</f>
        <v>4462</v>
      </c>
      <c r="C6" s="1076">
        <f>SUM(C7:C9)</f>
        <v>1</v>
      </c>
      <c r="D6" s="753">
        <f>SUM(D7:D9)</f>
        <v>5107</v>
      </c>
      <c r="E6" s="1076">
        <v>1</v>
      </c>
      <c r="F6" s="753">
        <f>SUM(F7:F9)</f>
        <v>5720</v>
      </c>
      <c r="G6" s="1076">
        <v>1</v>
      </c>
      <c r="H6" s="753">
        <f>SUM(H7:H9)</f>
        <v>6045</v>
      </c>
      <c r="I6" s="1076">
        <f>SUM(I7:I9)</f>
        <v>1</v>
      </c>
      <c r="J6" s="753">
        <f>SUM(J7:J9)</f>
        <v>5952</v>
      </c>
      <c r="K6" s="1076">
        <f>SUM(K7:K9)</f>
        <v>1</v>
      </c>
      <c r="N6" s="903"/>
      <c r="O6" s="1065"/>
      <c r="P6" s="903"/>
      <c r="Q6" s="1065"/>
      <c r="R6" s="903"/>
      <c r="S6" s="904"/>
      <c r="T6" s="1065"/>
    </row>
    <row r="7" spans="1:26" s="141" customFormat="1" ht="10.199999999999999" x14ac:dyDescent="0.2">
      <c r="A7" s="141" t="s">
        <v>2700</v>
      </c>
      <c r="B7" s="903">
        <v>4087</v>
      </c>
      <c r="C7" s="1065">
        <f>+B7/$B$6</f>
        <v>0.91595696996862397</v>
      </c>
      <c r="D7" s="903">
        <v>4729</v>
      </c>
      <c r="E7" s="1065">
        <v>0.92598394360681413</v>
      </c>
      <c r="F7" s="903">
        <v>5326</v>
      </c>
      <c r="G7" s="1065">
        <v>0.93111888111888108</v>
      </c>
      <c r="H7" s="903">
        <v>5641</v>
      </c>
      <c r="I7" s="1065">
        <f>+H7/$H$6</f>
        <v>0.93316790736145572</v>
      </c>
      <c r="J7" s="1069">
        <v>5450</v>
      </c>
      <c r="K7" s="1065">
        <f>+J7/$J$6</f>
        <v>0.91565860215053763</v>
      </c>
      <c r="N7" s="903"/>
      <c r="O7" s="1065"/>
      <c r="P7" s="903"/>
      <c r="Q7" s="1065"/>
      <c r="R7" s="903"/>
      <c r="S7" s="904"/>
      <c r="T7" s="1065"/>
    </row>
    <row r="8" spans="1:26" s="141" customFormat="1" ht="10.199999999999999" x14ac:dyDescent="0.2">
      <c r="A8" s="141" t="s">
        <v>2701</v>
      </c>
      <c r="B8" s="903">
        <v>154</v>
      </c>
      <c r="C8" s="1065">
        <f>+B8/$B$6</f>
        <v>3.4513670999551771E-2</v>
      </c>
      <c r="D8" s="903">
        <v>171</v>
      </c>
      <c r="E8" s="1065">
        <v>3.3483454082631682E-2</v>
      </c>
      <c r="F8" s="903">
        <v>176</v>
      </c>
      <c r="G8" s="1065">
        <v>3.0769230769230771E-2</v>
      </c>
      <c r="H8" s="903">
        <v>182</v>
      </c>
      <c r="I8" s="1065">
        <f>+H8/$H$6</f>
        <v>3.0107526881720432E-2</v>
      </c>
      <c r="J8" s="1066">
        <v>269</v>
      </c>
      <c r="K8" s="1065">
        <f>+J8/$J$6</f>
        <v>4.5194892473118281E-2</v>
      </c>
      <c r="N8" s="903"/>
      <c r="O8" s="1065"/>
      <c r="P8" s="903"/>
      <c r="Q8" s="1065"/>
      <c r="R8" s="903"/>
      <c r="S8" s="904"/>
    </row>
    <row r="9" spans="1:26" s="141" customFormat="1" ht="10.199999999999999" x14ac:dyDescent="0.2">
      <c r="A9" s="141" t="s">
        <v>2702</v>
      </c>
      <c r="B9" s="903">
        <v>221</v>
      </c>
      <c r="C9" s="1065">
        <f>+B9/$B$6</f>
        <v>4.9529359031824295E-2</v>
      </c>
      <c r="D9" s="903">
        <v>207</v>
      </c>
      <c r="E9" s="1065">
        <v>4.0532602310554139E-2</v>
      </c>
      <c r="F9" s="903">
        <v>218</v>
      </c>
      <c r="G9" s="1065">
        <v>3.8111888111888113E-2</v>
      </c>
      <c r="H9" s="903">
        <v>222</v>
      </c>
      <c r="I9" s="1065">
        <f>+H9/$H$6</f>
        <v>3.672456575682382E-2</v>
      </c>
      <c r="J9" s="1066">
        <v>233</v>
      </c>
      <c r="K9" s="1065">
        <f>+J9/$J$6</f>
        <v>3.9146505376344086E-2</v>
      </c>
    </row>
    <row r="10" spans="1:26" s="141" customFormat="1" ht="7.5" customHeight="1" x14ac:dyDescent="0.2">
      <c r="B10" s="903"/>
      <c r="C10" s="1065"/>
      <c r="D10" s="903"/>
      <c r="E10" s="1065"/>
      <c r="F10" s="1065"/>
      <c r="G10" s="903"/>
      <c r="H10" s="903"/>
      <c r="I10" s="1065"/>
      <c r="J10" s="1065"/>
      <c r="K10" s="903"/>
      <c r="L10" s="1065"/>
      <c r="M10" s="1066"/>
      <c r="N10" s="1065"/>
    </row>
    <row r="11" spans="1:26" s="141" customFormat="1" ht="10.199999999999999" x14ac:dyDescent="0.2">
      <c r="A11" s="336" t="s">
        <v>2681</v>
      </c>
      <c r="B11" s="336"/>
      <c r="C11" s="336"/>
      <c r="D11" s="336"/>
      <c r="E11" s="336"/>
      <c r="F11" s="336"/>
      <c r="G11" s="336"/>
      <c r="H11" s="336"/>
      <c r="I11" s="336"/>
      <c r="J11" s="336"/>
      <c r="K11" s="336"/>
      <c r="L11" s="1010"/>
      <c r="M11" s="1010"/>
      <c r="N11" s="1010"/>
    </row>
    <row r="12" spans="1:26" s="141" customFormat="1" ht="10.199999999999999" x14ac:dyDescent="0.2">
      <c r="A12" s="336"/>
      <c r="B12" s="336"/>
      <c r="C12" s="336"/>
      <c r="D12" s="336"/>
      <c r="E12" s="336"/>
      <c r="F12" s="336"/>
      <c r="G12" s="336"/>
      <c r="H12" s="336"/>
      <c r="I12" s="336"/>
      <c r="J12" s="336"/>
      <c r="K12" s="336"/>
      <c r="L12" s="1010"/>
      <c r="M12" s="1010"/>
      <c r="N12" s="1010"/>
    </row>
  </sheetData>
  <mergeCells count="7">
    <mergeCell ref="A2:K2"/>
    <mergeCell ref="A4:A5"/>
    <mergeCell ref="B4:C4"/>
    <mergeCell ref="D4:E4"/>
    <mergeCell ref="F4:G4"/>
    <mergeCell ref="H4:I4"/>
    <mergeCell ref="J4:K4"/>
  </mergeCells>
  <pageMargins left="0.7" right="0.7" top="0.75" bottom="0.75" header="0.3" footer="0.3"/>
  <pageSetup paperSize="14" orientation="landscape" r:id="rId1"/>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7C1CC-F004-430C-B42A-036416A0BD99}">
  <sheetPr codeName="Hoja215"/>
  <dimension ref="A1:Z21"/>
  <sheetViews>
    <sheetView workbookViewId="0">
      <selection activeCell="A53" sqref="A53"/>
    </sheetView>
  </sheetViews>
  <sheetFormatPr baseColWidth="10" defaultRowHeight="13.2" x14ac:dyDescent="0.25"/>
  <cols>
    <col min="2" max="2" width="7.33203125" bestFit="1" customWidth="1"/>
    <col min="3" max="3" width="11.109375" bestFit="1" customWidth="1"/>
    <col min="4" max="4" width="7.33203125" bestFit="1" customWidth="1"/>
    <col min="5" max="5" width="11.109375" bestFit="1" customWidth="1"/>
    <col min="6" max="6" width="7.33203125" bestFit="1" customWidth="1"/>
    <col min="7" max="7" width="11.109375" bestFit="1" customWidth="1"/>
    <col min="8" max="8" width="7.33203125" bestFit="1" customWidth="1"/>
    <col min="9" max="9" width="11.109375" bestFit="1" customWidth="1"/>
    <col min="10" max="10" width="7.33203125" bestFit="1" customWidth="1"/>
    <col min="11" max="11" width="11.109375" bestFit="1" customWidth="1"/>
  </cols>
  <sheetData>
    <row r="1" spans="1:26" x14ac:dyDescent="0.25">
      <c r="A1" s="1009"/>
    </row>
    <row r="2" spans="1:26" s="141" customFormat="1" ht="22.5" customHeight="1" x14ac:dyDescent="0.2">
      <c r="A2" s="747" t="s">
        <v>2537</v>
      </c>
      <c r="B2" s="747"/>
      <c r="C2" s="747"/>
      <c r="D2" s="747"/>
      <c r="E2" s="747"/>
      <c r="F2" s="747"/>
      <c r="G2" s="747"/>
      <c r="H2" s="747"/>
      <c r="I2" s="747"/>
      <c r="J2" s="747"/>
      <c r="K2" s="747"/>
      <c r="U2" s="904"/>
    </row>
    <row r="3" spans="1:26" s="141" customFormat="1" ht="10.199999999999999" x14ac:dyDescent="0.2"/>
    <row r="4" spans="1:26" s="141" customFormat="1" ht="15" customHeight="1" x14ac:dyDescent="0.2">
      <c r="A4" s="716" t="s">
        <v>2703</v>
      </c>
      <c r="B4" s="793">
        <v>2009</v>
      </c>
      <c r="C4" s="793"/>
      <c r="D4" s="793">
        <v>2010</v>
      </c>
      <c r="E4" s="793"/>
      <c r="F4" s="1145">
        <v>2011</v>
      </c>
      <c r="G4" s="1146"/>
      <c r="H4" s="1145">
        <v>2012</v>
      </c>
      <c r="I4" s="1146"/>
      <c r="J4" s="1145">
        <v>2013</v>
      </c>
      <c r="K4" s="1146"/>
      <c r="M4" s="736"/>
      <c r="P4" s="1058"/>
      <c r="Q4" s="1058"/>
      <c r="R4" s="1058"/>
      <c r="S4" s="1058"/>
      <c r="T4" s="1058"/>
      <c r="U4" s="1058"/>
      <c r="V4" s="1058"/>
      <c r="W4" s="1058"/>
      <c r="X4" s="1058"/>
      <c r="Y4" s="1058"/>
    </row>
    <row r="5" spans="1:26" s="141" customFormat="1" ht="15" customHeight="1" x14ac:dyDescent="0.2">
      <c r="A5" s="716"/>
      <c r="B5" s="453" t="s">
        <v>2680</v>
      </c>
      <c r="C5" s="453" t="s">
        <v>801</v>
      </c>
      <c r="D5" s="453" t="s">
        <v>2680</v>
      </c>
      <c r="E5" s="453" t="s">
        <v>801</v>
      </c>
      <c r="F5" s="453" t="s">
        <v>2680</v>
      </c>
      <c r="G5" s="1147" t="s">
        <v>801</v>
      </c>
      <c r="H5" s="453" t="s">
        <v>2680</v>
      </c>
      <c r="I5" s="453" t="s">
        <v>801</v>
      </c>
      <c r="J5" s="453" t="s">
        <v>2680</v>
      </c>
      <c r="K5" s="453" t="s">
        <v>801</v>
      </c>
      <c r="N5" s="459"/>
      <c r="O5" s="459"/>
      <c r="P5" s="459"/>
      <c r="Q5" s="459"/>
      <c r="R5" s="459"/>
      <c r="S5" s="459"/>
      <c r="T5" s="459"/>
      <c r="U5" s="459"/>
      <c r="V5" s="459"/>
      <c r="W5" s="459"/>
    </row>
    <row r="6" spans="1:26" s="141" customFormat="1" ht="10.199999999999999" x14ac:dyDescent="0.2">
      <c r="A6" s="711" t="s">
        <v>3</v>
      </c>
      <c r="B6" s="787">
        <f>SUM(B7:B13)</f>
        <v>332</v>
      </c>
      <c r="C6" s="1093">
        <v>1</v>
      </c>
      <c r="D6" s="787">
        <f>SUM(D7:D13)</f>
        <v>441</v>
      </c>
      <c r="E6" s="1093">
        <f>SUM(E7:E13)</f>
        <v>1</v>
      </c>
      <c r="F6" s="787">
        <f>SUM(F7:F13)</f>
        <v>921</v>
      </c>
      <c r="G6" s="1093">
        <v>1</v>
      </c>
      <c r="H6" s="787">
        <f>SUM(H7:H13)</f>
        <v>607</v>
      </c>
      <c r="I6" s="1093">
        <f>SUM(I7:I13)</f>
        <v>0.99999999999999989</v>
      </c>
      <c r="J6" s="787">
        <f>SUM(J7:J13)</f>
        <v>900</v>
      </c>
      <c r="K6" s="1094">
        <f>SUM(K7:K13)</f>
        <v>1</v>
      </c>
      <c r="L6" s="818"/>
      <c r="O6" s="1095"/>
      <c r="Q6" s="1065"/>
      <c r="S6" s="904"/>
      <c r="U6" s="1096"/>
      <c r="W6" s="1095"/>
    </row>
    <row r="7" spans="1:26" s="141" customFormat="1" ht="10.199999999999999" x14ac:dyDescent="0.2">
      <c r="A7" s="141" t="s">
        <v>2704</v>
      </c>
      <c r="B7" s="646">
        <v>34</v>
      </c>
      <c r="C7" s="1089">
        <v>0.1024</v>
      </c>
      <c r="D7" s="459">
        <v>55</v>
      </c>
      <c r="E7" s="1071">
        <f>D7/$D$6</f>
        <v>0.12471655328798185</v>
      </c>
      <c r="F7" s="459">
        <v>54</v>
      </c>
      <c r="G7" s="1089">
        <f>+F7/F$6</f>
        <v>5.8631921824104233E-2</v>
      </c>
      <c r="H7" s="459">
        <v>48</v>
      </c>
      <c r="I7" s="1098">
        <f>H7/$H$6</f>
        <v>7.907742998352553E-2</v>
      </c>
      <c r="J7" s="646">
        <v>17</v>
      </c>
      <c r="K7" s="1098">
        <f t="shared" ref="K7:K13" si="0">J7/$J$6</f>
        <v>1.8888888888888889E-2</v>
      </c>
      <c r="N7" s="646"/>
      <c r="O7" s="1099"/>
      <c r="Q7" s="1065"/>
      <c r="S7" s="904"/>
      <c r="U7" s="1096"/>
      <c r="V7" s="665"/>
      <c r="W7" s="1099"/>
    </row>
    <row r="8" spans="1:26" s="141" customFormat="1" ht="10.199999999999999" x14ac:dyDescent="0.2">
      <c r="A8" s="141" t="s">
        <v>2705</v>
      </c>
      <c r="B8" s="646">
        <v>11</v>
      </c>
      <c r="C8" s="1089">
        <v>3.3099999999999997E-2</v>
      </c>
      <c r="D8" s="459">
        <v>25</v>
      </c>
      <c r="E8" s="1071">
        <f>D8/$D$6</f>
        <v>5.6689342403628121E-2</v>
      </c>
      <c r="F8" s="459">
        <v>12</v>
      </c>
      <c r="G8" s="1089">
        <f>+F8/F$6</f>
        <v>1.3029315960912053E-2</v>
      </c>
      <c r="H8" s="459">
        <v>34</v>
      </c>
      <c r="I8" s="1098">
        <f>H8/$H$6</f>
        <v>5.6013179571663921E-2</v>
      </c>
      <c r="J8" s="646">
        <v>1</v>
      </c>
      <c r="K8" s="1098">
        <f t="shared" si="0"/>
        <v>1.1111111111111111E-3</v>
      </c>
      <c r="N8" s="646"/>
      <c r="O8" s="1099"/>
      <c r="Q8" s="1065"/>
      <c r="S8" s="904"/>
      <c r="U8" s="1096"/>
      <c r="V8" s="665"/>
      <c r="W8" s="1099"/>
    </row>
    <row r="9" spans="1:26" s="141" customFormat="1" ht="10.199999999999999" x14ac:dyDescent="0.2">
      <c r="A9" s="141" t="s">
        <v>2706</v>
      </c>
      <c r="B9" s="646">
        <v>25</v>
      </c>
      <c r="C9" s="1089">
        <v>7.5300000000000006E-2</v>
      </c>
      <c r="D9" s="459">
        <v>12</v>
      </c>
      <c r="E9" s="1071">
        <f>D9/$D$6</f>
        <v>2.7210884353741496E-2</v>
      </c>
      <c r="F9" s="459">
        <v>5</v>
      </c>
      <c r="G9" s="1089">
        <f>+F9/F$6</f>
        <v>5.4288816503800215E-3</v>
      </c>
      <c r="H9" s="459">
        <v>19</v>
      </c>
      <c r="I9" s="1098">
        <f>H9/$H$6</f>
        <v>3.130148270181219E-2</v>
      </c>
      <c r="J9" s="646">
        <v>2</v>
      </c>
      <c r="K9" s="1098">
        <f t="shared" si="0"/>
        <v>2.2222222222222222E-3</v>
      </c>
      <c r="N9" s="646"/>
      <c r="O9" s="1099"/>
      <c r="Q9" s="1065"/>
      <c r="S9" s="904"/>
      <c r="U9" s="1096"/>
      <c r="V9" s="665"/>
      <c r="W9" s="1099"/>
    </row>
    <row r="10" spans="1:26" s="141" customFormat="1" ht="10.199999999999999" x14ac:dyDescent="0.2">
      <c r="A10" s="141" t="s">
        <v>2707</v>
      </c>
      <c r="B10" s="646">
        <v>145</v>
      </c>
      <c r="C10" s="1089">
        <v>0.43669999999999998</v>
      </c>
      <c r="D10" s="459">
        <v>288</v>
      </c>
      <c r="E10" s="1071">
        <f>D10/$D$6</f>
        <v>0.65306122448979587</v>
      </c>
      <c r="F10" s="459">
        <v>747</v>
      </c>
      <c r="G10" s="1089">
        <f>+F10/F$6</f>
        <v>0.81107491856677527</v>
      </c>
      <c r="H10" s="459">
        <v>327</v>
      </c>
      <c r="I10" s="1098">
        <f>H10/$H$6</f>
        <v>0.53871499176276771</v>
      </c>
      <c r="J10" s="646">
        <v>523</v>
      </c>
      <c r="K10" s="1098">
        <f t="shared" si="0"/>
        <v>0.58111111111111113</v>
      </c>
      <c r="N10" s="646"/>
      <c r="O10" s="1099"/>
      <c r="Q10" s="1065"/>
      <c r="S10" s="904"/>
      <c r="U10" s="1096"/>
      <c r="V10" s="665"/>
      <c r="W10" s="1099"/>
    </row>
    <row r="11" spans="1:26" s="141" customFormat="1" ht="10.199999999999999" x14ac:dyDescent="0.2">
      <c r="A11" s="141" t="s">
        <v>162</v>
      </c>
      <c r="B11" s="646">
        <v>117</v>
      </c>
      <c r="C11" s="1089">
        <v>0.35239999999999999</v>
      </c>
      <c r="D11" s="459">
        <v>54</v>
      </c>
      <c r="E11" s="1071">
        <f>D11/$D$6</f>
        <v>0.12244897959183673</v>
      </c>
      <c r="F11" s="459">
        <v>96</v>
      </c>
      <c r="G11" s="1089">
        <f>+F11/F$6</f>
        <v>0.10423452768729642</v>
      </c>
      <c r="H11" s="459">
        <v>128</v>
      </c>
      <c r="I11" s="1098">
        <f>H11/$H$6</f>
        <v>0.21087314662273476</v>
      </c>
      <c r="J11" s="646">
        <v>246</v>
      </c>
      <c r="K11" s="1098">
        <f t="shared" si="0"/>
        <v>0.27333333333333332</v>
      </c>
      <c r="N11" s="646"/>
      <c r="O11" s="1099"/>
      <c r="Q11" s="1065"/>
      <c r="S11" s="904"/>
      <c r="U11" s="1096"/>
      <c r="V11" s="665"/>
      <c r="W11" s="1099"/>
    </row>
    <row r="12" spans="1:26" s="141" customFormat="1" ht="10.199999999999999" x14ac:dyDescent="0.2">
      <c r="A12" s="141" t="s">
        <v>2708</v>
      </c>
      <c r="B12" s="459" t="s">
        <v>193</v>
      </c>
      <c r="C12" s="459" t="s">
        <v>193</v>
      </c>
      <c r="D12" s="459" t="s">
        <v>193</v>
      </c>
      <c r="E12" s="459" t="s">
        <v>193</v>
      </c>
      <c r="F12" s="459" t="s">
        <v>193</v>
      </c>
      <c r="G12" s="1089" t="s">
        <v>193</v>
      </c>
      <c r="H12" s="459" t="s">
        <v>193</v>
      </c>
      <c r="I12" s="459" t="s">
        <v>193</v>
      </c>
      <c r="J12" s="646">
        <v>79</v>
      </c>
      <c r="K12" s="1098">
        <f t="shared" si="0"/>
        <v>8.7777777777777774E-2</v>
      </c>
      <c r="N12" s="459"/>
      <c r="O12" s="1096"/>
      <c r="Q12" s="1065"/>
      <c r="S12" s="904"/>
      <c r="U12" s="1096"/>
      <c r="V12" s="665"/>
      <c r="W12" s="1099"/>
    </row>
    <row r="13" spans="1:26" s="141" customFormat="1" ht="10.199999999999999" x14ac:dyDescent="0.2">
      <c r="A13" s="141" t="s">
        <v>996</v>
      </c>
      <c r="B13" s="459" t="s">
        <v>193</v>
      </c>
      <c r="C13" s="459" t="s">
        <v>193</v>
      </c>
      <c r="D13" s="459">
        <v>7</v>
      </c>
      <c r="E13" s="1071">
        <f>D13/$D$6</f>
        <v>1.5873015873015872E-2</v>
      </c>
      <c r="F13" s="459">
        <v>7</v>
      </c>
      <c r="G13" s="1089">
        <f>+F13/F$6</f>
        <v>7.6004343105320303E-3</v>
      </c>
      <c r="H13" s="459">
        <v>51</v>
      </c>
      <c r="I13" s="1098">
        <f>H13/$H$6</f>
        <v>8.4019769357495888E-2</v>
      </c>
      <c r="J13" s="646">
        <v>32</v>
      </c>
      <c r="K13" s="1098">
        <f t="shared" si="0"/>
        <v>3.5555555555555556E-2</v>
      </c>
      <c r="N13" s="459"/>
      <c r="O13" s="1096"/>
      <c r="Q13" s="1065"/>
      <c r="S13" s="904"/>
      <c r="U13" s="1096"/>
      <c r="V13" s="665"/>
      <c r="W13" s="1099"/>
    </row>
    <row r="14" spans="1:26" s="141" customFormat="1" ht="7.5" customHeight="1" x14ac:dyDescent="0.2">
      <c r="Q14" s="1100"/>
      <c r="R14" s="1096"/>
      <c r="T14" s="1065"/>
      <c r="V14" s="904"/>
      <c r="X14" s="1096"/>
      <c r="Y14" s="1101"/>
      <c r="Z14" s="1102"/>
    </row>
    <row r="15" spans="1:26" s="141" customFormat="1" ht="10.199999999999999" x14ac:dyDescent="0.2">
      <c r="A15" s="715" t="s">
        <v>198</v>
      </c>
      <c r="B15" s="715"/>
      <c r="C15" s="715"/>
      <c r="D15" s="715"/>
      <c r="E15" s="715"/>
      <c r="F15" s="715"/>
      <c r="G15" s="715"/>
      <c r="H15" s="715"/>
      <c r="I15" s="715"/>
      <c r="J15" s="715"/>
      <c r="K15" s="715"/>
    </row>
    <row r="16" spans="1:26" s="141" customFormat="1" ht="10.199999999999999" x14ac:dyDescent="0.2">
      <c r="A16" s="745" t="s">
        <v>2709</v>
      </c>
      <c r="B16" s="745"/>
      <c r="C16" s="745"/>
      <c r="D16" s="745"/>
      <c r="E16" s="745"/>
      <c r="F16" s="745"/>
      <c r="G16" s="745"/>
      <c r="H16" s="745"/>
      <c r="I16" s="745"/>
      <c r="J16" s="745"/>
      <c r="K16" s="745"/>
    </row>
    <row r="17" spans="1:1" s="141" customFormat="1" ht="10.199999999999999" x14ac:dyDescent="0.2"/>
    <row r="21" spans="1:1" x14ac:dyDescent="0.25">
      <c r="A21" s="338"/>
    </row>
  </sheetData>
  <mergeCells count="9">
    <mergeCell ref="A15:K15"/>
    <mergeCell ref="A16:K16"/>
    <mergeCell ref="A2:K2"/>
    <mergeCell ref="A4:A5"/>
    <mergeCell ref="B4:C4"/>
    <mergeCell ref="D4:E4"/>
    <mergeCell ref="F4:G4"/>
    <mergeCell ref="H4:I4"/>
    <mergeCell ref="J4:K4"/>
  </mergeCells>
  <pageMargins left="0.7" right="0.7" top="0.75" bottom="0.75" header="0.3" footer="0.3"/>
  <pageSetup paperSize="14" orientation="landscape" r:id="rId1"/>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66FA3-5F55-41F3-8474-18A221AEF397}">
  <sheetPr codeName="Hoja216"/>
  <dimension ref="A1:M29"/>
  <sheetViews>
    <sheetView workbookViewId="0">
      <selection activeCell="A53" sqref="A53"/>
    </sheetView>
  </sheetViews>
  <sheetFormatPr baseColWidth="10" defaultRowHeight="13.2" x14ac:dyDescent="0.25"/>
  <cols>
    <col min="2" max="3" width="22" customWidth="1"/>
  </cols>
  <sheetData>
    <row r="1" spans="1:11" x14ac:dyDescent="0.25">
      <c r="A1" s="1009"/>
    </row>
    <row r="2" spans="1:11" s="141" customFormat="1" ht="41.25" customHeight="1" x14ac:dyDescent="0.2">
      <c r="A2" s="308" t="s">
        <v>2710</v>
      </c>
      <c r="B2" s="308"/>
      <c r="C2" s="308"/>
    </row>
    <row r="3" spans="1:11" s="141" customFormat="1" ht="10.199999999999999" x14ac:dyDescent="0.2"/>
    <row r="4" spans="1:11" s="141" customFormat="1" ht="18" customHeight="1" x14ac:dyDescent="0.2">
      <c r="A4" s="453" t="s">
        <v>825</v>
      </c>
      <c r="B4" s="454" t="s">
        <v>2711</v>
      </c>
      <c r="C4" s="453" t="s">
        <v>2712</v>
      </c>
    </row>
    <row r="5" spans="1:11" s="141" customFormat="1" ht="10.199999999999999" x14ac:dyDescent="0.2">
      <c r="A5" s="750">
        <v>1993</v>
      </c>
      <c r="B5" s="141">
        <v>23</v>
      </c>
      <c r="C5" s="1065">
        <v>1.7600000000000001E-2</v>
      </c>
      <c r="D5" s="904"/>
      <c r="E5" s="1104"/>
    </row>
    <row r="6" spans="1:11" s="141" customFormat="1" ht="10.199999999999999" x14ac:dyDescent="0.2">
      <c r="A6" s="750">
        <v>1994</v>
      </c>
      <c r="B6" s="141">
        <v>91</v>
      </c>
      <c r="C6" s="1065">
        <v>5.8000000000000003E-2</v>
      </c>
      <c r="D6" s="904"/>
      <c r="E6" s="1104"/>
      <c r="K6" s="1105"/>
    </row>
    <row r="7" spans="1:11" s="141" customFormat="1" ht="10.199999999999999" x14ac:dyDescent="0.2">
      <c r="A7" s="750">
        <v>1995</v>
      </c>
      <c r="B7" s="141">
        <v>188</v>
      </c>
      <c r="C7" s="1065">
        <v>0.1208</v>
      </c>
      <c r="D7" s="904"/>
      <c r="E7" s="1104"/>
    </row>
    <row r="8" spans="1:11" s="141" customFormat="1" ht="10.199999999999999" x14ac:dyDescent="0.2">
      <c r="A8" s="750">
        <v>1996</v>
      </c>
      <c r="B8" s="141">
        <v>279</v>
      </c>
      <c r="C8" s="1071">
        <v>0.1419</v>
      </c>
      <c r="D8" s="1089"/>
      <c r="K8" s="1105"/>
    </row>
    <row r="9" spans="1:11" s="141" customFormat="1" ht="10.199999999999999" x14ac:dyDescent="0.2">
      <c r="A9" s="750">
        <v>1997</v>
      </c>
      <c r="B9" s="141">
        <v>263</v>
      </c>
      <c r="C9" s="1071">
        <v>0.12570000000000001</v>
      </c>
      <c r="D9" s="1089"/>
    </row>
    <row r="10" spans="1:11" s="141" customFormat="1" ht="10.199999999999999" x14ac:dyDescent="0.2">
      <c r="A10" s="750">
        <v>1998</v>
      </c>
      <c r="B10" s="141">
        <v>289</v>
      </c>
      <c r="C10" s="1071">
        <v>0.12139999999999999</v>
      </c>
      <c r="D10" s="1089"/>
      <c r="K10" s="1106"/>
    </row>
    <row r="11" spans="1:11" s="141" customFormat="1" ht="10.199999999999999" x14ac:dyDescent="0.2">
      <c r="A11" s="750">
        <v>1999</v>
      </c>
      <c r="B11" s="141">
        <v>345</v>
      </c>
      <c r="C11" s="1071">
        <v>0.13500000000000001</v>
      </c>
      <c r="D11" s="1089"/>
      <c r="G11" s="1107"/>
      <c r="H11" s="1107"/>
    </row>
    <row r="12" spans="1:11" s="141" customFormat="1" ht="10.199999999999999" x14ac:dyDescent="0.2">
      <c r="A12" s="750">
        <v>2000</v>
      </c>
      <c r="B12" s="141">
        <v>363</v>
      </c>
      <c r="C12" s="1071">
        <v>0.15</v>
      </c>
      <c r="D12" s="465"/>
      <c r="K12" s="1106"/>
    </row>
    <row r="13" spans="1:11" s="141" customFormat="1" ht="10.199999999999999" x14ac:dyDescent="0.2">
      <c r="A13" s="750">
        <v>2001</v>
      </c>
      <c r="B13" s="141">
        <v>376</v>
      </c>
      <c r="C13" s="1071">
        <v>0.14560000000000001</v>
      </c>
      <c r="D13" s="1089"/>
      <c r="G13" s="1107"/>
      <c r="H13" s="1107"/>
      <c r="K13" s="1107"/>
    </row>
    <row r="14" spans="1:11" s="141" customFormat="1" ht="10.199999999999999" x14ac:dyDescent="0.2">
      <c r="A14" s="750">
        <v>2002</v>
      </c>
      <c r="B14" s="141">
        <v>377</v>
      </c>
      <c r="C14" s="1071">
        <v>0.13300000000000001</v>
      </c>
      <c r="D14" s="1089"/>
    </row>
    <row r="15" spans="1:11" s="141" customFormat="1" ht="10.199999999999999" x14ac:dyDescent="0.2">
      <c r="A15" s="750">
        <v>2003</v>
      </c>
      <c r="B15" s="141">
        <v>438</v>
      </c>
      <c r="C15" s="1071">
        <v>0.12809999999999999</v>
      </c>
      <c r="D15" s="1089"/>
    </row>
    <row r="16" spans="1:11" s="141" customFormat="1" ht="10.199999999999999" x14ac:dyDescent="0.2">
      <c r="A16" s="750">
        <v>2004</v>
      </c>
      <c r="B16" s="141">
        <v>435</v>
      </c>
      <c r="C16" s="1071">
        <v>0.13800000000000001</v>
      </c>
      <c r="D16" s="1089"/>
    </row>
    <row r="17" spans="1:13" s="141" customFormat="1" ht="10.199999999999999" x14ac:dyDescent="0.2">
      <c r="A17" s="750">
        <v>2005</v>
      </c>
      <c r="B17" s="141">
        <v>510</v>
      </c>
      <c r="C17" s="1071">
        <v>0.14299999999999999</v>
      </c>
      <c r="D17" s="1089"/>
    </row>
    <row r="18" spans="1:13" s="141" customFormat="1" ht="10.199999999999999" x14ac:dyDescent="0.2">
      <c r="A18" s="750">
        <v>2006</v>
      </c>
      <c r="B18" s="141">
        <v>484</v>
      </c>
      <c r="C18" s="1071">
        <v>0.13669999999999999</v>
      </c>
      <c r="D18" s="1089"/>
    </row>
    <row r="19" spans="1:13" s="141" customFormat="1" ht="10.199999999999999" x14ac:dyDescent="0.2">
      <c r="A19" s="750">
        <v>2007</v>
      </c>
      <c r="B19" s="141">
        <v>565</v>
      </c>
      <c r="C19" s="1071">
        <v>0.15179999999999999</v>
      </c>
      <c r="D19" s="1089"/>
    </row>
    <row r="20" spans="1:13" s="141" customFormat="1" ht="10.199999999999999" x14ac:dyDescent="0.2">
      <c r="A20" s="750">
        <v>2008</v>
      </c>
      <c r="B20" s="141">
        <v>653</v>
      </c>
      <c r="C20" s="1071">
        <v>0.1671</v>
      </c>
      <c r="D20" s="1089"/>
    </row>
    <row r="21" spans="1:13" s="141" customFormat="1" ht="10.199999999999999" x14ac:dyDescent="0.2">
      <c r="A21" s="750">
        <v>2009</v>
      </c>
      <c r="B21" s="141">
        <v>664</v>
      </c>
      <c r="C21" s="1071">
        <v>0.14879999999999999</v>
      </c>
      <c r="D21" s="1089"/>
    </row>
    <row r="22" spans="1:13" s="141" customFormat="1" ht="10.199999999999999" x14ac:dyDescent="0.2">
      <c r="A22" s="750">
        <v>2010</v>
      </c>
      <c r="B22" s="141">
        <v>702</v>
      </c>
      <c r="C22" s="1071">
        <v>0.13750000000000001</v>
      </c>
      <c r="D22" s="1089"/>
    </row>
    <row r="23" spans="1:13" s="141" customFormat="1" ht="10.199999999999999" x14ac:dyDescent="0.2">
      <c r="A23" s="750">
        <v>2011</v>
      </c>
      <c r="B23" s="1066">
        <v>776</v>
      </c>
      <c r="C23" s="1108">
        <v>0.13569999999999999</v>
      </c>
      <c r="D23" s="1109"/>
    </row>
    <row r="24" spans="1:13" s="141" customFormat="1" ht="10.199999999999999" x14ac:dyDescent="0.2">
      <c r="A24" s="750">
        <v>2012</v>
      </c>
      <c r="B24" s="1066">
        <v>814</v>
      </c>
      <c r="C24" s="1108">
        <v>0.13469999999999999</v>
      </c>
      <c r="D24" s="1109"/>
    </row>
    <row r="25" spans="1:13" s="141" customFormat="1" ht="10.199999999999999" x14ac:dyDescent="0.2">
      <c r="A25" s="750">
        <v>2013</v>
      </c>
      <c r="B25" s="1066">
        <v>881</v>
      </c>
      <c r="C25" s="1108">
        <v>0.14799999999999999</v>
      </c>
      <c r="D25" s="1109"/>
    </row>
    <row r="26" spans="1:13" s="141" customFormat="1" ht="9.75" customHeight="1" x14ac:dyDescent="0.2">
      <c r="B26" s="1066"/>
      <c r="C26" s="1109"/>
    </row>
    <row r="27" spans="1:13" s="717" customFormat="1" ht="24" customHeight="1" x14ac:dyDescent="0.2">
      <c r="A27" s="462" t="s">
        <v>2713</v>
      </c>
      <c r="B27" s="462"/>
      <c r="C27" s="462"/>
      <c r="D27" s="2"/>
      <c r="E27" s="2"/>
      <c r="F27" s="2"/>
      <c r="G27" s="2"/>
      <c r="H27" s="2"/>
      <c r="I27" s="2"/>
      <c r="J27" s="2"/>
      <c r="L27" s="141"/>
    </row>
    <row r="28" spans="1:13" s="141" customFormat="1" ht="27" customHeight="1" x14ac:dyDescent="0.2">
      <c r="A28" s="879" t="s">
        <v>2714</v>
      </c>
      <c r="B28" s="879"/>
      <c r="C28" s="879"/>
      <c r="D28" s="1110"/>
      <c r="E28" s="1110"/>
      <c r="F28" s="1110"/>
      <c r="G28" s="1110"/>
      <c r="H28" s="1110"/>
      <c r="I28" s="1110"/>
      <c r="J28" s="1110"/>
      <c r="K28" s="1110"/>
      <c r="M28" s="2"/>
    </row>
    <row r="29" spans="1:13" s="141" customFormat="1" ht="21.75" customHeight="1" x14ac:dyDescent="0.2">
      <c r="A29" s="639" t="s">
        <v>2681</v>
      </c>
      <c r="B29" s="639"/>
      <c r="C29" s="639"/>
      <c r="D29" s="903"/>
      <c r="E29" s="904"/>
      <c r="F29" s="904"/>
      <c r="G29" s="1072"/>
      <c r="H29" s="1072"/>
      <c r="I29" s="904"/>
      <c r="J29" s="904"/>
      <c r="K29" s="1065"/>
    </row>
  </sheetData>
  <mergeCells count="4">
    <mergeCell ref="A2:C2"/>
    <mergeCell ref="A27:C27"/>
    <mergeCell ref="A28:C28"/>
    <mergeCell ref="A29:C29"/>
  </mergeCells>
  <pageMargins left="0.7" right="0.7" top="0.75" bottom="0.75" header="0.3" footer="0.3"/>
  <pageSetup paperSize="14" orientation="portrait" r:id="rId1"/>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9C629-A2E1-4A81-A4A0-06DB947C1B22}">
  <sheetPr codeName="Hoja217"/>
  <dimension ref="A2:Y20"/>
  <sheetViews>
    <sheetView workbookViewId="0">
      <selection activeCell="A53" sqref="A53"/>
    </sheetView>
  </sheetViews>
  <sheetFormatPr baseColWidth="10" defaultRowHeight="13.2" x14ac:dyDescent="0.25"/>
  <cols>
    <col min="1" max="1" width="14" customWidth="1"/>
    <col min="2" max="2" width="7.33203125" bestFit="1" customWidth="1"/>
    <col min="3" max="3" width="11.109375" bestFit="1" customWidth="1"/>
    <col min="4" max="4" width="7.33203125" bestFit="1" customWidth="1"/>
    <col min="5" max="5" width="11.109375" bestFit="1" customWidth="1"/>
    <col min="6" max="6" width="7.33203125" bestFit="1" customWidth="1"/>
    <col min="7" max="7" width="11.109375" bestFit="1" customWidth="1"/>
    <col min="8" max="8" width="7.33203125" bestFit="1" customWidth="1"/>
    <col min="9" max="9" width="11.109375" bestFit="1" customWidth="1"/>
    <col min="10" max="10" width="7.33203125" bestFit="1" customWidth="1"/>
    <col min="11" max="11" width="11.109375" bestFit="1" customWidth="1"/>
  </cols>
  <sheetData>
    <row r="2" spans="1:25" s="141" customFormat="1" ht="22.5" customHeight="1" x14ac:dyDescent="0.2">
      <c r="A2" s="308" t="s">
        <v>2539</v>
      </c>
      <c r="B2" s="308"/>
      <c r="C2" s="308"/>
      <c r="D2" s="308"/>
      <c r="E2" s="308"/>
      <c r="F2" s="308"/>
      <c r="G2" s="308"/>
      <c r="H2" s="308"/>
      <c r="I2" s="308"/>
      <c r="J2" s="308"/>
      <c r="K2" s="308"/>
    </row>
    <row r="3" spans="1:25" s="141" customFormat="1" ht="10.199999999999999" x14ac:dyDescent="0.2">
      <c r="V3" s="904"/>
    </row>
    <row r="4" spans="1:25" s="141" customFormat="1" ht="14.25" customHeight="1" x14ac:dyDescent="0.2">
      <c r="A4" s="707" t="s">
        <v>2715</v>
      </c>
      <c r="B4" s="716">
        <v>2009</v>
      </c>
      <c r="C4" s="716"/>
      <c r="D4" s="716">
        <v>2010</v>
      </c>
      <c r="E4" s="716"/>
      <c r="F4" s="768">
        <v>2011</v>
      </c>
      <c r="G4" s="852"/>
      <c r="H4" s="768">
        <v>2012</v>
      </c>
      <c r="I4" s="769"/>
      <c r="J4" s="768">
        <v>2013</v>
      </c>
      <c r="K4" s="769"/>
      <c r="M4" s="711"/>
      <c r="P4" s="717"/>
      <c r="Q4" s="717"/>
      <c r="R4" s="717"/>
      <c r="S4" s="717"/>
      <c r="T4" s="717"/>
      <c r="U4" s="717"/>
      <c r="V4" s="717"/>
      <c r="W4" s="717"/>
      <c r="X4" s="717"/>
      <c r="Y4" s="717"/>
    </row>
    <row r="5" spans="1:25" s="141" customFormat="1" ht="14.25" customHeight="1" x14ac:dyDescent="0.2">
      <c r="A5" s="710"/>
      <c r="B5" s="453" t="s">
        <v>2680</v>
      </c>
      <c r="C5" s="453" t="s">
        <v>801</v>
      </c>
      <c r="D5" s="453" t="s">
        <v>2680</v>
      </c>
      <c r="E5" s="453" t="s">
        <v>801</v>
      </c>
      <c r="F5" s="453" t="s">
        <v>2680</v>
      </c>
      <c r="G5" s="453" t="s">
        <v>801</v>
      </c>
      <c r="H5" s="453" t="s">
        <v>2680</v>
      </c>
      <c r="I5" s="453" t="s">
        <v>801</v>
      </c>
      <c r="J5" s="453" t="s">
        <v>2680</v>
      </c>
      <c r="K5" s="453" t="s">
        <v>801</v>
      </c>
      <c r="N5" s="459"/>
      <c r="O5" s="459"/>
      <c r="P5" s="459"/>
      <c r="Q5" s="459"/>
      <c r="R5" s="459"/>
      <c r="S5" s="1089"/>
      <c r="T5" s="459"/>
      <c r="U5" s="459"/>
      <c r="V5" s="459"/>
      <c r="W5" s="459"/>
    </row>
    <row r="6" spans="1:25" s="141" customFormat="1" ht="10.199999999999999" x14ac:dyDescent="0.2">
      <c r="A6" s="711" t="s">
        <v>3</v>
      </c>
      <c r="B6" s="753">
        <f>SUM(B7:B17)</f>
        <v>4462</v>
      </c>
      <c r="C6" s="1076">
        <f>SUM(C7:C17)</f>
        <v>1</v>
      </c>
      <c r="D6" s="753">
        <f>SUM(D7:D17)</f>
        <v>5107</v>
      </c>
      <c r="E6" s="1076">
        <v>1</v>
      </c>
      <c r="F6" s="753">
        <f>SUM(F7:F17)</f>
        <v>5720</v>
      </c>
      <c r="G6" s="1076">
        <v>1</v>
      </c>
      <c r="H6" s="753">
        <f>SUM(H7:H17)</f>
        <v>6045</v>
      </c>
      <c r="I6" s="1076">
        <v>1</v>
      </c>
      <c r="J6" s="753">
        <f>SUM(J7:J17)</f>
        <v>5952</v>
      </c>
      <c r="K6" s="1076">
        <f>SUM(K7:K17)</f>
        <v>1</v>
      </c>
      <c r="N6" s="903"/>
      <c r="O6" s="1065"/>
      <c r="P6" s="903"/>
      <c r="Q6" s="1065"/>
      <c r="R6" s="903"/>
      <c r="S6" s="904"/>
    </row>
    <row r="7" spans="1:25" s="141" customFormat="1" ht="10.199999999999999" x14ac:dyDescent="0.2">
      <c r="A7" s="718" t="s">
        <v>2716</v>
      </c>
      <c r="B7" s="950">
        <v>1863</v>
      </c>
      <c r="C7" s="1071">
        <f t="shared" ref="C7:C17" si="0">+B7/$B$6</f>
        <v>0.4175257731958763</v>
      </c>
      <c r="D7" s="950">
        <v>2736</v>
      </c>
      <c r="E7" s="1071">
        <v>0.53573526532210691</v>
      </c>
      <c r="F7" s="950">
        <v>2388</v>
      </c>
      <c r="G7" s="1071">
        <f t="shared" ref="G7:G17" si="1">+F7/$F$6</f>
        <v>0.41748251748251747</v>
      </c>
      <c r="H7" s="1069">
        <v>2645</v>
      </c>
      <c r="I7" s="1071">
        <f t="shared" ref="I7:I17" si="2">+H7/$H$6</f>
        <v>0.43755169561621177</v>
      </c>
      <c r="J7" s="1069">
        <v>3042</v>
      </c>
      <c r="K7" s="1071">
        <f t="shared" ref="K7:K17" si="3">+J7/$J$6</f>
        <v>0.51108870967741937</v>
      </c>
      <c r="N7" s="950"/>
      <c r="O7" s="1071"/>
      <c r="P7" s="950"/>
      <c r="Q7" s="1071"/>
      <c r="R7" s="1111"/>
      <c r="S7" s="1089"/>
    </row>
    <row r="8" spans="1:25" s="141" customFormat="1" ht="10.199999999999999" x14ac:dyDescent="0.2">
      <c r="A8" s="718" t="s">
        <v>2717</v>
      </c>
      <c r="B8" s="950">
        <v>1104</v>
      </c>
      <c r="C8" s="1071">
        <f t="shared" si="0"/>
        <v>0.24742268041237114</v>
      </c>
      <c r="D8" s="950">
        <v>962</v>
      </c>
      <c r="E8" s="1071">
        <v>0.18836890542392795</v>
      </c>
      <c r="F8" s="950">
        <v>1497</v>
      </c>
      <c r="G8" s="1071">
        <f t="shared" si="1"/>
        <v>0.2617132867132867</v>
      </c>
      <c r="H8" s="1066">
        <v>1121</v>
      </c>
      <c r="I8" s="1071">
        <f t="shared" si="2"/>
        <v>0.18544251447477253</v>
      </c>
      <c r="J8" s="1069">
        <v>1290</v>
      </c>
      <c r="K8" s="1071">
        <f t="shared" si="3"/>
        <v>0.21673387096774194</v>
      </c>
      <c r="N8" s="950"/>
      <c r="O8" s="1071"/>
      <c r="P8" s="950"/>
      <c r="Q8" s="1071"/>
      <c r="R8" s="1088"/>
      <c r="S8" s="1089"/>
    </row>
    <row r="9" spans="1:25" s="141" customFormat="1" ht="10.199999999999999" x14ac:dyDescent="0.2">
      <c r="A9" s="718" t="s">
        <v>2718</v>
      </c>
      <c r="B9" s="950">
        <v>212</v>
      </c>
      <c r="C9" s="1071">
        <f t="shared" si="0"/>
        <v>4.7512326311071267E-2</v>
      </c>
      <c r="D9" s="950">
        <v>227</v>
      </c>
      <c r="E9" s="1071">
        <v>4.4448795770511064E-2</v>
      </c>
      <c r="F9" s="950">
        <v>254</v>
      </c>
      <c r="G9" s="1071">
        <f t="shared" si="1"/>
        <v>4.4405594405594405E-2</v>
      </c>
      <c r="H9" s="1066">
        <v>344</v>
      </c>
      <c r="I9" s="1071">
        <f t="shared" si="2"/>
        <v>5.6906534325889165E-2</v>
      </c>
      <c r="J9" s="1066">
        <v>223</v>
      </c>
      <c r="K9" s="1071">
        <f t="shared" si="3"/>
        <v>3.7466397849462367E-2</v>
      </c>
      <c r="N9" s="950"/>
      <c r="O9" s="1071"/>
      <c r="P9" s="950"/>
      <c r="Q9" s="1071"/>
      <c r="R9" s="1088"/>
      <c r="S9" s="1089"/>
    </row>
    <row r="10" spans="1:25" s="141" customFormat="1" ht="10.199999999999999" x14ac:dyDescent="0.2">
      <c r="A10" s="718" t="s">
        <v>2719</v>
      </c>
      <c r="B10" s="950">
        <v>461</v>
      </c>
      <c r="C10" s="1071">
        <f t="shared" si="0"/>
        <v>0.10331689825190497</v>
      </c>
      <c r="D10" s="950">
        <v>437</v>
      </c>
      <c r="E10" s="1071">
        <v>8.5568827100058739E-2</v>
      </c>
      <c r="F10" s="950">
        <v>623</v>
      </c>
      <c r="G10" s="1071">
        <f t="shared" si="1"/>
        <v>0.10891608391608391</v>
      </c>
      <c r="H10" s="1066">
        <v>511</v>
      </c>
      <c r="I10" s="1071">
        <f t="shared" si="2"/>
        <v>8.4532671629445819E-2</v>
      </c>
      <c r="J10" s="1066">
        <v>386</v>
      </c>
      <c r="K10" s="1071">
        <f t="shared" si="3"/>
        <v>6.4852150537634407E-2</v>
      </c>
      <c r="N10" s="950"/>
      <c r="O10" s="1071"/>
      <c r="P10" s="950"/>
      <c r="Q10" s="1071"/>
      <c r="R10" s="1088"/>
      <c r="S10" s="1089"/>
    </row>
    <row r="11" spans="1:25" s="141" customFormat="1" ht="10.199999999999999" x14ac:dyDescent="0.2">
      <c r="A11" s="718" t="s">
        <v>2720</v>
      </c>
      <c r="B11" s="950">
        <v>21</v>
      </c>
      <c r="C11" s="1071">
        <f t="shared" si="0"/>
        <v>4.7064096817570596E-3</v>
      </c>
      <c r="D11" s="950">
        <v>27</v>
      </c>
      <c r="E11" s="1071">
        <v>5.2868611709418444E-3</v>
      </c>
      <c r="F11" s="950">
        <v>36</v>
      </c>
      <c r="G11" s="1071">
        <f t="shared" si="1"/>
        <v>6.2937062937062941E-3</v>
      </c>
      <c r="H11" s="1066">
        <v>54</v>
      </c>
      <c r="I11" s="1071">
        <f t="shared" si="2"/>
        <v>8.9330024813895782E-3</v>
      </c>
      <c r="J11" s="1066">
        <v>53</v>
      </c>
      <c r="K11" s="1071">
        <f t="shared" si="3"/>
        <v>8.904569892473119E-3</v>
      </c>
      <c r="N11" s="950"/>
      <c r="O11" s="1071"/>
      <c r="P11" s="950"/>
      <c r="Q11" s="1071"/>
      <c r="R11" s="1088"/>
      <c r="S11" s="1089"/>
    </row>
    <row r="12" spans="1:25" s="141" customFormat="1" ht="10.199999999999999" x14ac:dyDescent="0.2">
      <c r="A12" s="718" t="s">
        <v>2721</v>
      </c>
      <c r="B12" s="950">
        <v>135</v>
      </c>
      <c r="C12" s="1071">
        <f t="shared" si="0"/>
        <v>3.0255490811295385E-2</v>
      </c>
      <c r="D12" s="950">
        <v>124</v>
      </c>
      <c r="E12" s="1071">
        <v>2.4280399451732916E-2</v>
      </c>
      <c r="F12" s="950">
        <v>150</v>
      </c>
      <c r="G12" s="1071">
        <f t="shared" si="1"/>
        <v>2.6223776223776224E-2</v>
      </c>
      <c r="H12" s="1066">
        <v>174</v>
      </c>
      <c r="I12" s="1071">
        <f t="shared" si="2"/>
        <v>2.8784119106699754E-2</v>
      </c>
      <c r="J12" s="1066">
        <v>177</v>
      </c>
      <c r="K12" s="1071">
        <f t="shared" si="3"/>
        <v>2.9737903225806453E-2</v>
      </c>
      <c r="N12" s="950"/>
      <c r="O12" s="1071"/>
      <c r="P12" s="950"/>
      <c r="Q12" s="1071"/>
      <c r="R12" s="1088"/>
      <c r="S12" s="1089"/>
    </row>
    <row r="13" spans="1:25" s="141" customFormat="1" ht="10.199999999999999" x14ac:dyDescent="0.2">
      <c r="A13" s="718" t="s">
        <v>2722</v>
      </c>
      <c r="B13" s="950">
        <v>21</v>
      </c>
      <c r="C13" s="1071">
        <f t="shared" si="0"/>
        <v>4.7064096817570596E-3</v>
      </c>
      <c r="D13" s="950">
        <v>13</v>
      </c>
      <c r="E13" s="1071">
        <v>2.5455257489719993E-3</v>
      </c>
      <c r="F13" s="950">
        <v>14</v>
      </c>
      <c r="G13" s="1071">
        <f t="shared" si="1"/>
        <v>2.4475524475524478E-3</v>
      </c>
      <c r="H13" s="1066">
        <v>17</v>
      </c>
      <c r="I13" s="1071">
        <f t="shared" si="2"/>
        <v>2.8122415219189413E-3</v>
      </c>
      <c r="J13" s="1066">
        <v>21</v>
      </c>
      <c r="K13" s="1071">
        <f t="shared" si="3"/>
        <v>3.5282258064516128E-3</v>
      </c>
      <c r="N13" s="950"/>
      <c r="O13" s="1071"/>
      <c r="P13" s="950"/>
      <c r="Q13" s="1071"/>
      <c r="R13" s="1088"/>
      <c r="S13" s="1089"/>
    </row>
    <row r="14" spans="1:25" s="141" customFormat="1" ht="10.199999999999999" x14ac:dyDescent="0.2">
      <c r="A14" s="718" t="s">
        <v>2723</v>
      </c>
      <c r="B14" s="950">
        <v>50</v>
      </c>
      <c r="C14" s="1071">
        <f t="shared" si="0"/>
        <v>1.1205737337516808E-2</v>
      </c>
      <c r="D14" s="950">
        <v>26</v>
      </c>
      <c r="E14" s="1071">
        <v>5.0910514979439986E-3</v>
      </c>
      <c r="F14" s="950">
        <v>155</v>
      </c>
      <c r="G14" s="1071">
        <f t="shared" si="1"/>
        <v>2.7097902097902096E-2</v>
      </c>
      <c r="H14" s="1066">
        <v>93</v>
      </c>
      <c r="I14" s="1071">
        <f t="shared" si="2"/>
        <v>1.5384615384615385E-2</v>
      </c>
      <c r="J14" s="1066">
        <v>75</v>
      </c>
      <c r="K14" s="1071">
        <f t="shared" si="3"/>
        <v>1.2600806451612902E-2</v>
      </c>
      <c r="N14" s="950"/>
      <c r="O14" s="1071"/>
      <c r="P14" s="950"/>
      <c r="Q14" s="1071"/>
      <c r="R14" s="1088"/>
      <c r="S14" s="1089"/>
    </row>
    <row r="15" spans="1:25" s="141" customFormat="1" ht="10.199999999999999" x14ac:dyDescent="0.2">
      <c r="A15" s="718" t="s">
        <v>2724</v>
      </c>
      <c r="B15" s="950">
        <v>7</v>
      </c>
      <c r="C15" s="1071">
        <f t="shared" si="0"/>
        <v>1.5688032272523531E-3</v>
      </c>
      <c r="D15" s="950">
        <v>20</v>
      </c>
      <c r="E15" s="1071">
        <v>3.9161934599569216E-3</v>
      </c>
      <c r="F15" s="950">
        <v>4</v>
      </c>
      <c r="G15" s="1071">
        <f t="shared" si="1"/>
        <v>6.993006993006993E-4</v>
      </c>
      <c r="H15" s="1066">
        <v>11</v>
      </c>
      <c r="I15" s="1071">
        <f t="shared" si="2"/>
        <v>1.8196856906534326E-3</v>
      </c>
      <c r="J15" s="1066">
        <v>18</v>
      </c>
      <c r="K15" s="1071">
        <f t="shared" si="3"/>
        <v>3.0241935483870967E-3</v>
      </c>
      <c r="N15" s="950"/>
      <c r="O15" s="1071"/>
      <c r="P15" s="950"/>
      <c r="Q15" s="1071"/>
      <c r="R15" s="1088"/>
      <c r="S15" s="1089"/>
    </row>
    <row r="16" spans="1:25" s="141" customFormat="1" ht="10.199999999999999" x14ac:dyDescent="0.2">
      <c r="A16" s="718" t="s">
        <v>2725</v>
      </c>
      <c r="B16" s="950">
        <v>122</v>
      </c>
      <c r="C16" s="1071">
        <f t="shared" si="0"/>
        <v>2.7341999103541011E-2</v>
      </c>
      <c r="D16" s="950">
        <v>85</v>
      </c>
      <c r="E16" s="1071">
        <v>1.6643822204816919E-2</v>
      </c>
      <c r="F16" s="950">
        <v>75</v>
      </c>
      <c r="G16" s="1071">
        <f t="shared" si="1"/>
        <v>1.3111888111888112E-2</v>
      </c>
      <c r="H16" s="1066">
        <v>207</v>
      </c>
      <c r="I16" s="1071">
        <f t="shared" si="2"/>
        <v>3.4243176178660052E-2</v>
      </c>
      <c r="J16" s="1066">
        <v>113</v>
      </c>
      <c r="K16" s="1071">
        <f t="shared" si="3"/>
        <v>1.8985215053763441E-2</v>
      </c>
      <c r="N16" s="950"/>
      <c r="O16" s="1071"/>
      <c r="P16" s="950"/>
      <c r="Q16" s="1071"/>
      <c r="R16" s="1088"/>
      <c r="S16" s="1089"/>
    </row>
    <row r="17" spans="1:22" s="141" customFormat="1" ht="10.199999999999999" x14ac:dyDescent="0.2">
      <c r="A17" s="718" t="s">
        <v>2726</v>
      </c>
      <c r="B17" s="950">
        <v>466</v>
      </c>
      <c r="C17" s="1071">
        <f t="shared" si="0"/>
        <v>0.10443747198565666</v>
      </c>
      <c r="D17" s="950">
        <v>450</v>
      </c>
      <c r="E17" s="1071">
        <v>8.8114352849030741E-2</v>
      </c>
      <c r="F17" s="950">
        <v>524</v>
      </c>
      <c r="G17" s="1071">
        <f t="shared" si="1"/>
        <v>9.1608391608391612E-2</v>
      </c>
      <c r="H17" s="1066">
        <v>868</v>
      </c>
      <c r="I17" s="1071">
        <f t="shared" si="2"/>
        <v>0.14358974358974358</v>
      </c>
      <c r="J17" s="1066">
        <v>554</v>
      </c>
      <c r="K17" s="1071">
        <f t="shared" si="3"/>
        <v>9.3077956989247312E-2</v>
      </c>
      <c r="N17" s="950"/>
      <c r="O17" s="1071"/>
      <c r="P17" s="950"/>
      <c r="Q17" s="1071"/>
      <c r="R17" s="1088"/>
      <c r="S17" s="1089"/>
    </row>
    <row r="18" spans="1:22" s="141" customFormat="1" ht="8.25" customHeight="1" x14ac:dyDescent="0.2">
      <c r="B18" s="950"/>
      <c r="C18" s="1071"/>
      <c r="D18" s="950"/>
      <c r="E18" s="1071"/>
      <c r="F18" s="1071"/>
      <c r="G18" s="950"/>
      <c r="H18" s="950"/>
      <c r="I18" s="1071"/>
      <c r="J18" s="1071"/>
      <c r="K18" s="1066"/>
      <c r="L18" s="1071"/>
      <c r="M18" s="1066"/>
      <c r="N18" s="1071"/>
      <c r="Q18" s="950"/>
      <c r="R18" s="1071"/>
      <c r="S18" s="950"/>
      <c r="T18" s="1071"/>
      <c r="U18" s="1088"/>
      <c r="V18" s="1089"/>
    </row>
    <row r="19" spans="1:22" s="141" customFormat="1" ht="14.25" customHeight="1" x14ac:dyDescent="0.2">
      <c r="A19" s="2" t="s">
        <v>2681</v>
      </c>
      <c r="B19" s="2"/>
      <c r="C19" s="2"/>
      <c r="D19" s="903"/>
      <c r="E19" s="904"/>
      <c r="F19" s="904"/>
      <c r="G19" s="1072"/>
      <c r="H19" s="1072"/>
      <c r="I19" s="904"/>
      <c r="J19" s="904"/>
      <c r="K19" s="1065"/>
    </row>
    <row r="20" spans="1:22" s="141" customFormat="1" ht="10.199999999999999" x14ac:dyDescent="0.2">
      <c r="A20" s="1010"/>
      <c r="B20" s="2"/>
      <c r="C20" s="2"/>
      <c r="D20" s="903"/>
      <c r="E20" s="904"/>
      <c r="F20" s="904"/>
      <c r="G20" s="1072"/>
      <c r="H20" s="1072"/>
      <c r="I20" s="904"/>
      <c r="J20" s="904"/>
      <c r="K20" s="1065"/>
    </row>
  </sheetData>
  <mergeCells count="7">
    <mergeCell ref="A2:K2"/>
    <mergeCell ref="A4:A5"/>
    <mergeCell ref="B4:C4"/>
    <mergeCell ref="D4:E4"/>
    <mergeCell ref="F4:G4"/>
    <mergeCell ref="H4:I4"/>
    <mergeCell ref="J4:K4"/>
  </mergeCells>
  <pageMargins left="0.7" right="0.7" top="0.75" bottom="0.75" header="0.3" footer="0.3"/>
  <pageSetup paperSize="14" orientation="landscape" r:id="rId1"/>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3932E9-30C3-4621-A9E8-90B31E8856BF}">
  <sheetPr codeName="Hoja218"/>
  <dimension ref="A2:X54"/>
  <sheetViews>
    <sheetView topLeftCell="A10" zoomScaleNormal="100" workbookViewId="0">
      <selection activeCell="A53" sqref="A53"/>
    </sheetView>
  </sheetViews>
  <sheetFormatPr baseColWidth="10" defaultRowHeight="13.2" x14ac:dyDescent="0.25"/>
  <cols>
    <col min="3" max="3" width="7.33203125" bestFit="1" customWidth="1"/>
    <col min="4" max="4" width="11.109375" bestFit="1" customWidth="1"/>
    <col min="5" max="5" width="7.33203125" bestFit="1" customWidth="1"/>
    <col min="6" max="6" width="11.109375" bestFit="1" customWidth="1"/>
    <col min="7" max="7" width="7.33203125" bestFit="1" customWidth="1"/>
    <col min="8" max="8" width="11.109375" bestFit="1" customWidth="1"/>
    <col min="9" max="9" width="7.33203125" bestFit="1" customWidth="1"/>
    <col min="10" max="10" width="11.109375" bestFit="1" customWidth="1"/>
    <col min="11" max="11" width="7.33203125" bestFit="1" customWidth="1"/>
    <col min="12" max="12" width="11.109375" bestFit="1" customWidth="1"/>
  </cols>
  <sheetData>
    <row r="2" spans="1:24" s="141" customFormat="1" ht="25.5" customHeight="1" x14ac:dyDescent="0.2">
      <c r="A2" s="747" t="s">
        <v>2727</v>
      </c>
      <c r="B2" s="747"/>
      <c r="C2" s="747"/>
      <c r="D2" s="747"/>
      <c r="E2" s="747"/>
      <c r="F2" s="747"/>
      <c r="G2" s="747"/>
      <c r="H2" s="747"/>
      <c r="I2" s="747"/>
      <c r="J2" s="747"/>
      <c r="K2" s="747"/>
      <c r="L2" s="747"/>
      <c r="P2" s="2"/>
      <c r="Q2" s="2"/>
      <c r="R2" s="2"/>
      <c r="S2" s="2"/>
      <c r="T2" s="2"/>
      <c r="U2" s="2"/>
    </row>
    <row r="3" spans="1:24" s="141" customFormat="1" ht="12" customHeight="1" x14ac:dyDescent="0.2">
      <c r="A3" s="910"/>
      <c r="B3" s="910"/>
      <c r="C3" s="910"/>
      <c r="D3" s="910"/>
      <c r="E3" s="910"/>
      <c r="F3" s="910"/>
      <c r="G3" s="910"/>
      <c r="H3" s="910"/>
      <c r="I3" s="2"/>
      <c r="J3" s="2"/>
      <c r="P3" s="2"/>
      <c r="Q3" s="2"/>
      <c r="R3" s="2"/>
      <c r="S3" s="2"/>
      <c r="T3" s="2"/>
      <c r="U3" s="2"/>
    </row>
    <row r="4" spans="1:24" s="818" customFormat="1" ht="19.5" customHeight="1" x14ac:dyDescent="0.2">
      <c r="A4" s="707" t="s">
        <v>2728</v>
      </c>
      <c r="B4" s="707" t="s">
        <v>2729</v>
      </c>
      <c r="C4" s="768">
        <v>2009</v>
      </c>
      <c r="D4" s="769"/>
      <c r="E4" s="768">
        <v>2010</v>
      </c>
      <c r="F4" s="769"/>
      <c r="G4" s="768">
        <v>2011</v>
      </c>
      <c r="H4" s="769"/>
      <c r="I4" s="768">
        <v>2012</v>
      </c>
      <c r="J4" s="769"/>
      <c r="K4" s="716">
        <v>2013</v>
      </c>
      <c r="L4" s="716"/>
      <c r="P4" s="1010"/>
      <c r="Q4" s="1100"/>
    </row>
    <row r="5" spans="1:24" s="818" customFormat="1" ht="19.5" customHeight="1" x14ac:dyDescent="0.2">
      <c r="A5" s="710"/>
      <c r="B5" s="710"/>
      <c r="C5" s="453" t="s">
        <v>2680</v>
      </c>
      <c r="D5" s="453" t="s">
        <v>801</v>
      </c>
      <c r="E5" s="453" t="s">
        <v>2680</v>
      </c>
      <c r="F5" s="453" t="s">
        <v>801</v>
      </c>
      <c r="G5" s="453" t="s">
        <v>2680</v>
      </c>
      <c r="H5" s="453" t="s">
        <v>801</v>
      </c>
      <c r="I5" s="453" t="s">
        <v>2680</v>
      </c>
      <c r="J5" s="453" t="s">
        <v>801</v>
      </c>
      <c r="K5" s="453" t="s">
        <v>2680</v>
      </c>
      <c r="L5" s="453" t="s">
        <v>801</v>
      </c>
      <c r="O5" s="1116"/>
      <c r="P5" s="1117"/>
      <c r="R5" s="1118"/>
      <c r="S5" s="1118"/>
      <c r="T5" s="1118"/>
      <c r="U5" s="1118"/>
      <c r="V5" s="1118"/>
      <c r="W5" s="1118"/>
    </row>
    <row r="6" spans="1:24" s="711" customFormat="1" ht="13.5" customHeight="1" x14ac:dyDescent="0.25">
      <c r="A6" s="1119" t="s">
        <v>3</v>
      </c>
      <c r="B6" s="1119"/>
      <c r="C6" s="1120">
        <f>SUM(C7:C51)</f>
        <v>300</v>
      </c>
      <c r="D6" s="1121">
        <f>SUM(D7:D51)</f>
        <v>1</v>
      </c>
      <c r="E6" s="711">
        <f>SUM(E7:E50)</f>
        <v>403</v>
      </c>
      <c r="F6" s="1122">
        <f>SUM(F7:F51)</f>
        <v>1.0000000000000002</v>
      </c>
      <c r="G6" s="711">
        <f>SUM(G7:G50)</f>
        <v>309</v>
      </c>
      <c r="H6" s="1122">
        <f>SUM(H7:H51)</f>
        <v>0.99999999999999967</v>
      </c>
      <c r="I6" s="711">
        <f>SUM(I7:I50)</f>
        <v>255</v>
      </c>
      <c r="J6" s="1122">
        <f>SUM(J7:J51)</f>
        <v>1</v>
      </c>
      <c r="K6" s="711">
        <f>SUM(K7:K50)</f>
        <v>270</v>
      </c>
      <c r="L6" s="1123">
        <f>SUM(L7:L51)</f>
        <v>1</v>
      </c>
      <c r="M6" s="717"/>
      <c r="O6" s="717"/>
      <c r="P6" s="1084"/>
      <c r="Q6" s="1084"/>
      <c r="R6" s="717"/>
      <c r="S6" s="717"/>
      <c r="T6" s="717"/>
      <c r="U6" s="717"/>
      <c r="V6" s="692"/>
      <c r="W6" s="1124"/>
      <c r="X6" s="717"/>
    </row>
    <row r="7" spans="1:24" s="141" customFormat="1" ht="10.5" customHeight="1" x14ac:dyDescent="0.2">
      <c r="A7" s="141" t="s">
        <v>2730</v>
      </c>
      <c r="B7" s="141" t="s">
        <v>2731</v>
      </c>
      <c r="C7" s="134">
        <v>12</v>
      </c>
      <c r="D7" s="1098">
        <f t="shared" ref="D7:D51" si="0">C7/$C$6</f>
        <v>0.04</v>
      </c>
      <c r="E7" s="134">
        <v>14</v>
      </c>
      <c r="F7" s="1098">
        <f t="shared" ref="F7:F51" si="1">E7/$E$6</f>
        <v>3.4739454094292806E-2</v>
      </c>
      <c r="G7" s="134">
        <v>56</v>
      </c>
      <c r="H7" s="1098">
        <f t="shared" ref="H7:H51" si="2">G7/$G$6</f>
        <v>0.18122977346278318</v>
      </c>
      <c r="I7" s="134">
        <v>18</v>
      </c>
      <c r="J7" s="1098">
        <f t="shared" ref="J7:J51" si="3">I7/$I$6</f>
        <v>7.0588235294117646E-2</v>
      </c>
      <c r="K7" s="677">
        <v>18</v>
      </c>
      <c r="L7" s="1125">
        <f t="shared" ref="L7:L51" si="4">K7/$K$6</f>
        <v>6.6666666666666666E-2</v>
      </c>
      <c r="O7" s="1032"/>
      <c r="P7" s="1032"/>
      <c r="Q7" s="1066"/>
      <c r="R7" s="459"/>
      <c r="S7" s="459"/>
      <c r="T7" s="459"/>
      <c r="V7" s="2"/>
      <c r="W7" s="1022"/>
    </row>
    <row r="8" spans="1:24" s="141" customFormat="1" ht="10.5" customHeight="1" x14ac:dyDescent="0.2">
      <c r="A8" s="141" t="s">
        <v>2732</v>
      </c>
      <c r="B8" s="141" t="s">
        <v>2733</v>
      </c>
      <c r="C8" s="134">
        <v>1</v>
      </c>
      <c r="D8" s="1098">
        <f t="shared" si="0"/>
        <v>3.3333333333333335E-3</v>
      </c>
      <c r="E8" s="134">
        <v>0</v>
      </c>
      <c r="F8" s="1098">
        <f t="shared" si="1"/>
        <v>0</v>
      </c>
      <c r="G8" s="134">
        <v>1</v>
      </c>
      <c r="H8" s="1098">
        <f t="shared" si="2"/>
        <v>3.2362459546925568E-3</v>
      </c>
      <c r="I8" s="134">
        <v>0</v>
      </c>
      <c r="J8" s="1098">
        <f t="shared" si="3"/>
        <v>0</v>
      </c>
      <c r="K8" s="131">
        <v>0</v>
      </c>
      <c r="L8" s="1125">
        <f t="shared" si="4"/>
        <v>0</v>
      </c>
      <c r="O8" s="1032"/>
      <c r="P8" s="1032"/>
      <c r="Q8" s="1066"/>
      <c r="R8" s="459"/>
      <c r="S8" s="459"/>
      <c r="T8" s="459"/>
      <c r="W8" s="904"/>
    </row>
    <row r="9" spans="1:24" s="141" customFormat="1" ht="10.5" customHeight="1" x14ac:dyDescent="0.2">
      <c r="A9" s="141" t="s">
        <v>2734</v>
      </c>
      <c r="B9" s="141" t="s">
        <v>2735</v>
      </c>
      <c r="C9" s="134">
        <v>0</v>
      </c>
      <c r="D9" s="1098">
        <f t="shared" si="0"/>
        <v>0</v>
      </c>
      <c r="E9" s="134">
        <v>4</v>
      </c>
      <c r="F9" s="1098">
        <f t="shared" si="1"/>
        <v>9.9255583126550868E-3</v>
      </c>
      <c r="G9" s="134">
        <v>4</v>
      </c>
      <c r="H9" s="1098">
        <f t="shared" si="2"/>
        <v>1.2944983818770227E-2</v>
      </c>
      <c r="I9" s="134">
        <v>3</v>
      </c>
      <c r="J9" s="1098">
        <f t="shared" si="3"/>
        <v>1.1764705882352941E-2</v>
      </c>
      <c r="K9" s="131">
        <v>0</v>
      </c>
      <c r="L9" s="1125">
        <f t="shared" si="4"/>
        <v>0</v>
      </c>
      <c r="O9" s="1032"/>
      <c r="P9" s="1032"/>
      <c r="Q9" s="1066"/>
      <c r="R9" s="459"/>
      <c r="S9" s="459"/>
      <c r="T9" s="459"/>
      <c r="V9" s="2"/>
      <c r="W9" s="1022"/>
    </row>
    <row r="10" spans="1:24" s="141" customFormat="1" ht="10.5" customHeight="1" x14ac:dyDescent="0.2">
      <c r="A10" s="141" t="s">
        <v>2734</v>
      </c>
      <c r="B10" s="141" t="s">
        <v>2736</v>
      </c>
      <c r="C10" s="134">
        <v>0</v>
      </c>
      <c r="D10" s="1098">
        <f t="shared" si="0"/>
        <v>0</v>
      </c>
      <c r="E10" s="134">
        <v>1</v>
      </c>
      <c r="F10" s="1098">
        <f t="shared" si="1"/>
        <v>2.4813895781637717E-3</v>
      </c>
      <c r="G10" s="134">
        <v>0</v>
      </c>
      <c r="H10" s="1098">
        <f t="shared" si="2"/>
        <v>0</v>
      </c>
      <c r="I10" s="134">
        <v>0</v>
      </c>
      <c r="J10" s="1098">
        <f t="shared" si="3"/>
        <v>0</v>
      </c>
      <c r="K10" s="131">
        <v>0</v>
      </c>
      <c r="L10" s="1125">
        <f t="shared" si="4"/>
        <v>0</v>
      </c>
      <c r="O10" s="1032"/>
      <c r="P10" s="1032"/>
      <c r="Q10" s="1066"/>
      <c r="R10" s="459"/>
      <c r="S10" s="459"/>
      <c r="T10" s="459"/>
      <c r="V10" s="2"/>
      <c r="W10" s="1022"/>
    </row>
    <row r="11" spans="1:24" s="141" customFormat="1" ht="10.5" customHeight="1" x14ac:dyDescent="0.2">
      <c r="A11" s="141" t="s">
        <v>2737</v>
      </c>
      <c r="B11" s="141" t="s">
        <v>2735</v>
      </c>
      <c r="C11" s="134">
        <v>0</v>
      </c>
      <c r="D11" s="1098">
        <f t="shared" si="0"/>
        <v>0</v>
      </c>
      <c r="E11" s="134">
        <v>0</v>
      </c>
      <c r="F11" s="1098">
        <f t="shared" si="1"/>
        <v>0</v>
      </c>
      <c r="G11" s="134">
        <v>0</v>
      </c>
      <c r="H11" s="1098">
        <f t="shared" si="2"/>
        <v>0</v>
      </c>
      <c r="I11" s="134">
        <v>0</v>
      </c>
      <c r="J11" s="1098">
        <f t="shared" si="3"/>
        <v>0</v>
      </c>
      <c r="K11" s="677">
        <v>1</v>
      </c>
      <c r="L11" s="1125">
        <f t="shared" si="4"/>
        <v>3.7037037037037038E-3</v>
      </c>
      <c r="O11" s="1032"/>
      <c r="P11" s="1032"/>
      <c r="Q11" s="1066"/>
      <c r="R11" s="459"/>
      <c r="S11" s="459"/>
      <c r="T11" s="459"/>
      <c r="V11" s="2"/>
      <c r="W11" s="1022"/>
    </row>
    <row r="12" spans="1:24" s="141" customFormat="1" ht="10.5" customHeight="1" x14ac:dyDescent="0.2">
      <c r="A12" s="141" t="s">
        <v>2738</v>
      </c>
      <c r="B12" s="141" t="s">
        <v>2735</v>
      </c>
      <c r="C12" s="134">
        <v>0</v>
      </c>
      <c r="D12" s="1098">
        <f t="shared" si="0"/>
        <v>0</v>
      </c>
      <c r="E12" s="134">
        <v>0</v>
      </c>
      <c r="F12" s="1098">
        <f t="shared" si="1"/>
        <v>0</v>
      </c>
      <c r="G12" s="134">
        <v>0</v>
      </c>
      <c r="H12" s="1098">
        <f t="shared" si="2"/>
        <v>0</v>
      </c>
      <c r="I12" s="134">
        <v>0</v>
      </c>
      <c r="J12" s="1098">
        <f t="shared" si="3"/>
        <v>0</v>
      </c>
      <c r="K12" s="677">
        <v>2</v>
      </c>
      <c r="L12" s="1125">
        <f t="shared" si="4"/>
        <v>7.4074074074074077E-3</v>
      </c>
      <c r="O12" s="1032"/>
      <c r="P12" s="1032"/>
      <c r="Q12" s="1066"/>
      <c r="R12" s="459"/>
      <c r="S12" s="459"/>
      <c r="T12" s="459"/>
      <c r="V12" s="2"/>
      <c r="W12" s="1022"/>
    </row>
    <row r="13" spans="1:24" s="141" customFormat="1" ht="10.5" customHeight="1" x14ac:dyDescent="0.2">
      <c r="A13" s="141" t="s">
        <v>2739</v>
      </c>
      <c r="B13" s="141" t="s">
        <v>2735</v>
      </c>
      <c r="C13" s="134">
        <v>0</v>
      </c>
      <c r="D13" s="1098">
        <f t="shared" si="0"/>
        <v>0</v>
      </c>
      <c r="E13" s="134">
        <v>1</v>
      </c>
      <c r="F13" s="1098">
        <f t="shared" si="1"/>
        <v>2.4813895781637717E-3</v>
      </c>
      <c r="G13" s="134">
        <v>0</v>
      </c>
      <c r="H13" s="1098">
        <f t="shared" si="2"/>
        <v>0</v>
      </c>
      <c r="I13" s="134">
        <v>0</v>
      </c>
      <c r="J13" s="1098">
        <f t="shared" si="3"/>
        <v>0</v>
      </c>
      <c r="K13" s="677">
        <v>0</v>
      </c>
      <c r="L13" s="1125">
        <f t="shared" si="4"/>
        <v>0</v>
      </c>
      <c r="O13" s="1032"/>
      <c r="P13" s="1032"/>
      <c r="Q13" s="1066"/>
      <c r="R13" s="459"/>
      <c r="S13" s="459"/>
      <c r="T13" s="459"/>
      <c r="V13" s="2"/>
      <c r="W13" s="1022"/>
    </row>
    <row r="14" spans="1:24" s="141" customFormat="1" ht="10.5" customHeight="1" x14ac:dyDescent="0.2">
      <c r="A14" s="141" t="s">
        <v>2740</v>
      </c>
      <c r="B14" s="141" t="s">
        <v>2735</v>
      </c>
      <c r="C14" s="134">
        <v>4</v>
      </c>
      <c r="D14" s="1098">
        <f t="shared" si="0"/>
        <v>1.3333333333333334E-2</v>
      </c>
      <c r="E14" s="134">
        <v>0</v>
      </c>
      <c r="F14" s="1098">
        <f t="shared" si="1"/>
        <v>0</v>
      </c>
      <c r="G14" s="134">
        <v>0</v>
      </c>
      <c r="H14" s="1098">
        <f t="shared" si="2"/>
        <v>0</v>
      </c>
      <c r="I14" s="134">
        <v>2</v>
      </c>
      <c r="J14" s="1098">
        <f t="shared" si="3"/>
        <v>7.8431372549019607E-3</v>
      </c>
      <c r="K14" s="131">
        <v>3</v>
      </c>
      <c r="L14" s="1125">
        <f t="shared" si="4"/>
        <v>1.1111111111111112E-2</v>
      </c>
      <c r="O14" s="1032"/>
      <c r="P14" s="1032"/>
      <c r="Q14" s="1066"/>
      <c r="R14" s="459"/>
      <c r="S14" s="459"/>
      <c r="T14" s="459"/>
      <c r="W14" s="904"/>
    </row>
    <row r="15" spans="1:24" s="141" customFormat="1" ht="10.5" customHeight="1" x14ac:dyDescent="0.2">
      <c r="A15" s="141" t="s">
        <v>2741</v>
      </c>
      <c r="B15" s="141" t="s">
        <v>2742</v>
      </c>
      <c r="C15" s="134">
        <v>0</v>
      </c>
      <c r="D15" s="1098">
        <f t="shared" si="0"/>
        <v>0</v>
      </c>
      <c r="E15" s="134">
        <v>1</v>
      </c>
      <c r="F15" s="1098">
        <f t="shared" si="1"/>
        <v>2.4813895781637717E-3</v>
      </c>
      <c r="G15" s="134">
        <v>0</v>
      </c>
      <c r="H15" s="1098">
        <f t="shared" si="2"/>
        <v>0</v>
      </c>
      <c r="I15" s="134">
        <v>0</v>
      </c>
      <c r="J15" s="1098">
        <f t="shared" si="3"/>
        <v>0</v>
      </c>
      <c r="K15" s="677">
        <v>0</v>
      </c>
      <c r="L15" s="1125">
        <f t="shared" si="4"/>
        <v>0</v>
      </c>
      <c r="O15" s="1032"/>
      <c r="P15" s="1032"/>
      <c r="Q15" s="1066"/>
      <c r="R15" s="459"/>
      <c r="S15" s="459"/>
      <c r="T15" s="459"/>
      <c r="V15" s="2"/>
      <c r="W15" s="1022"/>
    </row>
    <row r="16" spans="1:24" s="141" customFormat="1" ht="10.5" customHeight="1" x14ac:dyDescent="0.2">
      <c r="A16" s="141" t="s">
        <v>2735</v>
      </c>
      <c r="B16" s="141" t="s">
        <v>2730</v>
      </c>
      <c r="C16" s="134">
        <v>1</v>
      </c>
      <c r="D16" s="1098">
        <f t="shared" si="0"/>
        <v>3.3333333333333335E-3</v>
      </c>
      <c r="E16" s="134">
        <v>1</v>
      </c>
      <c r="F16" s="1098">
        <f t="shared" si="1"/>
        <v>2.4813895781637717E-3</v>
      </c>
      <c r="G16" s="134">
        <v>4</v>
      </c>
      <c r="H16" s="1098">
        <f t="shared" si="2"/>
        <v>1.2944983818770227E-2</v>
      </c>
      <c r="I16" s="134">
        <v>1</v>
      </c>
      <c r="J16" s="1098">
        <f t="shared" si="3"/>
        <v>3.9215686274509803E-3</v>
      </c>
      <c r="K16" s="677">
        <v>4</v>
      </c>
      <c r="L16" s="1125">
        <f t="shared" si="4"/>
        <v>1.4814814814814815E-2</v>
      </c>
      <c r="O16" s="1032"/>
      <c r="P16" s="1032"/>
      <c r="Q16" s="1066"/>
      <c r="R16" s="459"/>
      <c r="S16" s="459"/>
      <c r="T16" s="459"/>
      <c r="V16" s="2"/>
      <c r="W16" s="1022"/>
    </row>
    <row r="17" spans="1:23" s="141" customFormat="1" ht="10.5" customHeight="1" x14ac:dyDescent="0.2">
      <c r="A17" s="141" t="s">
        <v>2735</v>
      </c>
      <c r="B17" s="141" t="s">
        <v>2743</v>
      </c>
      <c r="C17" s="134">
        <v>4</v>
      </c>
      <c r="D17" s="1098">
        <f t="shared" si="0"/>
        <v>1.3333333333333334E-2</v>
      </c>
      <c r="E17" s="134">
        <v>1</v>
      </c>
      <c r="F17" s="1098">
        <f t="shared" si="1"/>
        <v>2.4813895781637717E-3</v>
      </c>
      <c r="G17" s="134">
        <v>0</v>
      </c>
      <c r="H17" s="1098">
        <f t="shared" si="2"/>
        <v>0</v>
      </c>
      <c r="I17" s="134">
        <v>0</v>
      </c>
      <c r="J17" s="1098">
        <f t="shared" si="3"/>
        <v>0</v>
      </c>
      <c r="K17" s="677">
        <v>0</v>
      </c>
      <c r="L17" s="1125">
        <f t="shared" si="4"/>
        <v>0</v>
      </c>
      <c r="O17" s="1032"/>
      <c r="P17" s="1032"/>
      <c r="Q17" s="1066"/>
      <c r="R17" s="459"/>
      <c r="S17" s="459"/>
      <c r="T17" s="459"/>
      <c r="V17" s="2"/>
      <c r="W17" s="1022"/>
    </row>
    <row r="18" spans="1:23" s="141" customFormat="1" ht="10.5" customHeight="1" x14ac:dyDescent="0.2">
      <c r="A18" s="141" t="s">
        <v>2735</v>
      </c>
      <c r="B18" s="141" t="s">
        <v>2737</v>
      </c>
      <c r="C18" s="134">
        <v>0</v>
      </c>
      <c r="D18" s="1098">
        <f t="shared" si="0"/>
        <v>0</v>
      </c>
      <c r="E18" s="134">
        <v>0</v>
      </c>
      <c r="F18" s="1098">
        <f t="shared" si="1"/>
        <v>0</v>
      </c>
      <c r="G18" s="134">
        <v>0</v>
      </c>
      <c r="H18" s="1098">
        <f t="shared" si="2"/>
        <v>0</v>
      </c>
      <c r="I18" s="134">
        <v>0</v>
      </c>
      <c r="J18" s="1098">
        <f t="shared" si="3"/>
        <v>0</v>
      </c>
      <c r="K18" s="677">
        <v>1</v>
      </c>
      <c r="L18" s="1125">
        <f t="shared" si="4"/>
        <v>3.7037037037037038E-3</v>
      </c>
      <c r="O18" s="1032"/>
      <c r="P18" s="1032"/>
      <c r="Q18" s="1066"/>
      <c r="R18" s="459"/>
      <c r="S18" s="459"/>
      <c r="T18" s="459"/>
      <c r="V18" s="2"/>
      <c r="W18" s="1022"/>
    </row>
    <row r="19" spans="1:23" s="141" customFormat="1" ht="10.5" customHeight="1" x14ac:dyDescent="0.2">
      <c r="A19" s="141" t="s">
        <v>2735</v>
      </c>
      <c r="B19" s="141" t="s">
        <v>2738</v>
      </c>
      <c r="C19" s="134">
        <v>1</v>
      </c>
      <c r="D19" s="1098">
        <f t="shared" si="0"/>
        <v>3.3333333333333335E-3</v>
      </c>
      <c r="E19" s="134">
        <v>1</v>
      </c>
      <c r="F19" s="1098">
        <f t="shared" si="1"/>
        <v>2.4813895781637717E-3</v>
      </c>
      <c r="G19" s="134">
        <v>1</v>
      </c>
      <c r="H19" s="1098">
        <f t="shared" si="2"/>
        <v>3.2362459546925568E-3</v>
      </c>
      <c r="I19" s="134">
        <v>0</v>
      </c>
      <c r="J19" s="1098">
        <f t="shared" si="3"/>
        <v>0</v>
      </c>
      <c r="K19" s="677">
        <v>0</v>
      </c>
      <c r="L19" s="1125">
        <f t="shared" si="4"/>
        <v>0</v>
      </c>
      <c r="O19" s="1032"/>
      <c r="P19" s="1032"/>
      <c r="Q19" s="1066"/>
      <c r="R19" s="459"/>
      <c r="S19" s="459"/>
      <c r="T19" s="459"/>
      <c r="V19" s="2"/>
      <c r="W19" s="1022"/>
    </row>
    <row r="20" spans="1:23" s="141" customFormat="1" ht="10.5" customHeight="1" x14ac:dyDescent="0.2">
      <c r="A20" s="141" t="s">
        <v>2735</v>
      </c>
      <c r="B20" s="141" t="s">
        <v>2736</v>
      </c>
      <c r="C20" s="134">
        <v>0</v>
      </c>
      <c r="D20" s="1098">
        <f t="shared" si="0"/>
        <v>0</v>
      </c>
      <c r="E20" s="134">
        <v>8</v>
      </c>
      <c r="F20" s="1098">
        <f t="shared" si="1"/>
        <v>1.9851116625310174E-2</v>
      </c>
      <c r="G20" s="134">
        <v>2</v>
      </c>
      <c r="H20" s="1098">
        <f t="shared" si="2"/>
        <v>6.4724919093851136E-3</v>
      </c>
      <c r="I20" s="134">
        <v>6</v>
      </c>
      <c r="J20" s="1098">
        <f t="shared" si="3"/>
        <v>2.3529411764705882E-2</v>
      </c>
      <c r="K20" s="677">
        <v>2</v>
      </c>
      <c r="L20" s="1125">
        <f t="shared" si="4"/>
        <v>7.4074074074074077E-3</v>
      </c>
      <c r="O20" s="1032"/>
      <c r="P20" s="1032"/>
      <c r="Q20" s="1066"/>
      <c r="R20" s="459"/>
      <c r="S20" s="459"/>
      <c r="T20" s="459"/>
      <c r="V20" s="2"/>
      <c r="W20" s="1022"/>
    </row>
    <row r="21" spans="1:23" s="141" customFormat="1" ht="10.5" customHeight="1" x14ac:dyDescent="0.2">
      <c r="A21" s="141" t="s">
        <v>2735</v>
      </c>
      <c r="B21" s="141" t="s">
        <v>2742</v>
      </c>
      <c r="C21" s="134">
        <v>38</v>
      </c>
      <c r="D21" s="1098">
        <f t="shared" si="0"/>
        <v>0.12666666666666668</v>
      </c>
      <c r="E21" s="134">
        <v>80</v>
      </c>
      <c r="F21" s="1098">
        <f t="shared" si="1"/>
        <v>0.19851116625310175</v>
      </c>
      <c r="G21" s="134">
        <v>94</v>
      </c>
      <c r="H21" s="1098">
        <f t="shared" si="2"/>
        <v>0.30420711974110032</v>
      </c>
      <c r="I21" s="134">
        <v>97</v>
      </c>
      <c r="J21" s="1098">
        <f t="shared" si="3"/>
        <v>0.38039215686274508</v>
      </c>
      <c r="K21" s="677">
        <v>79</v>
      </c>
      <c r="L21" s="1125">
        <f t="shared" si="4"/>
        <v>0.29259259259259257</v>
      </c>
      <c r="O21" s="1032"/>
      <c r="P21" s="1032"/>
      <c r="Q21" s="1066"/>
      <c r="R21" s="459"/>
      <c r="S21" s="459"/>
      <c r="T21" s="459"/>
      <c r="V21" s="2"/>
      <c r="W21" s="1022"/>
    </row>
    <row r="22" spans="1:23" s="141" customFormat="1" ht="10.5" customHeight="1" x14ac:dyDescent="0.2">
      <c r="A22" s="141" t="s">
        <v>2735</v>
      </c>
      <c r="B22" s="141" t="s">
        <v>2744</v>
      </c>
      <c r="C22" s="134">
        <v>0</v>
      </c>
      <c r="D22" s="1098">
        <f t="shared" si="0"/>
        <v>0</v>
      </c>
      <c r="E22" s="134">
        <v>0</v>
      </c>
      <c r="F22" s="1098">
        <f t="shared" si="1"/>
        <v>0</v>
      </c>
      <c r="G22" s="134">
        <v>2</v>
      </c>
      <c r="H22" s="1098">
        <f t="shared" si="2"/>
        <v>6.4724919093851136E-3</v>
      </c>
      <c r="I22" s="134">
        <v>3</v>
      </c>
      <c r="J22" s="1098">
        <f t="shared" si="3"/>
        <v>1.1764705882352941E-2</v>
      </c>
      <c r="K22" s="677">
        <v>6</v>
      </c>
      <c r="L22" s="1125">
        <f t="shared" si="4"/>
        <v>2.2222222222222223E-2</v>
      </c>
      <c r="O22" s="1032"/>
      <c r="P22" s="1032"/>
      <c r="Q22" s="1066"/>
      <c r="R22" s="459"/>
      <c r="S22" s="459"/>
      <c r="T22" s="459"/>
      <c r="V22" s="2"/>
      <c r="W22" s="1022"/>
    </row>
    <row r="23" spans="1:23" s="141" customFormat="1" ht="10.5" customHeight="1" x14ac:dyDescent="0.2">
      <c r="A23" s="141" t="s">
        <v>2735</v>
      </c>
      <c r="B23" s="141" t="s">
        <v>2745</v>
      </c>
      <c r="C23" s="134">
        <v>0</v>
      </c>
      <c r="D23" s="1098">
        <f t="shared" si="0"/>
        <v>0</v>
      </c>
      <c r="E23" s="134">
        <v>0</v>
      </c>
      <c r="F23" s="1098">
        <f t="shared" si="1"/>
        <v>0</v>
      </c>
      <c r="G23" s="134">
        <v>1</v>
      </c>
      <c r="H23" s="1098">
        <f t="shared" si="2"/>
        <v>3.2362459546925568E-3</v>
      </c>
      <c r="I23" s="134">
        <v>0</v>
      </c>
      <c r="J23" s="1098">
        <f t="shared" si="3"/>
        <v>0</v>
      </c>
      <c r="K23" s="677">
        <v>0</v>
      </c>
      <c r="L23" s="1125">
        <f t="shared" si="4"/>
        <v>0</v>
      </c>
      <c r="O23" s="1032"/>
      <c r="P23" s="1032"/>
      <c r="Q23" s="1066"/>
      <c r="R23" s="459"/>
      <c r="S23" s="459"/>
      <c r="T23" s="459"/>
      <c r="V23" s="2"/>
      <c r="W23" s="1022"/>
    </row>
    <row r="24" spans="1:23" s="141" customFormat="1" ht="10.5" customHeight="1" x14ac:dyDescent="0.2">
      <c r="A24" s="141" t="s">
        <v>2735</v>
      </c>
      <c r="B24" s="141" t="s">
        <v>2746</v>
      </c>
      <c r="C24" s="134">
        <v>4</v>
      </c>
      <c r="D24" s="1098">
        <f t="shared" si="0"/>
        <v>1.3333333333333334E-2</v>
      </c>
      <c r="E24" s="134">
        <v>3</v>
      </c>
      <c r="F24" s="1098">
        <f t="shared" si="1"/>
        <v>7.4441687344913151E-3</v>
      </c>
      <c r="G24" s="134">
        <v>6</v>
      </c>
      <c r="H24" s="1098">
        <f t="shared" si="2"/>
        <v>1.9417475728155338E-2</v>
      </c>
      <c r="I24" s="134">
        <v>3</v>
      </c>
      <c r="J24" s="1098">
        <f t="shared" si="3"/>
        <v>1.1764705882352941E-2</v>
      </c>
      <c r="K24" s="677">
        <v>1</v>
      </c>
      <c r="L24" s="1125">
        <f t="shared" si="4"/>
        <v>3.7037037037037038E-3</v>
      </c>
      <c r="O24" s="1032"/>
      <c r="P24" s="1032"/>
      <c r="Q24" s="1066"/>
      <c r="R24" s="459"/>
      <c r="S24" s="459"/>
      <c r="T24" s="459"/>
      <c r="V24" s="2"/>
      <c r="W24" s="1022"/>
    </row>
    <row r="25" spans="1:23" s="141" customFormat="1" ht="10.5" customHeight="1" x14ac:dyDescent="0.2">
      <c r="A25" s="141" t="s">
        <v>2735</v>
      </c>
      <c r="B25" s="141" t="s">
        <v>2747</v>
      </c>
      <c r="C25" s="134">
        <v>1</v>
      </c>
      <c r="D25" s="1098">
        <f t="shared" si="0"/>
        <v>3.3333333333333335E-3</v>
      </c>
      <c r="E25" s="134">
        <v>0</v>
      </c>
      <c r="F25" s="1098">
        <f t="shared" si="1"/>
        <v>0</v>
      </c>
      <c r="G25" s="134">
        <v>0</v>
      </c>
      <c r="H25" s="1098">
        <f t="shared" si="2"/>
        <v>0</v>
      </c>
      <c r="I25" s="134">
        <v>0</v>
      </c>
      <c r="J25" s="1098">
        <f t="shared" si="3"/>
        <v>0</v>
      </c>
      <c r="K25" s="677">
        <v>0</v>
      </c>
      <c r="L25" s="1125">
        <f t="shared" si="4"/>
        <v>0</v>
      </c>
      <c r="O25" s="1032"/>
      <c r="P25" s="1032"/>
      <c r="Q25" s="1066"/>
      <c r="R25" s="459"/>
      <c r="S25" s="459"/>
      <c r="T25" s="459"/>
      <c r="V25" s="2"/>
      <c r="W25" s="1022"/>
    </row>
    <row r="26" spans="1:23" s="141" customFormat="1" ht="10.5" customHeight="1" x14ac:dyDescent="0.2">
      <c r="A26" s="141" t="s">
        <v>2735</v>
      </c>
      <c r="B26" s="141" t="s">
        <v>2748</v>
      </c>
      <c r="C26" s="134">
        <v>2</v>
      </c>
      <c r="D26" s="1098">
        <f t="shared" si="0"/>
        <v>6.6666666666666671E-3</v>
      </c>
      <c r="E26" s="134">
        <v>0</v>
      </c>
      <c r="F26" s="1098">
        <f t="shared" si="1"/>
        <v>0</v>
      </c>
      <c r="G26" s="134">
        <v>0</v>
      </c>
      <c r="H26" s="1098">
        <f t="shared" si="2"/>
        <v>0</v>
      </c>
      <c r="I26" s="134">
        <v>0</v>
      </c>
      <c r="J26" s="1098">
        <f t="shared" si="3"/>
        <v>0</v>
      </c>
      <c r="K26" s="677">
        <v>0</v>
      </c>
      <c r="L26" s="1125">
        <f t="shared" si="4"/>
        <v>0</v>
      </c>
      <c r="R26" s="459"/>
      <c r="S26" s="459"/>
      <c r="T26" s="459"/>
      <c r="V26" s="2"/>
      <c r="W26" s="1022"/>
    </row>
    <row r="27" spans="1:23" s="141" customFormat="1" ht="10.5" customHeight="1" x14ac:dyDescent="0.2">
      <c r="A27" s="141" t="s">
        <v>2735</v>
      </c>
      <c r="B27" s="141" t="s">
        <v>2749</v>
      </c>
      <c r="C27" s="134">
        <v>0</v>
      </c>
      <c r="D27" s="1098">
        <f t="shared" si="0"/>
        <v>0</v>
      </c>
      <c r="E27" s="134">
        <v>3</v>
      </c>
      <c r="F27" s="1098">
        <f t="shared" si="1"/>
        <v>7.4441687344913151E-3</v>
      </c>
      <c r="G27" s="134">
        <v>1</v>
      </c>
      <c r="H27" s="1098">
        <f t="shared" si="2"/>
        <v>3.2362459546925568E-3</v>
      </c>
      <c r="I27" s="134">
        <v>13</v>
      </c>
      <c r="J27" s="1098">
        <f t="shared" si="3"/>
        <v>5.0980392156862744E-2</v>
      </c>
      <c r="K27" s="677">
        <v>6</v>
      </c>
      <c r="L27" s="1125">
        <f t="shared" si="4"/>
        <v>2.2222222222222223E-2</v>
      </c>
      <c r="R27" s="459"/>
      <c r="S27" s="459"/>
      <c r="T27" s="459"/>
      <c r="V27" s="2"/>
      <c r="W27" s="1022"/>
    </row>
    <row r="28" spans="1:23" s="141" customFormat="1" ht="10.5" customHeight="1" x14ac:dyDescent="0.2">
      <c r="A28" s="141" t="s">
        <v>2735</v>
      </c>
      <c r="B28" s="141" t="s">
        <v>2750</v>
      </c>
      <c r="C28" s="134">
        <v>1</v>
      </c>
      <c r="D28" s="1098">
        <f t="shared" si="0"/>
        <v>3.3333333333333335E-3</v>
      </c>
      <c r="E28" s="134">
        <v>0</v>
      </c>
      <c r="F28" s="1098">
        <f t="shared" si="1"/>
        <v>0</v>
      </c>
      <c r="G28" s="134">
        <v>0</v>
      </c>
      <c r="H28" s="1098">
        <f t="shared" si="2"/>
        <v>0</v>
      </c>
      <c r="I28" s="134">
        <v>0</v>
      </c>
      <c r="J28" s="1098">
        <f t="shared" si="3"/>
        <v>0</v>
      </c>
      <c r="K28" s="677">
        <v>0</v>
      </c>
      <c r="L28" s="1125">
        <f t="shared" si="4"/>
        <v>0</v>
      </c>
      <c r="R28" s="459"/>
      <c r="S28" s="459"/>
      <c r="T28" s="459"/>
      <c r="V28" s="2"/>
      <c r="W28" s="1022"/>
    </row>
    <row r="29" spans="1:23" s="141" customFormat="1" ht="10.5" customHeight="1" x14ac:dyDescent="0.2">
      <c r="A29" s="141" t="s">
        <v>2735</v>
      </c>
      <c r="B29" s="141" t="s">
        <v>2751</v>
      </c>
      <c r="C29" s="134">
        <v>0</v>
      </c>
      <c r="D29" s="1098">
        <f t="shared" si="0"/>
        <v>0</v>
      </c>
      <c r="E29" s="134">
        <v>0</v>
      </c>
      <c r="F29" s="1098">
        <f t="shared" si="1"/>
        <v>0</v>
      </c>
      <c r="G29" s="134">
        <v>1</v>
      </c>
      <c r="H29" s="1098">
        <f t="shared" si="2"/>
        <v>3.2362459546925568E-3</v>
      </c>
      <c r="I29" s="134">
        <v>0</v>
      </c>
      <c r="J29" s="1098">
        <f t="shared" si="3"/>
        <v>0</v>
      </c>
      <c r="K29" s="131">
        <v>0</v>
      </c>
      <c r="L29" s="1125">
        <f t="shared" si="4"/>
        <v>0</v>
      </c>
      <c r="R29" s="459"/>
      <c r="S29" s="459"/>
      <c r="T29" s="459"/>
      <c r="W29" s="904"/>
    </row>
    <row r="30" spans="1:23" s="141" customFormat="1" ht="10.5" customHeight="1" x14ac:dyDescent="0.2">
      <c r="A30" s="141" t="s">
        <v>2736</v>
      </c>
      <c r="B30" s="141" t="s">
        <v>2735</v>
      </c>
      <c r="C30" s="134">
        <v>23</v>
      </c>
      <c r="D30" s="1098">
        <f t="shared" si="0"/>
        <v>7.6666666666666661E-2</v>
      </c>
      <c r="E30" s="134">
        <v>16</v>
      </c>
      <c r="F30" s="1098">
        <f t="shared" si="1"/>
        <v>3.9702233250620347E-2</v>
      </c>
      <c r="G30" s="134">
        <v>17</v>
      </c>
      <c r="H30" s="1098">
        <f t="shared" si="2"/>
        <v>5.5016181229773461E-2</v>
      </c>
      <c r="I30" s="134">
        <v>21</v>
      </c>
      <c r="J30" s="1098">
        <f t="shared" si="3"/>
        <v>8.2352941176470587E-2</v>
      </c>
      <c r="K30" s="677">
        <v>23</v>
      </c>
      <c r="L30" s="1125">
        <f t="shared" si="4"/>
        <v>8.5185185185185183E-2</v>
      </c>
      <c r="R30" s="459"/>
      <c r="S30" s="459"/>
      <c r="T30" s="459"/>
      <c r="V30" s="2"/>
      <c r="W30" s="1022"/>
    </row>
    <row r="31" spans="1:23" s="141" customFormat="1" ht="10.5" customHeight="1" x14ac:dyDescent="0.2">
      <c r="A31" s="141" t="s">
        <v>2736</v>
      </c>
      <c r="B31" s="141" t="s">
        <v>2742</v>
      </c>
      <c r="C31" s="134">
        <v>0</v>
      </c>
      <c r="D31" s="1098">
        <f t="shared" si="0"/>
        <v>0</v>
      </c>
      <c r="E31" s="134">
        <v>0</v>
      </c>
      <c r="F31" s="1098">
        <f t="shared" si="1"/>
        <v>0</v>
      </c>
      <c r="G31" s="134">
        <v>0</v>
      </c>
      <c r="H31" s="1098">
        <f t="shared" si="2"/>
        <v>0</v>
      </c>
      <c r="I31" s="134">
        <v>0</v>
      </c>
      <c r="J31" s="1098">
        <f t="shared" si="3"/>
        <v>0</v>
      </c>
      <c r="K31" s="677">
        <v>1</v>
      </c>
      <c r="L31" s="1125">
        <f t="shared" si="4"/>
        <v>3.7037037037037038E-3</v>
      </c>
      <c r="R31" s="459"/>
      <c r="S31" s="459"/>
      <c r="T31" s="459"/>
      <c r="V31" s="2"/>
      <c r="W31" s="1022"/>
    </row>
    <row r="32" spans="1:23" s="141" customFormat="1" ht="10.5" customHeight="1" x14ac:dyDescent="0.2">
      <c r="A32" s="141" t="s">
        <v>2752</v>
      </c>
      <c r="B32" s="141" t="s">
        <v>2735</v>
      </c>
      <c r="C32" s="134">
        <v>1</v>
      </c>
      <c r="D32" s="1098">
        <f t="shared" si="0"/>
        <v>3.3333333333333335E-3</v>
      </c>
      <c r="E32" s="134">
        <v>4</v>
      </c>
      <c r="F32" s="1098">
        <f t="shared" si="1"/>
        <v>9.9255583126550868E-3</v>
      </c>
      <c r="G32" s="134">
        <v>4</v>
      </c>
      <c r="H32" s="1098">
        <f t="shared" si="2"/>
        <v>1.2944983818770227E-2</v>
      </c>
      <c r="I32" s="134">
        <v>1</v>
      </c>
      <c r="J32" s="1098">
        <f t="shared" si="3"/>
        <v>3.9215686274509803E-3</v>
      </c>
      <c r="K32" s="677">
        <v>2</v>
      </c>
      <c r="L32" s="1125">
        <f t="shared" si="4"/>
        <v>7.4074074074074077E-3</v>
      </c>
      <c r="R32" s="459"/>
      <c r="S32" s="459"/>
      <c r="T32" s="459"/>
      <c r="V32" s="2"/>
      <c r="W32" s="1022"/>
    </row>
    <row r="33" spans="1:23" s="141" customFormat="1" ht="10.5" customHeight="1" x14ac:dyDescent="0.2">
      <c r="A33" s="141" t="s">
        <v>2753</v>
      </c>
      <c r="B33" s="141" t="s">
        <v>2735</v>
      </c>
      <c r="C33" s="134">
        <v>0</v>
      </c>
      <c r="D33" s="1098">
        <f t="shared" si="0"/>
        <v>0</v>
      </c>
      <c r="E33" s="134">
        <v>0</v>
      </c>
      <c r="F33" s="1098">
        <f t="shared" si="1"/>
        <v>0</v>
      </c>
      <c r="G33" s="134">
        <v>0</v>
      </c>
      <c r="H33" s="1098">
        <f t="shared" si="2"/>
        <v>0</v>
      </c>
      <c r="I33" s="134">
        <v>0</v>
      </c>
      <c r="J33" s="1098">
        <f t="shared" si="3"/>
        <v>0</v>
      </c>
      <c r="K33" s="677">
        <v>1</v>
      </c>
      <c r="L33" s="1125">
        <f t="shared" si="4"/>
        <v>3.7037037037037038E-3</v>
      </c>
      <c r="R33" s="459"/>
      <c r="S33" s="459"/>
      <c r="T33" s="459"/>
      <c r="V33" s="2"/>
      <c r="W33" s="1022"/>
    </row>
    <row r="34" spans="1:23" s="141" customFormat="1" ht="10.5" customHeight="1" x14ac:dyDescent="0.2">
      <c r="A34" s="141" t="s">
        <v>2754</v>
      </c>
      <c r="B34" s="141" t="s">
        <v>2735</v>
      </c>
      <c r="C34" s="134">
        <v>1</v>
      </c>
      <c r="D34" s="1098">
        <f t="shared" si="0"/>
        <v>3.3333333333333335E-3</v>
      </c>
      <c r="E34" s="134">
        <v>0</v>
      </c>
      <c r="F34" s="1098">
        <f t="shared" si="1"/>
        <v>0</v>
      </c>
      <c r="G34" s="134">
        <v>0</v>
      </c>
      <c r="H34" s="1098">
        <f t="shared" si="2"/>
        <v>0</v>
      </c>
      <c r="I34" s="134">
        <v>0</v>
      </c>
      <c r="J34" s="1098">
        <f t="shared" si="3"/>
        <v>0</v>
      </c>
      <c r="K34" s="134">
        <v>0</v>
      </c>
      <c r="L34" s="1125">
        <f t="shared" si="4"/>
        <v>0</v>
      </c>
      <c r="R34" s="459"/>
      <c r="S34" s="459"/>
      <c r="T34" s="459"/>
      <c r="V34" s="2"/>
      <c r="W34" s="1022"/>
    </row>
    <row r="35" spans="1:23" s="141" customFormat="1" ht="10.5" customHeight="1" x14ac:dyDescent="0.2">
      <c r="A35" s="141" t="s">
        <v>2742</v>
      </c>
      <c r="B35" s="141" t="s">
        <v>2730</v>
      </c>
      <c r="C35" s="134">
        <v>0</v>
      </c>
      <c r="D35" s="1098">
        <f t="shared" si="0"/>
        <v>0</v>
      </c>
      <c r="E35" s="134">
        <v>0</v>
      </c>
      <c r="F35" s="1098">
        <f t="shared" si="1"/>
        <v>0</v>
      </c>
      <c r="G35" s="134">
        <v>0</v>
      </c>
      <c r="H35" s="1098">
        <f t="shared" si="2"/>
        <v>0</v>
      </c>
      <c r="I35" s="134">
        <v>1</v>
      </c>
      <c r="J35" s="1098">
        <f t="shared" si="3"/>
        <v>3.9215686274509803E-3</v>
      </c>
      <c r="K35" s="131">
        <v>0</v>
      </c>
      <c r="L35" s="1125">
        <f t="shared" si="4"/>
        <v>0</v>
      </c>
      <c r="R35" s="459"/>
      <c r="S35" s="459"/>
      <c r="T35" s="459"/>
      <c r="W35" s="904"/>
    </row>
    <row r="36" spans="1:23" s="141" customFormat="1" ht="10.5" customHeight="1" x14ac:dyDescent="0.2">
      <c r="A36" s="141" t="s">
        <v>2742</v>
      </c>
      <c r="B36" s="141" t="s">
        <v>2735</v>
      </c>
      <c r="C36" s="134">
        <v>157</v>
      </c>
      <c r="D36" s="1098">
        <f t="shared" si="0"/>
        <v>0.52333333333333332</v>
      </c>
      <c r="E36" s="134">
        <v>234</v>
      </c>
      <c r="F36" s="1098">
        <f t="shared" si="1"/>
        <v>0.58064516129032262</v>
      </c>
      <c r="G36" s="134">
        <v>106</v>
      </c>
      <c r="H36" s="1098">
        <f t="shared" si="2"/>
        <v>0.34304207119741098</v>
      </c>
      <c r="I36" s="134">
        <v>67</v>
      </c>
      <c r="J36" s="1098">
        <f t="shared" si="3"/>
        <v>0.2627450980392157</v>
      </c>
      <c r="K36" s="677">
        <v>96</v>
      </c>
      <c r="L36" s="1125">
        <f t="shared" si="4"/>
        <v>0.35555555555555557</v>
      </c>
      <c r="R36" s="459"/>
      <c r="S36" s="459"/>
      <c r="T36" s="459"/>
      <c r="V36" s="2"/>
      <c r="W36" s="1022"/>
    </row>
    <row r="37" spans="1:23" s="141" customFormat="1" ht="10.5" customHeight="1" x14ac:dyDescent="0.2">
      <c r="A37" s="141" t="s">
        <v>2742</v>
      </c>
      <c r="B37" s="141" t="s">
        <v>2755</v>
      </c>
      <c r="C37" s="134">
        <v>0</v>
      </c>
      <c r="D37" s="1098">
        <f t="shared" si="0"/>
        <v>0</v>
      </c>
      <c r="E37" s="134">
        <v>1</v>
      </c>
      <c r="F37" s="1098">
        <f t="shared" si="1"/>
        <v>2.4813895781637717E-3</v>
      </c>
      <c r="G37" s="134">
        <v>0</v>
      </c>
      <c r="H37" s="1098">
        <f t="shared" si="2"/>
        <v>0</v>
      </c>
      <c r="I37" s="134">
        <v>0</v>
      </c>
      <c r="J37" s="1098">
        <f t="shared" si="3"/>
        <v>0</v>
      </c>
      <c r="K37" s="677">
        <v>0</v>
      </c>
      <c r="L37" s="1125">
        <f t="shared" si="4"/>
        <v>0</v>
      </c>
      <c r="R37" s="459"/>
      <c r="S37" s="459"/>
      <c r="T37" s="459"/>
      <c r="V37" s="2"/>
      <c r="W37" s="1022"/>
    </row>
    <row r="38" spans="1:23" s="141" customFormat="1" ht="10.5" customHeight="1" x14ac:dyDescent="0.2">
      <c r="A38" s="141" t="s">
        <v>2742</v>
      </c>
      <c r="B38" s="141" t="s">
        <v>2736</v>
      </c>
      <c r="C38" s="134">
        <v>1</v>
      </c>
      <c r="D38" s="1098">
        <f t="shared" si="0"/>
        <v>3.3333333333333335E-3</v>
      </c>
      <c r="E38" s="134">
        <v>1</v>
      </c>
      <c r="F38" s="1098">
        <f t="shared" si="1"/>
        <v>2.4813895781637717E-3</v>
      </c>
      <c r="G38" s="134">
        <v>1</v>
      </c>
      <c r="H38" s="1098">
        <f t="shared" si="2"/>
        <v>3.2362459546925568E-3</v>
      </c>
      <c r="I38" s="134">
        <v>0</v>
      </c>
      <c r="J38" s="1098">
        <f t="shared" si="3"/>
        <v>0</v>
      </c>
      <c r="K38" s="677">
        <v>0</v>
      </c>
      <c r="L38" s="1125">
        <f t="shared" si="4"/>
        <v>0</v>
      </c>
      <c r="R38" s="459"/>
      <c r="S38" s="459"/>
      <c r="T38" s="459"/>
      <c r="V38" s="2"/>
      <c r="W38" s="1022"/>
    </row>
    <row r="39" spans="1:23" s="141" customFormat="1" ht="10.5" customHeight="1" x14ac:dyDescent="0.2">
      <c r="A39" s="141" t="s">
        <v>2742</v>
      </c>
      <c r="B39" s="141" t="s">
        <v>2756</v>
      </c>
      <c r="C39" s="134">
        <v>2</v>
      </c>
      <c r="D39" s="1098">
        <f t="shared" si="0"/>
        <v>6.6666666666666671E-3</v>
      </c>
      <c r="E39" s="134">
        <v>0</v>
      </c>
      <c r="F39" s="1098">
        <f t="shared" si="1"/>
        <v>0</v>
      </c>
      <c r="G39" s="134">
        <v>0</v>
      </c>
      <c r="H39" s="1098">
        <f t="shared" si="2"/>
        <v>0</v>
      </c>
      <c r="I39" s="134">
        <v>0</v>
      </c>
      <c r="J39" s="1098">
        <f t="shared" si="3"/>
        <v>0</v>
      </c>
      <c r="K39" s="677">
        <v>0</v>
      </c>
      <c r="L39" s="1125">
        <f t="shared" si="4"/>
        <v>0</v>
      </c>
      <c r="R39" s="459"/>
      <c r="S39" s="459"/>
      <c r="T39" s="459"/>
      <c r="V39" s="2"/>
      <c r="W39" s="1022"/>
    </row>
    <row r="40" spans="1:23" s="141" customFormat="1" ht="10.5" customHeight="1" x14ac:dyDescent="0.2">
      <c r="A40" s="141" t="s">
        <v>2744</v>
      </c>
      <c r="B40" s="141" t="s">
        <v>2735</v>
      </c>
      <c r="C40" s="134">
        <v>7</v>
      </c>
      <c r="D40" s="1098">
        <f t="shared" si="0"/>
        <v>2.3333333333333334E-2</v>
      </c>
      <c r="E40" s="134">
        <v>10</v>
      </c>
      <c r="F40" s="1098">
        <f t="shared" si="1"/>
        <v>2.4813895781637719E-2</v>
      </c>
      <c r="G40" s="134">
        <v>3</v>
      </c>
      <c r="H40" s="1098">
        <f t="shared" si="2"/>
        <v>9.7087378640776691E-3</v>
      </c>
      <c r="I40" s="134">
        <v>8</v>
      </c>
      <c r="J40" s="1098">
        <f t="shared" si="3"/>
        <v>3.1372549019607843E-2</v>
      </c>
      <c r="K40" s="677">
        <v>8</v>
      </c>
      <c r="L40" s="1125">
        <f t="shared" si="4"/>
        <v>2.9629629629629631E-2</v>
      </c>
      <c r="R40" s="459"/>
      <c r="S40" s="459"/>
      <c r="T40" s="459"/>
      <c r="V40" s="2"/>
      <c r="W40" s="1022"/>
    </row>
    <row r="41" spans="1:23" s="141" customFormat="1" ht="10.5" customHeight="1" x14ac:dyDescent="0.2">
      <c r="A41" s="141" t="s">
        <v>2744</v>
      </c>
      <c r="B41" s="141" t="s">
        <v>2742</v>
      </c>
      <c r="C41" s="134">
        <v>0</v>
      </c>
      <c r="D41" s="1098">
        <f t="shared" si="0"/>
        <v>0</v>
      </c>
      <c r="E41" s="134">
        <v>0</v>
      </c>
      <c r="F41" s="1098">
        <f t="shared" si="1"/>
        <v>0</v>
      </c>
      <c r="G41" s="134">
        <v>0</v>
      </c>
      <c r="H41" s="1098">
        <f t="shared" si="2"/>
        <v>0</v>
      </c>
      <c r="I41" s="134">
        <v>0</v>
      </c>
      <c r="J41" s="1098">
        <f t="shared" si="3"/>
        <v>0</v>
      </c>
      <c r="K41" s="677">
        <v>2</v>
      </c>
      <c r="L41" s="1125">
        <f t="shared" si="4"/>
        <v>7.4074074074074077E-3</v>
      </c>
      <c r="R41" s="459"/>
      <c r="S41" s="459"/>
      <c r="T41" s="459"/>
      <c r="V41" s="2"/>
      <c r="W41" s="1022"/>
    </row>
    <row r="42" spans="1:23" s="141" customFormat="1" ht="10.5" customHeight="1" x14ac:dyDescent="0.2">
      <c r="A42" s="141" t="s">
        <v>2745</v>
      </c>
      <c r="B42" s="141" t="s">
        <v>2735</v>
      </c>
      <c r="C42" s="134">
        <v>0</v>
      </c>
      <c r="D42" s="1098">
        <f t="shared" si="0"/>
        <v>0</v>
      </c>
      <c r="E42" s="134">
        <v>1</v>
      </c>
      <c r="F42" s="1098">
        <f t="shared" si="1"/>
        <v>2.4813895781637717E-3</v>
      </c>
      <c r="G42" s="134">
        <v>0</v>
      </c>
      <c r="H42" s="1098">
        <f t="shared" si="2"/>
        <v>0</v>
      </c>
      <c r="I42" s="134">
        <v>0</v>
      </c>
      <c r="J42" s="1098">
        <f t="shared" si="3"/>
        <v>0</v>
      </c>
      <c r="K42" s="677">
        <v>0</v>
      </c>
      <c r="L42" s="1125">
        <f t="shared" si="4"/>
        <v>0</v>
      </c>
      <c r="R42" s="459"/>
      <c r="S42" s="459"/>
      <c r="T42" s="459"/>
      <c r="V42" s="2"/>
      <c r="W42" s="1022"/>
    </row>
    <row r="43" spans="1:23" s="141" customFormat="1" ht="10.5" customHeight="1" x14ac:dyDescent="0.2">
      <c r="A43" s="141" t="s">
        <v>2757</v>
      </c>
      <c r="B43" s="141" t="s">
        <v>2735</v>
      </c>
      <c r="C43" s="134">
        <v>2</v>
      </c>
      <c r="D43" s="1098">
        <f t="shared" si="0"/>
        <v>6.6666666666666671E-3</v>
      </c>
      <c r="E43" s="134">
        <v>5</v>
      </c>
      <c r="F43" s="1098">
        <f t="shared" si="1"/>
        <v>1.2406947890818859E-2</v>
      </c>
      <c r="G43" s="134">
        <v>1</v>
      </c>
      <c r="H43" s="1098">
        <f t="shared" si="2"/>
        <v>3.2362459546925568E-3</v>
      </c>
      <c r="I43" s="134">
        <v>0</v>
      </c>
      <c r="J43" s="1098">
        <f t="shared" si="3"/>
        <v>0</v>
      </c>
      <c r="K43" s="677">
        <v>0</v>
      </c>
      <c r="L43" s="1125">
        <f t="shared" si="4"/>
        <v>0</v>
      </c>
      <c r="R43" s="459"/>
      <c r="S43" s="459"/>
      <c r="T43" s="459"/>
      <c r="V43" s="2"/>
      <c r="W43" s="1022"/>
    </row>
    <row r="44" spans="1:23" s="141" customFormat="1" ht="10.5" customHeight="1" x14ac:dyDescent="0.2">
      <c r="A44" s="141" t="s">
        <v>2746</v>
      </c>
      <c r="B44" s="141" t="s">
        <v>2735</v>
      </c>
      <c r="C44" s="134">
        <v>0</v>
      </c>
      <c r="D44" s="1098">
        <f t="shared" si="0"/>
        <v>0</v>
      </c>
      <c r="E44" s="134">
        <v>4</v>
      </c>
      <c r="F44" s="1098">
        <f t="shared" si="1"/>
        <v>9.9255583126550868E-3</v>
      </c>
      <c r="G44" s="134">
        <v>0</v>
      </c>
      <c r="H44" s="1098">
        <f t="shared" si="2"/>
        <v>0</v>
      </c>
      <c r="I44" s="134">
        <v>0</v>
      </c>
      <c r="J44" s="1098">
        <f t="shared" si="3"/>
        <v>0</v>
      </c>
      <c r="K44" s="677">
        <v>0</v>
      </c>
      <c r="L44" s="1125">
        <f t="shared" si="4"/>
        <v>0</v>
      </c>
      <c r="R44" s="459"/>
      <c r="S44" s="459"/>
      <c r="T44" s="459"/>
      <c r="V44" s="2"/>
      <c r="W44" s="1022"/>
    </row>
    <row r="45" spans="1:23" s="141" customFormat="1" ht="10.5" customHeight="1" x14ac:dyDescent="0.2">
      <c r="A45" s="141" t="s">
        <v>2758</v>
      </c>
      <c r="B45" s="141" t="s">
        <v>2735</v>
      </c>
      <c r="C45" s="134">
        <v>1</v>
      </c>
      <c r="D45" s="1098">
        <f t="shared" si="0"/>
        <v>3.3333333333333335E-3</v>
      </c>
      <c r="E45" s="134">
        <v>0</v>
      </c>
      <c r="F45" s="1098">
        <f t="shared" si="1"/>
        <v>0</v>
      </c>
      <c r="G45" s="134">
        <v>0</v>
      </c>
      <c r="H45" s="1098">
        <f t="shared" si="2"/>
        <v>0</v>
      </c>
      <c r="I45" s="134">
        <v>0</v>
      </c>
      <c r="J45" s="1098">
        <f t="shared" si="3"/>
        <v>0</v>
      </c>
      <c r="K45" s="677">
        <v>0</v>
      </c>
      <c r="L45" s="1125">
        <f t="shared" si="4"/>
        <v>0</v>
      </c>
      <c r="R45" s="459"/>
      <c r="S45" s="459"/>
      <c r="T45" s="459"/>
      <c r="V45" s="2"/>
      <c r="W45" s="1022"/>
    </row>
    <row r="46" spans="1:23" s="141" customFormat="1" ht="10.5" customHeight="1" x14ac:dyDescent="0.2">
      <c r="A46" s="141" t="s">
        <v>2748</v>
      </c>
      <c r="B46" s="141" t="s">
        <v>2735</v>
      </c>
      <c r="C46" s="134">
        <v>0</v>
      </c>
      <c r="D46" s="1098">
        <f t="shared" si="0"/>
        <v>0</v>
      </c>
      <c r="E46" s="134">
        <v>0</v>
      </c>
      <c r="F46" s="1098">
        <f t="shared" si="1"/>
        <v>0</v>
      </c>
      <c r="G46" s="134">
        <v>0</v>
      </c>
      <c r="H46" s="1098">
        <f t="shared" si="2"/>
        <v>0</v>
      </c>
      <c r="I46" s="134">
        <v>1</v>
      </c>
      <c r="J46" s="1098">
        <f t="shared" si="3"/>
        <v>3.9215686274509803E-3</v>
      </c>
      <c r="K46" s="677">
        <v>0</v>
      </c>
      <c r="L46" s="1125">
        <f t="shared" si="4"/>
        <v>0</v>
      </c>
      <c r="R46" s="459"/>
      <c r="S46" s="459"/>
      <c r="T46" s="459"/>
      <c r="W46" s="904"/>
    </row>
    <row r="47" spans="1:23" s="141" customFormat="1" ht="10.5" customHeight="1" x14ac:dyDescent="0.2">
      <c r="A47" s="141" t="s">
        <v>2749</v>
      </c>
      <c r="B47" s="141" t="s">
        <v>2735</v>
      </c>
      <c r="C47" s="134">
        <v>32</v>
      </c>
      <c r="D47" s="1098">
        <f t="shared" si="0"/>
        <v>0.10666666666666667</v>
      </c>
      <c r="E47" s="134">
        <v>7</v>
      </c>
      <c r="F47" s="1098">
        <f t="shared" si="1"/>
        <v>1.7369727047146403E-2</v>
      </c>
      <c r="G47" s="134">
        <v>2</v>
      </c>
      <c r="H47" s="1098">
        <f t="shared" si="2"/>
        <v>6.4724919093851136E-3</v>
      </c>
      <c r="I47" s="134">
        <v>8</v>
      </c>
      <c r="J47" s="1098">
        <f t="shared" si="3"/>
        <v>3.1372549019607843E-2</v>
      </c>
      <c r="K47" s="677">
        <v>8</v>
      </c>
      <c r="L47" s="1125">
        <f t="shared" si="4"/>
        <v>2.9629629629629631E-2</v>
      </c>
      <c r="R47" s="459"/>
      <c r="S47" s="459"/>
      <c r="T47" s="459"/>
      <c r="V47" s="2"/>
      <c r="W47" s="1022"/>
    </row>
    <row r="48" spans="1:23" s="141" customFormat="1" ht="10.5" customHeight="1" x14ac:dyDescent="0.2">
      <c r="A48" s="141" t="s">
        <v>2750</v>
      </c>
      <c r="B48" s="141" t="s">
        <v>2735</v>
      </c>
      <c r="C48" s="134">
        <v>1</v>
      </c>
      <c r="D48" s="1098">
        <f t="shared" si="0"/>
        <v>3.3333333333333335E-3</v>
      </c>
      <c r="E48" s="134">
        <v>0</v>
      </c>
      <c r="F48" s="1098">
        <f t="shared" si="1"/>
        <v>0</v>
      </c>
      <c r="G48" s="134">
        <v>0</v>
      </c>
      <c r="H48" s="1098">
        <f t="shared" si="2"/>
        <v>0</v>
      </c>
      <c r="I48" s="134">
        <v>0</v>
      </c>
      <c r="J48" s="1098">
        <f t="shared" si="3"/>
        <v>0</v>
      </c>
      <c r="K48" s="134">
        <v>0</v>
      </c>
      <c r="L48" s="1125">
        <f t="shared" si="4"/>
        <v>0</v>
      </c>
      <c r="R48" s="459"/>
      <c r="S48" s="459"/>
      <c r="T48" s="459"/>
      <c r="V48" s="2"/>
      <c r="W48" s="1022"/>
    </row>
    <row r="49" spans="1:23" s="141" customFormat="1" ht="10.5" customHeight="1" x14ac:dyDescent="0.2">
      <c r="A49" s="141" t="s">
        <v>2759</v>
      </c>
      <c r="B49" s="141" t="s">
        <v>2735</v>
      </c>
      <c r="C49" s="134">
        <v>2</v>
      </c>
      <c r="D49" s="1098">
        <f t="shared" si="0"/>
        <v>6.6666666666666671E-3</v>
      </c>
      <c r="E49" s="134">
        <v>2</v>
      </c>
      <c r="F49" s="1098">
        <f t="shared" si="1"/>
        <v>4.9627791563275434E-3</v>
      </c>
      <c r="G49" s="134">
        <v>1</v>
      </c>
      <c r="H49" s="1098">
        <f t="shared" si="2"/>
        <v>3.2362459546925568E-3</v>
      </c>
      <c r="I49" s="134">
        <v>0</v>
      </c>
      <c r="J49" s="1098">
        <f t="shared" si="3"/>
        <v>0</v>
      </c>
      <c r="K49" s="677">
        <v>6</v>
      </c>
      <c r="L49" s="1125">
        <f t="shared" si="4"/>
        <v>2.2222222222222223E-2</v>
      </c>
      <c r="M49" s="1007"/>
      <c r="R49" s="459"/>
      <c r="S49" s="459"/>
      <c r="T49" s="459"/>
      <c r="V49" s="2"/>
      <c r="W49" s="1022"/>
    </row>
    <row r="50" spans="1:23" s="141" customFormat="1" ht="10.5" customHeight="1" x14ac:dyDescent="0.2">
      <c r="A50" s="141" t="s">
        <v>2751</v>
      </c>
      <c r="B50" s="141" t="s">
        <v>2735</v>
      </c>
      <c r="C50" s="134">
        <v>0</v>
      </c>
      <c r="D50" s="1098">
        <f t="shared" si="0"/>
        <v>0</v>
      </c>
      <c r="E50" s="134">
        <v>0</v>
      </c>
      <c r="F50" s="1098">
        <f t="shared" si="1"/>
        <v>0</v>
      </c>
      <c r="G50" s="134">
        <v>1</v>
      </c>
      <c r="H50" s="1098">
        <f t="shared" si="2"/>
        <v>3.2362459546925568E-3</v>
      </c>
      <c r="I50" s="134">
        <v>2</v>
      </c>
      <c r="J50" s="1098">
        <f t="shared" si="3"/>
        <v>7.8431372549019607E-3</v>
      </c>
      <c r="K50" s="677">
        <v>0</v>
      </c>
      <c r="L50" s="1125">
        <f t="shared" si="4"/>
        <v>0</v>
      </c>
      <c r="M50" s="1007"/>
      <c r="R50" s="459"/>
      <c r="S50" s="459"/>
      <c r="T50" s="459"/>
      <c r="V50" s="2"/>
      <c r="W50" s="1022"/>
    </row>
    <row r="51" spans="1:23" s="141" customFormat="1" ht="10.5" customHeight="1" x14ac:dyDescent="0.2">
      <c r="A51" s="141" t="s">
        <v>2760</v>
      </c>
      <c r="B51" s="141" t="s">
        <v>2735</v>
      </c>
      <c r="C51" s="134">
        <v>1</v>
      </c>
      <c r="D51" s="1098">
        <f t="shared" si="0"/>
        <v>3.3333333333333335E-3</v>
      </c>
      <c r="E51" s="134">
        <v>0</v>
      </c>
      <c r="F51" s="1098">
        <f t="shared" si="1"/>
        <v>0</v>
      </c>
      <c r="G51" s="134">
        <v>0</v>
      </c>
      <c r="H51" s="1098">
        <f t="shared" si="2"/>
        <v>0</v>
      </c>
      <c r="I51" s="134">
        <v>0</v>
      </c>
      <c r="J51" s="1098">
        <f t="shared" si="3"/>
        <v>0</v>
      </c>
      <c r="K51" s="677">
        <v>0</v>
      </c>
      <c r="L51" s="1125">
        <f t="shared" si="4"/>
        <v>0</v>
      </c>
      <c r="M51" s="1007"/>
      <c r="R51" s="459"/>
      <c r="S51" s="459"/>
      <c r="T51" s="459"/>
      <c r="V51" s="2"/>
      <c r="W51" s="1022"/>
    </row>
    <row r="52" spans="1:23" s="141" customFormat="1" ht="10.5" customHeight="1" x14ac:dyDescent="0.2">
      <c r="B52" s="134"/>
      <c r="C52" s="134"/>
      <c r="D52" s="134"/>
      <c r="E52" s="134"/>
      <c r="F52" s="134"/>
      <c r="G52" s="677"/>
      <c r="H52" s="677"/>
      <c r="I52" s="309"/>
      <c r="J52" s="309"/>
      <c r="K52" s="1007"/>
      <c r="P52" s="459"/>
      <c r="Q52" s="459"/>
      <c r="R52" s="459"/>
      <c r="T52" s="2"/>
      <c r="U52" s="1022"/>
    </row>
    <row r="53" spans="1:23" s="714" customFormat="1" ht="11.25" customHeight="1" x14ac:dyDescent="0.2">
      <c r="A53" s="296" t="s">
        <v>19</v>
      </c>
      <c r="B53" s="296"/>
      <c r="C53" s="296"/>
      <c r="D53" s="296"/>
      <c r="E53" s="296"/>
      <c r="F53" s="296"/>
      <c r="G53" s="296"/>
      <c r="H53" s="296"/>
      <c r="I53" s="296"/>
      <c r="J53" s="296"/>
      <c r="K53" s="296"/>
      <c r="L53" s="296"/>
      <c r="M53" s="296"/>
      <c r="N53" s="296"/>
      <c r="O53" s="296"/>
      <c r="P53" s="296"/>
    </row>
    <row r="54" spans="1:23" s="141" customFormat="1" ht="10.199999999999999" x14ac:dyDescent="0.2">
      <c r="A54" s="2" t="s">
        <v>2681</v>
      </c>
      <c r="B54" s="2"/>
      <c r="C54" s="2"/>
      <c r="D54" s="903"/>
      <c r="E54" s="904"/>
      <c r="F54" s="904"/>
      <c r="G54" s="1072"/>
      <c r="H54" s="1072"/>
      <c r="I54" s="904"/>
      <c r="J54" s="904"/>
      <c r="K54" s="1065"/>
    </row>
  </sheetData>
  <mergeCells count="9">
    <mergeCell ref="A53:P53"/>
    <mergeCell ref="A2:L2"/>
    <mergeCell ref="A4:A5"/>
    <mergeCell ref="B4:B5"/>
    <mergeCell ref="C4:D4"/>
    <mergeCell ref="E4:F4"/>
    <mergeCell ref="G4:H4"/>
    <mergeCell ref="I4:J4"/>
    <mergeCell ref="K4:L4"/>
  </mergeCells>
  <pageMargins left="0.7" right="0.7" top="0.75" bottom="0.75" header="0.3" footer="0.3"/>
  <pageSetup paperSize="14" scale="82" orientation="landscape" r:id="rId1"/>
  <colBreaks count="1" manualBreakCount="1">
    <brk id="12" max="53" man="1"/>
  </colBreaks>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1F426D-CB51-40EA-99E1-709D3579E0B2}">
  <sheetPr codeName="Hoja219"/>
  <dimension ref="A2:T27"/>
  <sheetViews>
    <sheetView workbookViewId="0">
      <selection activeCell="A53" sqref="A53"/>
    </sheetView>
  </sheetViews>
  <sheetFormatPr baseColWidth="10" defaultRowHeight="13.2" x14ac:dyDescent="0.25"/>
  <cols>
    <col min="1" max="1" width="17.33203125" customWidth="1"/>
    <col min="2" max="2" width="6.109375" bestFit="1" customWidth="1"/>
    <col min="3" max="3" width="6.44140625" bestFit="1" customWidth="1"/>
    <col min="4" max="4" width="6.109375" bestFit="1" customWidth="1"/>
    <col min="5" max="5" width="6.44140625" bestFit="1" customWidth="1"/>
    <col min="6" max="6" width="6.109375" bestFit="1" customWidth="1"/>
    <col min="7" max="7" width="6.44140625" bestFit="1" customWidth="1"/>
    <col min="8" max="8" width="6.109375" bestFit="1" customWidth="1"/>
    <col min="9" max="9" width="6.44140625" bestFit="1" customWidth="1"/>
    <col min="10" max="10" width="6.109375" bestFit="1" customWidth="1"/>
    <col min="11" max="11" width="6.44140625" bestFit="1" customWidth="1"/>
  </cols>
  <sheetData>
    <row r="2" spans="1:20" ht="24.75" customHeight="1" x14ac:dyDescent="0.25">
      <c r="A2" s="747" t="s">
        <v>2540</v>
      </c>
      <c r="B2" s="747"/>
      <c r="C2" s="747"/>
      <c r="D2" s="747"/>
      <c r="E2" s="747"/>
      <c r="F2" s="747"/>
      <c r="G2" s="747"/>
      <c r="H2" s="747"/>
      <c r="I2" s="747"/>
      <c r="J2" s="747"/>
      <c r="K2" s="747"/>
    </row>
    <row r="3" spans="1:20" s="141" customFormat="1" ht="10.199999999999999" x14ac:dyDescent="0.2">
      <c r="I3" s="1128"/>
      <c r="J3" s="1128"/>
      <c r="K3" s="1113"/>
    </row>
    <row r="4" spans="1:20" s="722" customFormat="1" ht="24" customHeight="1" x14ac:dyDescent="0.2">
      <c r="A4" s="621" t="s">
        <v>0</v>
      </c>
      <c r="B4" s="716">
        <v>2009</v>
      </c>
      <c r="C4" s="716"/>
      <c r="D4" s="716">
        <v>2010</v>
      </c>
      <c r="E4" s="716"/>
      <c r="F4" s="768">
        <v>2011</v>
      </c>
      <c r="G4" s="852"/>
      <c r="H4" s="768">
        <v>2012</v>
      </c>
      <c r="I4" s="769"/>
      <c r="J4" s="768">
        <v>2013</v>
      </c>
      <c r="K4" s="769"/>
      <c r="O4" s="309"/>
      <c r="Q4" s="309"/>
      <c r="R4" s="309"/>
      <c r="S4" s="309"/>
      <c r="T4" s="309"/>
    </row>
    <row r="5" spans="1:20" s="849" customFormat="1" ht="23.25" customHeight="1" x14ac:dyDescent="0.25">
      <c r="A5" s="711" t="s">
        <v>3</v>
      </c>
      <c r="B5" s="1129">
        <f t="shared" ref="B5:K5" si="0">SUM(B6:B20)</f>
        <v>106</v>
      </c>
      <c r="C5" s="1094">
        <f t="shared" si="0"/>
        <v>1</v>
      </c>
      <c r="D5" s="1129">
        <f t="shared" si="0"/>
        <v>112</v>
      </c>
      <c r="E5" s="1094">
        <f t="shared" si="0"/>
        <v>1</v>
      </c>
      <c r="F5" s="1129">
        <f t="shared" si="0"/>
        <v>108</v>
      </c>
      <c r="G5" s="1094">
        <f t="shared" si="0"/>
        <v>1</v>
      </c>
      <c r="H5" s="1129">
        <f t="shared" si="0"/>
        <v>122</v>
      </c>
      <c r="I5" s="1094">
        <f t="shared" si="0"/>
        <v>1.0000000000000002</v>
      </c>
      <c r="J5" s="1129">
        <f t="shared" si="0"/>
        <v>144</v>
      </c>
      <c r="K5" s="1094">
        <f t="shared" si="0"/>
        <v>0.99999999999999989</v>
      </c>
    </row>
    <row r="6" spans="1:20" s="717" customFormat="1" ht="10.5" customHeight="1" x14ac:dyDescent="0.25">
      <c r="A6" s="1130" t="s">
        <v>4</v>
      </c>
      <c r="B6" s="1148">
        <v>0</v>
      </c>
      <c r="C6" s="1149">
        <f t="shared" ref="C6:C20" si="1">B6/$B$5</f>
        <v>0</v>
      </c>
      <c r="D6" s="1148" t="s">
        <v>1224</v>
      </c>
      <c r="E6" s="1149">
        <v>0</v>
      </c>
      <c r="F6" s="1148">
        <v>1</v>
      </c>
      <c r="G6" s="1149">
        <v>9.2592592592592587E-3</v>
      </c>
      <c r="H6" s="1150">
        <v>2</v>
      </c>
      <c r="I6" s="1149">
        <f t="shared" ref="I6:I20" si="2">+H6/$H$5</f>
        <v>1.6393442622950821E-2</v>
      </c>
      <c r="J6" s="1151">
        <v>2</v>
      </c>
      <c r="K6" s="1149">
        <f t="shared" ref="K6:K20" si="3">+J6/$J$5</f>
        <v>1.3888888888888888E-2</v>
      </c>
    </row>
    <row r="7" spans="1:20" s="717" customFormat="1" ht="10.199999999999999" x14ac:dyDescent="0.25">
      <c r="A7" s="1130" t="s">
        <v>5</v>
      </c>
      <c r="B7" s="1148">
        <v>0</v>
      </c>
      <c r="C7" s="1149">
        <f t="shared" si="1"/>
        <v>0</v>
      </c>
      <c r="D7" s="1148">
        <v>2</v>
      </c>
      <c r="E7" s="1149">
        <v>1.7857142857142856E-2</v>
      </c>
      <c r="F7" s="1148" t="s">
        <v>1224</v>
      </c>
      <c r="G7" s="1152">
        <v>0</v>
      </c>
      <c r="H7" s="1150">
        <v>1</v>
      </c>
      <c r="I7" s="1149">
        <f t="shared" si="2"/>
        <v>8.1967213114754103E-3</v>
      </c>
      <c r="J7" s="1150">
        <v>0</v>
      </c>
      <c r="K7" s="1149">
        <f t="shared" si="3"/>
        <v>0</v>
      </c>
      <c r="M7" s="770"/>
    </row>
    <row r="8" spans="1:20" s="717" customFormat="1" ht="10.199999999999999" x14ac:dyDescent="0.25">
      <c r="A8" s="1130" t="s">
        <v>6</v>
      </c>
      <c r="B8" s="1148">
        <v>2</v>
      </c>
      <c r="C8" s="1149">
        <f t="shared" si="1"/>
        <v>1.8867924528301886E-2</v>
      </c>
      <c r="D8" s="1148">
        <v>1</v>
      </c>
      <c r="E8" s="1152">
        <v>8.9285714285714281E-3</v>
      </c>
      <c r="F8" s="1148" t="s">
        <v>1224</v>
      </c>
      <c r="G8" s="1152">
        <v>0</v>
      </c>
      <c r="H8" s="1150">
        <v>1</v>
      </c>
      <c r="I8" s="1149">
        <f t="shared" si="2"/>
        <v>8.1967213114754103E-3</v>
      </c>
      <c r="J8" s="1151">
        <v>1</v>
      </c>
      <c r="K8" s="1149">
        <f t="shared" si="3"/>
        <v>6.9444444444444441E-3</v>
      </c>
    </row>
    <row r="9" spans="1:20" s="717" customFormat="1" ht="10.199999999999999" x14ac:dyDescent="0.25">
      <c r="A9" s="1130" t="s">
        <v>7</v>
      </c>
      <c r="B9" s="1148">
        <v>1</v>
      </c>
      <c r="C9" s="1149">
        <f t="shared" si="1"/>
        <v>9.433962264150943E-3</v>
      </c>
      <c r="D9" s="1148">
        <v>1</v>
      </c>
      <c r="E9" s="1152">
        <v>8.9285714285714281E-3</v>
      </c>
      <c r="F9" s="1148">
        <v>2</v>
      </c>
      <c r="G9" s="1152">
        <v>1.8518518518518517E-2</v>
      </c>
      <c r="H9" s="1150">
        <v>1</v>
      </c>
      <c r="I9" s="1149">
        <f t="shared" si="2"/>
        <v>8.1967213114754103E-3</v>
      </c>
      <c r="J9" s="1150">
        <v>0</v>
      </c>
      <c r="K9" s="1149">
        <f t="shared" si="3"/>
        <v>0</v>
      </c>
    </row>
    <row r="10" spans="1:20" s="717" customFormat="1" ht="10.199999999999999" x14ac:dyDescent="0.25">
      <c r="A10" s="1130" t="s">
        <v>8</v>
      </c>
      <c r="B10" s="1148">
        <v>0</v>
      </c>
      <c r="C10" s="1149">
        <f t="shared" si="1"/>
        <v>0</v>
      </c>
      <c r="D10" s="1148" t="s">
        <v>1224</v>
      </c>
      <c r="E10" s="1149">
        <v>0</v>
      </c>
      <c r="F10" s="1148">
        <v>3</v>
      </c>
      <c r="G10" s="1149">
        <v>2.7777777777777776E-2</v>
      </c>
      <c r="H10" s="1150">
        <v>3</v>
      </c>
      <c r="I10" s="1149">
        <f t="shared" si="2"/>
        <v>2.4590163934426229E-2</v>
      </c>
      <c r="J10" s="1151">
        <v>4</v>
      </c>
      <c r="K10" s="1149">
        <f t="shared" si="3"/>
        <v>2.7777777777777776E-2</v>
      </c>
    </row>
    <row r="11" spans="1:20" s="717" customFormat="1" ht="10.199999999999999" x14ac:dyDescent="0.25">
      <c r="A11" s="1130" t="s">
        <v>9</v>
      </c>
      <c r="B11" s="1148">
        <v>4</v>
      </c>
      <c r="C11" s="1149">
        <f t="shared" si="1"/>
        <v>3.7735849056603772E-2</v>
      </c>
      <c r="D11" s="1148">
        <v>5</v>
      </c>
      <c r="E11" s="1152">
        <v>4.4642857142857144E-2</v>
      </c>
      <c r="F11" s="1148">
        <v>5</v>
      </c>
      <c r="G11" s="1152">
        <v>4.6296296296296294E-2</v>
      </c>
      <c r="H11" s="1150">
        <v>7</v>
      </c>
      <c r="I11" s="1149">
        <f t="shared" si="2"/>
        <v>5.737704918032787E-2</v>
      </c>
      <c r="J11" s="1151">
        <v>8</v>
      </c>
      <c r="K11" s="1149">
        <f t="shared" si="3"/>
        <v>5.5555555555555552E-2</v>
      </c>
    </row>
    <row r="12" spans="1:20" s="717" customFormat="1" ht="10.199999999999999" x14ac:dyDescent="0.25">
      <c r="A12" s="1130" t="s">
        <v>10</v>
      </c>
      <c r="B12" s="1148">
        <v>89</v>
      </c>
      <c r="C12" s="1149">
        <f t="shared" si="1"/>
        <v>0.839622641509434</v>
      </c>
      <c r="D12" s="1148">
        <v>85</v>
      </c>
      <c r="E12" s="1152">
        <v>0.7589285714285714</v>
      </c>
      <c r="F12" s="1148">
        <v>82</v>
      </c>
      <c r="G12" s="1152">
        <v>0.7592592592592593</v>
      </c>
      <c r="H12" s="1150">
        <v>91</v>
      </c>
      <c r="I12" s="1149">
        <f t="shared" si="2"/>
        <v>0.74590163934426235</v>
      </c>
      <c r="J12" s="1151">
        <v>113</v>
      </c>
      <c r="K12" s="1149">
        <f t="shared" si="3"/>
        <v>0.78472222222222221</v>
      </c>
    </row>
    <row r="13" spans="1:20" s="717" customFormat="1" ht="10.199999999999999" x14ac:dyDescent="0.25">
      <c r="A13" s="1130" t="s">
        <v>134</v>
      </c>
      <c r="B13" s="1148">
        <v>1</v>
      </c>
      <c r="C13" s="1149">
        <f t="shared" si="1"/>
        <v>9.433962264150943E-3</v>
      </c>
      <c r="D13" s="1148" t="s">
        <v>1224</v>
      </c>
      <c r="E13" s="1152">
        <v>0</v>
      </c>
      <c r="F13" s="1148">
        <v>3</v>
      </c>
      <c r="G13" s="1149">
        <v>2.7777777777777776E-2</v>
      </c>
      <c r="H13" s="1148">
        <v>0</v>
      </c>
      <c r="I13" s="1149">
        <f t="shared" si="2"/>
        <v>0</v>
      </c>
      <c r="J13" s="1151">
        <v>2</v>
      </c>
      <c r="K13" s="1149">
        <f t="shared" si="3"/>
        <v>1.3888888888888888E-2</v>
      </c>
    </row>
    <row r="14" spans="1:20" s="717" customFormat="1" ht="10.199999999999999" x14ac:dyDescent="0.25">
      <c r="A14" s="1130" t="s">
        <v>12</v>
      </c>
      <c r="B14" s="1148">
        <v>0</v>
      </c>
      <c r="C14" s="1149">
        <f t="shared" si="1"/>
        <v>0</v>
      </c>
      <c r="D14" s="1148">
        <v>1</v>
      </c>
      <c r="E14" s="1149">
        <v>8.9285714285714281E-3</v>
      </c>
      <c r="F14" s="1148">
        <v>1</v>
      </c>
      <c r="G14" s="1152">
        <v>9.2592592592592587E-3</v>
      </c>
      <c r="H14" s="1150">
        <v>1</v>
      </c>
      <c r="I14" s="1149">
        <f t="shared" si="2"/>
        <v>8.1967213114754103E-3</v>
      </c>
      <c r="J14" s="1151">
        <v>1</v>
      </c>
      <c r="K14" s="1149">
        <f t="shared" si="3"/>
        <v>6.9444444444444441E-3</v>
      </c>
    </row>
    <row r="15" spans="1:20" s="717" customFormat="1" ht="10.199999999999999" x14ac:dyDescent="0.25">
      <c r="A15" s="1130" t="s">
        <v>13</v>
      </c>
      <c r="B15" s="1148">
        <v>3</v>
      </c>
      <c r="C15" s="1149">
        <f t="shared" si="1"/>
        <v>2.8301886792452831E-2</v>
      </c>
      <c r="D15" s="1148">
        <v>6</v>
      </c>
      <c r="E15" s="1152">
        <v>5.3571428571428568E-2</v>
      </c>
      <c r="F15" s="1148">
        <v>2</v>
      </c>
      <c r="G15" s="1152">
        <v>1.8518518518518517E-2</v>
      </c>
      <c r="H15" s="1150">
        <v>5</v>
      </c>
      <c r="I15" s="1149">
        <f t="shared" si="2"/>
        <v>4.0983606557377046E-2</v>
      </c>
      <c r="J15" s="1151">
        <v>4</v>
      </c>
      <c r="K15" s="1149">
        <f t="shared" si="3"/>
        <v>2.7777777777777776E-2</v>
      </c>
    </row>
    <row r="16" spans="1:20" s="717" customFormat="1" ht="10.199999999999999" x14ac:dyDescent="0.25">
      <c r="A16" s="1130" t="s">
        <v>47</v>
      </c>
      <c r="B16" s="1148">
        <v>0</v>
      </c>
      <c r="C16" s="1149">
        <f t="shared" si="1"/>
        <v>0</v>
      </c>
      <c r="D16" s="1148">
        <v>3</v>
      </c>
      <c r="E16" s="1149">
        <v>2.6785714285714284E-2</v>
      </c>
      <c r="F16" s="1148">
        <v>5</v>
      </c>
      <c r="G16" s="1152">
        <v>4.6296296296296294E-2</v>
      </c>
      <c r="H16" s="1150">
        <v>3</v>
      </c>
      <c r="I16" s="1149">
        <f t="shared" si="2"/>
        <v>2.4590163934426229E-2</v>
      </c>
      <c r="J16" s="1151">
        <v>3</v>
      </c>
      <c r="K16" s="1149">
        <f t="shared" si="3"/>
        <v>2.0833333333333332E-2</v>
      </c>
    </row>
    <row r="17" spans="1:11" s="717" customFormat="1" ht="10.199999999999999" x14ac:dyDescent="0.25">
      <c r="A17" s="1130" t="s">
        <v>135</v>
      </c>
      <c r="B17" s="1148">
        <v>1</v>
      </c>
      <c r="C17" s="1149">
        <f t="shared" si="1"/>
        <v>9.433962264150943E-3</v>
      </c>
      <c r="D17" s="1148">
        <v>2</v>
      </c>
      <c r="E17" s="1152">
        <v>1.7857142857142856E-2</v>
      </c>
      <c r="F17" s="1148">
        <v>2</v>
      </c>
      <c r="G17" s="1152">
        <v>1.8518518518518517E-2</v>
      </c>
      <c r="H17" s="1148">
        <v>0</v>
      </c>
      <c r="I17" s="1149">
        <f t="shared" si="2"/>
        <v>0</v>
      </c>
      <c r="J17" s="1151">
        <v>1</v>
      </c>
      <c r="K17" s="1149">
        <f t="shared" si="3"/>
        <v>6.9444444444444441E-3</v>
      </c>
    </row>
    <row r="18" spans="1:11" s="717" customFormat="1" ht="10.199999999999999" x14ac:dyDescent="0.25">
      <c r="A18" s="1130" t="s">
        <v>136</v>
      </c>
      <c r="B18" s="1148">
        <v>2</v>
      </c>
      <c r="C18" s="1149">
        <f t="shared" si="1"/>
        <v>1.8867924528301886E-2</v>
      </c>
      <c r="D18" s="1148">
        <v>3</v>
      </c>
      <c r="E18" s="1152">
        <v>2.6785714285714284E-2</v>
      </c>
      <c r="F18" s="1148">
        <v>2</v>
      </c>
      <c r="G18" s="1152">
        <v>1.8518518518518517E-2</v>
      </c>
      <c r="H18" s="1150">
        <v>4</v>
      </c>
      <c r="I18" s="1149">
        <f t="shared" si="2"/>
        <v>3.2786885245901641E-2</v>
      </c>
      <c r="J18" s="1151">
        <v>3</v>
      </c>
      <c r="K18" s="1149">
        <f t="shared" si="3"/>
        <v>2.0833333333333332E-2</v>
      </c>
    </row>
    <row r="19" spans="1:11" s="717" customFormat="1" ht="10.199999999999999" x14ac:dyDescent="0.25">
      <c r="A19" s="1130" t="s">
        <v>17</v>
      </c>
      <c r="B19" s="1148">
        <v>0</v>
      </c>
      <c r="C19" s="1149">
        <f t="shared" si="1"/>
        <v>0</v>
      </c>
      <c r="D19" s="1148">
        <v>2</v>
      </c>
      <c r="E19" s="1149">
        <v>1.7857142857142856E-2</v>
      </c>
      <c r="F19" s="1148" t="s">
        <v>1224</v>
      </c>
      <c r="G19" s="1152">
        <v>0</v>
      </c>
      <c r="H19" s="1148">
        <v>0</v>
      </c>
      <c r="I19" s="1149">
        <f t="shared" si="2"/>
        <v>0</v>
      </c>
      <c r="J19" s="1150">
        <v>0</v>
      </c>
      <c r="K19" s="1149">
        <f t="shared" si="3"/>
        <v>0</v>
      </c>
    </row>
    <row r="20" spans="1:11" s="717" customFormat="1" ht="10.199999999999999" x14ac:dyDescent="0.25">
      <c r="A20" s="1130" t="s">
        <v>18</v>
      </c>
      <c r="B20" s="1148">
        <v>3</v>
      </c>
      <c r="C20" s="1149">
        <f t="shared" si="1"/>
        <v>2.8301886792452831E-2</v>
      </c>
      <c r="D20" s="1148">
        <v>1</v>
      </c>
      <c r="E20" s="1152">
        <v>8.9285714285714281E-3</v>
      </c>
      <c r="F20" s="1148" t="s">
        <v>1224</v>
      </c>
      <c r="G20" s="1152">
        <v>0</v>
      </c>
      <c r="H20" s="1150">
        <v>3</v>
      </c>
      <c r="I20" s="1149">
        <f t="shared" si="2"/>
        <v>2.4590163934426229E-2</v>
      </c>
      <c r="J20" s="1151">
        <v>2</v>
      </c>
      <c r="K20" s="1149">
        <f t="shared" si="3"/>
        <v>1.3888888888888888E-2</v>
      </c>
    </row>
    <row r="21" spans="1:11" s="141" customFormat="1" ht="10.199999999999999" x14ac:dyDescent="0.2">
      <c r="A21" s="288"/>
      <c r="C21" s="1071"/>
      <c r="E21" s="1071"/>
      <c r="F21" s="1071"/>
      <c r="G21" s="1066"/>
      <c r="H21" s="1066"/>
      <c r="I21" s="1071"/>
      <c r="J21" s="1071"/>
    </row>
    <row r="22" spans="1:11" s="141" customFormat="1" ht="10.199999999999999" x14ac:dyDescent="0.2">
      <c r="A22" s="296" t="s">
        <v>19</v>
      </c>
      <c r="B22" s="296"/>
      <c r="C22" s="296"/>
      <c r="D22" s="296"/>
      <c r="E22" s="296"/>
      <c r="F22" s="296"/>
      <c r="G22" s="296"/>
      <c r="H22" s="296"/>
      <c r="I22" s="296"/>
      <c r="J22" s="296"/>
      <c r="K22" s="296"/>
    </row>
    <row r="23" spans="1:11" s="141" customFormat="1" ht="10.199999999999999" x14ac:dyDescent="0.2">
      <c r="A23" s="2" t="s">
        <v>2681</v>
      </c>
    </row>
    <row r="24" spans="1:11" s="141" customFormat="1" ht="9" customHeight="1" x14ac:dyDescent="0.2">
      <c r="A24" s="1010"/>
    </row>
    <row r="25" spans="1:11" s="141" customFormat="1" x14ac:dyDescent="0.25">
      <c r="A25"/>
      <c r="B25"/>
      <c r="C25"/>
      <c r="D25"/>
      <c r="E25"/>
      <c r="F25"/>
      <c r="G25"/>
      <c r="H25"/>
      <c r="I25"/>
      <c r="J25"/>
      <c r="K25"/>
    </row>
    <row r="26" spans="1:11" s="141" customFormat="1" x14ac:dyDescent="0.25">
      <c r="A26"/>
      <c r="B26"/>
      <c r="C26"/>
      <c r="D26"/>
      <c r="E26"/>
      <c r="F26"/>
      <c r="G26"/>
      <c r="H26"/>
      <c r="I26"/>
      <c r="J26"/>
      <c r="K26"/>
    </row>
    <row r="27" spans="1:11" s="141" customFormat="1" x14ac:dyDescent="0.25">
      <c r="A27"/>
      <c r="B27"/>
      <c r="C27"/>
      <c r="D27"/>
      <c r="E27"/>
      <c r="F27"/>
      <c r="G27"/>
      <c r="H27"/>
      <c r="I27"/>
      <c r="J27"/>
      <c r="K27"/>
    </row>
  </sheetData>
  <mergeCells count="7">
    <mergeCell ref="A22:K22"/>
    <mergeCell ref="A2:K2"/>
    <mergeCell ref="B4:C4"/>
    <mergeCell ref="D4:E4"/>
    <mergeCell ref="F4:G4"/>
    <mergeCell ref="H4:I4"/>
    <mergeCell ref="J4:K4"/>
  </mergeCells>
  <pageMargins left="0.7" right="0.7" top="0.75" bottom="0.75" header="0.3" footer="0.3"/>
  <pageSetup paperSize="14"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65A01-A1C4-46AC-925D-93B27EA307CD}">
  <sheetPr codeName="Hoja22"/>
  <dimension ref="A2:Q59"/>
  <sheetViews>
    <sheetView workbookViewId="0">
      <selection activeCell="E20" sqref="E20"/>
    </sheetView>
  </sheetViews>
  <sheetFormatPr baseColWidth="10" defaultColWidth="11.44140625" defaultRowHeight="10.199999999999999" x14ac:dyDescent="0.2"/>
  <cols>
    <col min="1" max="1" width="41.109375" style="62" customWidth="1"/>
    <col min="2" max="2" width="15.33203125" style="216" customWidth="1"/>
    <col min="3" max="3" width="13.44140625" style="62" bestFit="1" customWidth="1"/>
    <col min="4" max="4" width="12.5546875" style="62" bestFit="1" customWidth="1"/>
    <col min="5" max="8" width="13.44140625" style="62" bestFit="1" customWidth="1"/>
    <col min="9" max="9" width="11.6640625" style="62" bestFit="1" customWidth="1"/>
    <col min="10" max="10" width="13.44140625" style="62" bestFit="1" customWidth="1"/>
    <col min="11" max="11" width="11.6640625" style="62" bestFit="1" customWidth="1"/>
    <col min="12" max="12" width="13.44140625" style="62" bestFit="1" customWidth="1"/>
    <col min="13" max="13" width="12.33203125" style="62" bestFit="1" customWidth="1"/>
    <col min="14" max="14" width="11.6640625" style="62" bestFit="1" customWidth="1"/>
    <col min="15" max="16384" width="11.44140625" style="62"/>
  </cols>
  <sheetData>
    <row r="2" spans="1:15" ht="12" x14ac:dyDescent="0.2">
      <c r="A2" s="63" t="s">
        <v>433</v>
      </c>
      <c r="B2" s="205"/>
    </row>
    <row r="3" spans="1:15" x14ac:dyDescent="0.2">
      <c r="A3" s="63"/>
      <c r="B3" s="205"/>
    </row>
    <row r="4" spans="1:15" s="206" customFormat="1" ht="19.5" customHeight="1" x14ac:dyDescent="0.25">
      <c r="A4" s="96" t="s">
        <v>76</v>
      </c>
      <c r="B4" s="96" t="s">
        <v>42</v>
      </c>
      <c r="C4" s="96" t="s">
        <v>434</v>
      </c>
      <c r="D4" s="96"/>
      <c r="E4" s="96"/>
      <c r="F4" s="96"/>
      <c r="G4" s="96"/>
      <c r="H4" s="96"/>
      <c r="I4" s="96"/>
      <c r="J4" s="96"/>
      <c r="K4" s="96"/>
      <c r="L4" s="96"/>
      <c r="M4" s="96"/>
      <c r="N4" s="96"/>
    </row>
    <row r="5" spans="1:15" s="206" customFormat="1" ht="25.5" customHeight="1" x14ac:dyDescent="0.25">
      <c r="A5" s="96"/>
      <c r="B5" s="96"/>
      <c r="C5" s="207" t="s">
        <v>435</v>
      </c>
      <c r="D5" s="207" t="s">
        <v>436</v>
      </c>
      <c r="E5" s="207" t="s">
        <v>437</v>
      </c>
      <c r="F5" s="207" t="s">
        <v>438</v>
      </c>
      <c r="G5" s="207" t="s">
        <v>439</v>
      </c>
      <c r="H5" s="207" t="s">
        <v>440</v>
      </c>
      <c r="I5" s="207" t="s">
        <v>441</v>
      </c>
      <c r="J5" s="207" t="s">
        <v>442</v>
      </c>
      <c r="K5" s="207" t="s">
        <v>443</v>
      </c>
      <c r="L5" s="207" t="s">
        <v>444</v>
      </c>
      <c r="M5" s="207" t="s">
        <v>445</v>
      </c>
      <c r="N5" s="207" t="s">
        <v>446</v>
      </c>
      <c r="O5" s="208"/>
    </row>
    <row r="6" spans="1:15" s="206" customFormat="1" x14ac:dyDescent="0.25">
      <c r="A6" s="100" t="s">
        <v>3</v>
      </c>
      <c r="B6" s="209">
        <f t="shared" ref="B6:N6" si="0">SUM(B7+B9+B11+B14+B16+B18+B21+B25+B29)</f>
        <v>221264938.98000005</v>
      </c>
      <c r="C6" s="210">
        <f>SUM(C7+C9+C11+C14+C16+C18+C21+C25+C29)</f>
        <v>20417785.23</v>
      </c>
      <c r="D6" s="210">
        <f t="shared" si="0"/>
        <v>3800516.7500000009</v>
      </c>
      <c r="E6" s="210">
        <f t="shared" si="0"/>
        <v>45239267.100000009</v>
      </c>
      <c r="F6" s="210">
        <f t="shared" si="0"/>
        <v>10572698.969999999</v>
      </c>
      <c r="G6" s="210">
        <f t="shared" si="0"/>
        <v>26072921.600000001</v>
      </c>
      <c r="H6" s="210">
        <f t="shared" si="0"/>
        <v>69910607.300000012</v>
      </c>
      <c r="I6" s="210">
        <f t="shared" si="0"/>
        <v>756980.57</v>
      </c>
      <c r="J6" s="210">
        <f t="shared" si="0"/>
        <v>23564876.059999999</v>
      </c>
      <c r="K6" s="210">
        <f t="shared" si="0"/>
        <v>198623.14</v>
      </c>
      <c r="L6" s="210">
        <f t="shared" si="0"/>
        <v>16407846.610000001</v>
      </c>
      <c r="M6" s="210">
        <f t="shared" si="0"/>
        <v>4319871.6399999997</v>
      </c>
      <c r="N6" s="210">
        <f t="shared" si="0"/>
        <v>2944.01</v>
      </c>
      <c r="O6" s="208"/>
    </row>
    <row r="7" spans="1:15" x14ac:dyDescent="0.2">
      <c r="A7" s="211" t="s">
        <v>21</v>
      </c>
      <c r="B7" s="117">
        <f t="shared" ref="B7:B16" si="1">SUM(C7:N7)</f>
        <v>375271.2</v>
      </c>
      <c r="C7" s="137">
        <f>SUM(C8)</f>
        <v>4729.72</v>
      </c>
      <c r="D7" s="137">
        <f t="shared" ref="D7:N7" si="2">SUM(D8)</f>
        <v>0</v>
      </c>
      <c r="E7" s="137">
        <f t="shared" si="2"/>
        <v>0</v>
      </c>
      <c r="F7" s="137">
        <f t="shared" si="2"/>
        <v>0</v>
      </c>
      <c r="G7" s="137">
        <f>SUM(G8)</f>
        <v>224597.4</v>
      </c>
      <c r="H7" s="137">
        <f t="shared" si="2"/>
        <v>80625.94</v>
      </c>
      <c r="I7" s="137">
        <f t="shared" si="2"/>
        <v>0</v>
      </c>
      <c r="J7" s="137">
        <f t="shared" si="2"/>
        <v>65318.14</v>
      </c>
      <c r="K7" s="137">
        <f t="shared" si="2"/>
        <v>0</v>
      </c>
      <c r="L7" s="137">
        <f t="shared" si="2"/>
        <v>0</v>
      </c>
      <c r="M7" s="137">
        <f t="shared" si="2"/>
        <v>0</v>
      </c>
      <c r="N7" s="137">
        <f t="shared" si="2"/>
        <v>0</v>
      </c>
      <c r="O7" s="212"/>
    </row>
    <row r="8" spans="1:15" x14ac:dyDescent="0.2">
      <c r="A8" s="213" t="s">
        <v>21</v>
      </c>
      <c r="B8" s="117">
        <f t="shared" ref="B8:B15" si="3">SUM(C8:N8)</f>
        <v>375271.2</v>
      </c>
      <c r="C8" s="123">
        <v>4729.72</v>
      </c>
      <c r="D8" s="123">
        <v>0</v>
      </c>
      <c r="E8" s="123">
        <v>0</v>
      </c>
      <c r="F8" s="123">
        <v>0</v>
      </c>
      <c r="G8" s="123">
        <v>224597.4</v>
      </c>
      <c r="H8" s="123">
        <v>80625.94</v>
      </c>
      <c r="I8" s="123">
        <v>0</v>
      </c>
      <c r="J8" s="123">
        <v>65318.14</v>
      </c>
      <c r="K8" s="123">
        <v>0</v>
      </c>
      <c r="L8" s="123">
        <v>0</v>
      </c>
      <c r="M8" s="123">
        <v>0</v>
      </c>
      <c r="N8" s="123">
        <v>0</v>
      </c>
      <c r="O8" s="90"/>
    </row>
    <row r="9" spans="1:15" x14ac:dyDescent="0.2">
      <c r="A9" s="211" t="s">
        <v>24</v>
      </c>
      <c r="B9" s="117">
        <f t="shared" si="3"/>
        <v>58961659.040000007</v>
      </c>
      <c r="C9" s="137">
        <f>SUM(C10)</f>
        <v>5503810.3200000003</v>
      </c>
      <c r="D9" s="137">
        <f>SUM(D10)</f>
        <v>134352.66999999998</v>
      </c>
      <c r="E9" s="137">
        <f>SUM(E10)</f>
        <v>2564555.4300000002</v>
      </c>
      <c r="F9" s="137">
        <f>SUM(F10)</f>
        <v>770259.08000000007</v>
      </c>
      <c r="G9" s="137">
        <f>SUM(G10)</f>
        <v>6360435.2799999993</v>
      </c>
      <c r="H9" s="137">
        <f t="shared" ref="H9:N9" si="4">SUM(H10)</f>
        <v>6947026.2400000039</v>
      </c>
      <c r="I9" s="137">
        <f t="shared" si="4"/>
        <v>315735.84999999998</v>
      </c>
      <c r="J9" s="137">
        <f t="shared" si="4"/>
        <v>18870215.109999999</v>
      </c>
      <c r="K9" s="137">
        <f t="shared" si="4"/>
        <v>15151.93</v>
      </c>
      <c r="L9" s="137">
        <f t="shared" si="4"/>
        <v>14667680.74</v>
      </c>
      <c r="M9" s="137">
        <f t="shared" si="4"/>
        <v>2811492.3800000004</v>
      </c>
      <c r="N9" s="137">
        <f t="shared" si="4"/>
        <v>944.01</v>
      </c>
      <c r="O9" s="212"/>
    </row>
    <row r="10" spans="1:15" x14ac:dyDescent="0.2">
      <c r="A10" s="213" t="s">
        <v>24</v>
      </c>
      <c r="B10" s="117">
        <f t="shared" si="3"/>
        <v>58961659.040000007</v>
      </c>
      <c r="C10" s="123">
        <v>5503810.3200000003</v>
      </c>
      <c r="D10" s="123">
        <v>134352.66999999998</v>
      </c>
      <c r="E10" s="123">
        <v>2564555.4300000002</v>
      </c>
      <c r="F10" s="123">
        <v>770259.08000000007</v>
      </c>
      <c r="G10" s="123">
        <v>6360435.2799999993</v>
      </c>
      <c r="H10" s="123">
        <v>6947026.2400000039</v>
      </c>
      <c r="I10" s="123">
        <v>315735.84999999998</v>
      </c>
      <c r="J10" s="123">
        <v>18870215.109999999</v>
      </c>
      <c r="K10" s="123">
        <v>15151.93</v>
      </c>
      <c r="L10" s="123">
        <v>14667680.74</v>
      </c>
      <c r="M10" s="123">
        <v>2811492.3800000004</v>
      </c>
      <c r="N10" s="123">
        <v>944.01</v>
      </c>
      <c r="O10" s="90"/>
    </row>
    <row r="11" spans="1:15" x14ac:dyDescent="0.2">
      <c r="A11" s="211" t="s">
        <v>310</v>
      </c>
      <c r="B11" s="117">
        <f t="shared" si="3"/>
        <v>6314607.5299999993</v>
      </c>
      <c r="C11" s="137">
        <f>SUM(C12:C13)</f>
        <v>535931.17000000004</v>
      </c>
      <c r="D11" s="137">
        <f>SUM(D12:D13)</f>
        <v>111438</v>
      </c>
      <c r="E11" s="137">
        <f>SUM(E12:E13)</f>
        <v>1179966.6499999999</v>
      </c>
      <c r="F11" s="137">
        <f>SUM(F12:F13)</f>
        <v>166414.83000000002</v>
      </c>
      <c r="G11" s="137">
        <f>SUM(G12:G13)</f>
        <v>1609155.6199999999</v>
      </c>
      <c r="H11" s="137">
        <f t="shared" ref="H11:N11" si="5">SUM(H12:H13)</f>
        <v>2395220.6599999997</v>
      </c>
      <c r="I11" s="137">
        <f t="shared" si="5"/>
        <v>13910</v>
      </c>
      <c r="J11" s="137">
        <f t="shared" si="5"/>
        <v>267233.51</v>
      </c>
      <c r="K11" s="137">
        <f t="shared" si="5"/>
        <v>5278.8</v>
      </c>
      <c r="L11" s="137">
        <f t="shared" si="5"/>
        <v>0</v>
      </c>
      <c r="M11" s="137">
        <f t="shared" si="5"/>
        <v>28058.29</v>
      </c>
      <c r="N11" s="137">
        <f t="shared" si="5"/>
        <v>2000</v>
      </c>
      <c r="O11" s="212"/>
    </row>
    <row r="12" spans="1:15" x14ac:dyDescent="0.2">
      <c r="A12" s="213" t="s">
        <v>56</v>
      </c>
      <c r="B12" s="117">
        <f t="shared" si="3"/>
        <v>1954007.5799999998</v>
      </c>
      <c r="C12" s="123">
        <v>348373.19</v>
      </c>
      <c r="D12" s="123">
        <v>15330.02</v>
      </c>
      <c r="E12" s="123">
        <v>287364.07999999996</v>
      </c>
      <c r="F12" s="123">
        <v>87402.040000000008</v>
      </c>
      <c r="G12" s="123">
        <v>26717</v>
      </c>
      <c r="H12" s="123">
        <v>992894.50999999989</v>
      </c>
      <c r="I12" s="123">
        <v>10310</v>
      </c>
      <c r="J12" s="123">
        <v>171541.69999999998</v>
      </c>
      <c r="K12" s="123">
        <v>30</v>
      </c>
      <c r="L12" s="123">
        <v>0</v>
      </c>
      <c r="M12" s="123">
        <v>14045.04</v>
      </c>
      <c r="N12" s="123">
        <v>0</v>
      </c>
      <c r="O12" s="90"/>
    </row>
    <row r="13" spans="1:15" x14ac:dyDescent="0.2">
      <c r="A13" s="213" t="s">
        <v>25</v>
      </c>
      <c r="B13" s="117">
        <f t="shared" si="3"/>
        <v>4360599.9499999993</v>
      </c>
      <c r="C13" s="123">
        <v>187557.98</v>
      </c>
      <c r="D13" s="123">
        <v>96107.98</v>
      </c>
      <c r="E13" s="123">
        <v>892602.57</v>
      </c>
      <c r="F13" s="123">
        <v>79012.790000000008</v>
      </c>
      <c r="G13" s="123">
        <v>1582438.6199999999</v>
      </c>
      <c r="H13" s="123">
        <v>1402326.15</v>
      </c>
      <c r="I13" s="123">
        <v>3600</v>
      </c>
      <c r="J13" s="123">
        <v>95691.810000000012</v>
      </c>
      <c r="K13" s="123">
        <v>5248.8</v>
      </c>
      <c r="L13" s="123">
        <v>0</v>
      </c>
      <c r="M13" s="123">
        <v>14013.25</v>
      </c>
      <c r="N13" s="123">
        <v>2000</v>
      </c>
      <c r="O13" s="90"/>
    </row>
    <row r="14" spans="1:15" x14ac:dyDescent="0.2">
      <c r="A14" s="211" t="s">
        <v>26</v>
      </c>
      <c r="B14" s="117">
        <f t="shared" si="3"/>
        <v>5000</v>
      </c>
      <c r="C14" s="137">
        <f>SUM(C15)</f>
        <v>5000</v>
      </c>
      <c r="D14" s="137">
        <f t="shared" ref="D14:N14" si="6">SUM(D15)</f>
        <v>0</v>
      </c>
      <c r="E14" s="137">
        <f t="shared" si="6"/>
        <v>0</v>
      </c>
      <c r="F14" s="137">
        <f t="shared" si="6"/>
        <v>0</v>
      </c>
      <c r="G14" s="137">
        <f t="shared" si="6"/>
        <v>0</v>
      </c>
      <c r="H14" s="137">
        <f t="shared" si="6"/>
        <v>0</v>
      </c>
      <c r="I14" s="137">
        <f t="shared" si="6"/>
        <v>0</v>
      </c>
      <c r="J14" s="137">
        <f t="shared" si="6"/>
        <v>0</v>
      </c>
      <c r="K14" s="137">
        <f t="shared" si="6"/>
        <v>0</v>
      </c>
      <c r="L14" s="137">
        <f t="shared" si="6"/>
        <v>0</v>
      </c>
      <c r="M14" s="137">
        <f t="shared" si="6"/>
        <v>0</v>
      </c>
      <c r="N14" s="137">
        <f t="shared" si="6"/>
        <v>0</v>
      </c>
      <c r="O14" s="212"/>
    </row>
    <row r="15" spans="1:15" x14ac:dyDescent="0.2">
      <c r="A15" s="213" t="s">
        <v>409</v>
      </c>
      <c r="B15" s="117">
        <f t="shared" si="3"/>
        <v>5000</v>
      </c>
      <c r="C15" s="123">
        <v>5000</v>
      </c>
      <c r="D15" s="123">
        <v>0</v>
      </c>
      <c r="E15" s="123">
        <v>0</v>
      </c>
      <c r="F15" s="123">
        <v>0</v>
      </c>
      <c r="G15" s="123">
        <v>0</v>
      </c>
      <c r="H15" s="123">
        <v>0</v>
      </c>
      <c r="I15" s="123">
        <v>0</v>
      </c>
      <c r="J15" s="123">
        <v>0</v>
      </c>
      <c r="K15" s="123">
        <v>0</v>
      </c>
      <c r="L15" s="123">
        <v>0</v>
      </c>
      <c r="M15" s="123">
        <v>0</v>
      </c>
      <c r="N15" s="123">
        <v>0</v>
      </c>
      <c r="O15" s="90"/>
    </row>
    <row r="16" spans="1:15" x14ac:dyDescent="0.2">
      <c r="A16" s="211" t="s">
        <v>29</v>
      </c>
      <c r="B16" s="117">
        <f t="shared" si="1"/>
        <v>2206193.4299999997</v>
      </c>
      <c r="C16" s="137">
        <f>SUM(C17)</f>
        <v>5534.6399999999985</v>
      </c>
      <c r="D16" s="137">
        <f>SUM(D17)</f>
        <v>3011.28</v>
      </c>
      <c r="E16" s="137">
        <f>SUM(E17)</f>
        <v>604987.14999999991</v>
      </c>
      <c r="F16" s="137">
        <f>SUM(F17)</f>
        <v>19800</v>
      </c>
      <c r="G16" s="137">
        <f t="shared" ref="G16:N16" si="7">SUM(G17)</f>
        <v>718828.77999999991</v>
      </c>
      <c r="H16" s="137">
        <f t="shared" si="7"/>
        <v>780616.34999999986</v>
      </c>
      <c r="I16" s="137">
        <f t="shared" si="7"/>
        <v>200</v>
      </c>
      <c r="J16" s="137">
        <f t="shared" si="7"/>
        <v>49905.47</v>
      </c>
      <c r="K16" s="137">
        <f t="shared" si="7"/>
        <v>90</v>
      </c>
      <c r="L16" s="137">
        <f t="shared" si="7"/>
        <v>0</v>
      </c>
      <c r="M16" s="137">
        <f t="shared" si="7"/>
        <v>23219.759999999998</v>
      </c>
      <c r="N16" s="137">
        <f t="shared" si="7"/>
        <v>0</v>
      </c>
      <c r="O16" s="212"/>
    </row>
    <row r="17" spans="1:15" x14ac:dyDescent="0.2">
      <c r="A17" s="213" t="s">
        <v>30</v>
      </c>
      <c r="B17" s="117">
        <f t="shared" ref="B17:B30" si="8">SUM(C17:N17)</f>
        <v>2206193.4299999997</v>
      </c>
      <c r="C17" s="123">
        <v>5534.6399999999985</v>
      </c>
      <c r="D17" s="123">
        <v>3011.28</v>
      </c>
      <c r="E17" s="123">
        <v>604987.14999999991</v>
      </c>
      <c r="F17" s="123">
        <v>19800</v>
      </c>
      <c r="G17" s="123">
        <v>718828.77999999991</v>
      </c>
      <c r="H17" s="123">
        <v>780616.34999999986</v>
      </c>
      <c r="I17" s="123">
        <v>200</v>
      </c>
      <c r="J17" s="123">
        <v>49905.47</v>
      </c>
      <c r="K17" s="123">
        <v>90</v>
      </c>
      <c r="L17" s="123"/>
      <c r="M17" s="123">
        <v>23219.759999999998</v>
      </c>
      <c r="N17" s="123">
        <v>0</v>
      </c>
      <c r="O17" s="90"/>
    </row>
    <row r="18" spans="1:15" x14ac:dyDescent="0.2">
      <c r="A18" s="211" t="s">
        <v>70</v>
      </c>
      <c r="B18" s="117">
        <f t="shared" si="8"/>
        <v>81056488.800000012</v>
      </c>
      <c r="C18" s="137">
        <f>SUM(C19:C20)</f>
        <v>12400741.609999999</v>
      </c>
      <c r="D18" s="137">
        <f>SUM(D19:D20)</f>
        <v>2570806.1000000006</v>
      </c>
      <c r="E18" s="137">
        <f>SUM(E19:E20)</f>
        <v>29756340.5</v>
      </c>
      <c r="F18" s="137">
        <f>SUM(F19:F20)</f>
        <v>1160094.6299999999</v>
      </c>
      <c r="G18" s="137">
        <f>SUM(G19:G20)</f>
        <v>473069.78</v>
      </c>
      <c r="H18" s="137">
        <f t="shared" ref="H18:N18" si="9">SUM(H19:H20)</f>
        <v>33081822.230000004</v>
      </c>
      <c r="I18" s="137">
        <f t="shared" si="9"/>
        <v>194424.63</v>
      </c>
      <c r="J18" s="137">
        <f t="shared" si="9"/>
        <v>1344089.36</v>
      </c>
      <c r="K18" s="137">
        <f t="shared" si="9"/>
        <v>903.43000000000006</v>
      </c>
      <c r="L18" s="137">
        <f t="shared" si="9"/>
        <v>5850</v>
      </c>
      <c r="M18" s="137">
        <f t="shared" si="9"/>
        <v>68346.530000000013</v>
      </c>
      <c r="N18" s="137">
        <f t="shared" si="9"/>
        <v>0</v>
      </c>
      <c r="O18" s="212"/>
    </row>
    <row r="19" spans="1:15" x14ac:dyDescent="0.2">
      <c r="A19" s="213" t="s">
        <v>416</v>
      </c>
      <c r="B19" s="117">
        <f t="shared" si="8"/>
        <v>65867151.700000003</v>
      </c>
      <c r="C19" s="123">
        <v>11277320.189999999</v>
      </c>
      <c r="D19" s="123">
        <v>214253.97</v>
      </c>
      <c r="E19" s="123">
        <v>27644498.699999999</v>
      </c>
      <c r="F19" s="123">
        <v>381204.88</v>
      </c>
      <c r="G19" s="123">
        <v>35753.899999999994</v>
      </c>
      <c r="H19" s="123">
        <v>26314120.060000002</v>
      </c>
      <c r="I19" s="123">
        <v>0</v>
      </c>
      <c r="J19" s="123">
        <v>0</v>
      </c>
      <c r="K19" s="123"/>
      <c r="L19" s="123"/>
      <c r="M19" s="123"/>
      <c r="N19" s="123">
        <v>0</v>
      </c>
      <c r="O19" s="90"/>
    </row>
    <row r="20" spans="1:15" x14ac:dyDescent="0.2">
      <c r="A20" s="213" t="s">
        <v>31</v>
      </c>
      <c r="B20" s="117">
        <f t="shared" si="8"/>
        <v>15189337.100000001</v>
      </c>
      <c r="C20" s="123">
        <v>1123421.4200000002</v>
      </c>
      <c r="D20" s="123">
        <v>2356552.1300000004</v>
      </c>
      <c r="E20" s="123">
        <v>2111841.7999999993</v>
      </c>
      <c r="F20" s="123">
        <v>778889.75</v>
      </c>
      <c r="G20" s="123">
        <v>437315.88</v>
      </c>
      <c r="H20" s="123">
        <v>6767702.1700000037</v>
      </c>
      <c r="I20" s="123">
        <v>194424.63</v>
      </c>
      <c r="J20" s="123">
        <v>1344089.36</v>
      </c>
      <c r="K20" s="123">
        <v>903.43000000000006</v>
      </c>
      <c r="L20" s="123">
        <v>5850</v>
      </c>
      <c r="M20" s="123">
        <v>68346.530000000013</v>
      </c>
      <c r="N20" s="123"/>
      <c r="O20" s="90"/>
    </row>
    <row r="21" spans="1:15" x14ac:dyDescent="0.2">
      <c r="A21" s="211" t="s">
        <v>33</v>
      </c>
      <c r="B21" s="117">
        <f t="shared" si="8"/>
        <v>12244439.680000002</v>
      </c>
      <c r="C21" s="137">
        <f>SUM(C22:C24)</f>
        <v>363411.01000000007</v>
      </c>
      <c r="D21" s="137">
        <f>SUM(D22:D24)</f>
        <v>41390.04</v>
      </c>
      <c r="E21" s="137">
        <f>SUM(E22:E24)</f>
        <v>5785383.1500000004</v>
      </c>
      <c r="F21" s="137">
        <f>SUM(F22:F24)</f>
        <v>541558.80000000005</v>
      </c>
      <c r="G21" s="137">
        <f>SUM(G22:G24)</f>
        <v>2610076.3100000005</v>
      </c>
      <c r="H21" s="137">
        <f t="shared" ref="H21:N21" si="10">SUM(H22:H24)</f>
        <v>2445520.5199999996</v>
      </c>
      <c r="I21" s="137">
        <f t="shared" si="10"/>
        <v>2109.7199999999998</v>
      </c>
      <c r="J21" s="137">
        <f t="shared" si="10"/>
        <v>161766.47</v>
      </c>
      <c r="K21" s="137">
        <f t="shared" si="10"/>
        <v>27845.07</v>
      </c>
      <c r="L21" s="137">
        <f t="shared" si="10"/>
        <v>6620.98</v>
      </c>
      <c r="M21" s="137">
        <f t="shared" si="10"/>
        <v>258757.61000000002</v>
      </c>
      <c r="N21" s="137">
        <f t="shared" si="10"/>
        <v>0</v>
      </c>
      <c r="O21" s="212"/>
    </row>
    <row r="22" spans="1:15" x14ac:dyDescent="0.2">
      <c r="A22" s="213" t="s">
        <v>34</v>
      </c>
      <c r="B22" s="117">
        <f t="shared" si="8"/>
        <v>1736217.7900000003</v>
      </c>
      <c r="C22" s="123">
        <v>9199.14</v>
      </c>
      <c r="D22" s="123">
        <v>22154.9</v>
      </c>
      <c r="E22" s="123">
        <v>1074931.2400000002</v>
      </c>
      <c r="F22" s="123">
        <v>900</v>
      </c>
      <c r="G22" s="123">
        <v>346231</v>
      </c>
      <c r="H22" s="123">
        <v>271137.01</v>
      </c>
      <c r="I22" s="123">
        <v>0</v>
      </c>
      <c r="J22" s="123">
        <v>11614.5</v>
      </c>
      <c r="K22" s="123"/>
      <c r="L22" s="123"/>
      <c r="M22" s="123">
        <v>50</v>
      </c>
      <c r="N22" s="123">
        <v>0</v>
      </c>
      <c r="O22" s="90"/>
    </row>
    <row r="23" spans="1:15" x14ac:dyDescent="0.2">
      <c r="A23" s="213" t="s">
        <v>374</v>
      </c>
      <c r="B23" s="117">
        <f t="shared" si="8"/>
        <v>9949557.8100000024</v>
      </c>
      <c r="C23" s="123">
        <v>354211.87000000005</v>
      </c>
      <c r="D23" s="123">
        <v>19235.14</v>
      </c>
      <c r="E23" s="123">
        <v>4703710.96</v>
      </c>
      <c r="F23" s="123">
        <v>13109.75</v>
      </c>
      <c r="G23" s="123">
        <v>2240791.2300000004</v>
      </c>
      <c r="H23" s="123">
        <v>2173063.5099999998</v>
      </c>
      <c r="I23" s="123">
        <v>2109.7199999999998</v>
      </c>
      <c r="J23" s="123">
        <v>150151.97</v>
      </c>
      <c r="K23" s="123">
        <v>27845.07</v>
      </c>
      <c r="L23" s="123">
        <v>6620.98</v>
      </c>
      <c r="M23" s="123">
        <v>258707.61000000002</v>
      </c>
      <c r="N23" s="123">
        <v>0</v>
      </c>
      <c r="O23" s="90"/>
    </row>
    <row r="24" spans="1:15" x14ac:dyDescent="0.2">
      <c r="A24" s="213" t="s">
        <v>376</v>
      </c>
      <c r="B24" s="117">
        <f t="shared" si="8"/>
        <v>558664.07999999996</v>
      </c>
      <c r="C24" s="123">
        <v>0</v>
      </c>
      <c r="D24" s="123"/>
      <c r="E24" s="123">
        <v>6740.95</v>
      </c>
      <c r="F24" s="123">
        <v>527549.05000000005</v>
      </c>
      <c r="G24" s="123">
        <v>23054.080000000002</v>
      </c>
      <c r="H24" s="123">
        <v>1320</v>
      </c>
      <c r="I24" s="123">
        <v>0</v>
      </c>
      <c r="J24" s="123">
        <v>0</v>
      </c>
      <c r="K24" s="123"/>
      <c r="L24" s="123"/>
      <c r="M24" s="123"/>
      <c r="N24" s="123">
        <v>0</v>
      </c>
      <c r="O24" s="90"/>
    </row>
    <row r="25" spans="1:15" x14ac:dyDescent="0.2">
      <c r="A25" s="211" t="s">
        <v>64</v>
      </c>
      <c r="B25" s="117">
        <f t="shared" si="8"/>
        <v>23277827.580000002</v>
      </c>
      <c r="C25" s="137">
        <f>SUM(C26:C28)</f>
        <v>610000.06000000006</v>
      </c>
      <c r="D25" s="137">
        <f>SUM(D26:D28)</f>
        <v>574170.89</v>
      </c>
      <c r="E25" s="137">
        <f>SUM(E26:E28)</f>
        <v>1893334.8400000003</v>
      </c>
      <c r="F25" s="137">
        <f>SUM(F26:F28)</f>
        <v>4722623.0199999996</v>
      </c>
      <c r="G25" s="137">
        <f>SUM(G26:G28)</f>
        <v>139099.96</v>
      </c>
      <c r="H25" s="137">
        <f t="shared" ref="H25:N25" si="11">SUM(H26:H28)</f>
        <v>14240253.769999998</v>
      </c>
      <c r="I25" s="137">
        <f t="shared" si="11"/>
        <v>212593.68999999997</v>
      </c>
      <c r="J25" s="137">
        <f t="shared" si="11"/>
        <v>30984.029999999995</v>
      </c>
      <c r="K25" s="137">
        <f t="shared" si="11"/>
        <v>55327.28</v>
      </c>
      <c r="L25" s="137">
        <f t="shared" si="11"/>
        <v>22</v>
      </c>
      <c r="M25" s="137">
        <f t="shared" si="11"/>
        <v>799418.04</v>
      </c>
      <c r="N25" s="137">
        <f t="shared" si="11"/>
        <v>0</v>
      </c>
      <c r="O25" s="212"/>
    </row>
    <row r="26" spans="1:15" x14ac:dyDescent="0.2">
      <c r="A26" s="213" t="s">
        <v>36</v>
      </c>
      <c r="B26" s="117">
        <f t="shared" si="8"/>
        <v>9215.7099999999991</v>
      </c>
      <c r="C26" s="123">
        <v>0</v>
      </c>
      <c r="D26" s="123">
        <v>0</v>
      </c>
      <c r="E26" s="123">
        <v>7651.2</v>
      </c>
      <c r="F26" s="123">
        <v>1564.51</v>
      </c>
      <c r="G26" s="123">
        <v>0</v>
      </c>
      <c r="H26" s="123">
        <v>0</v>
      </c>
      <c r="I26" s="123">
        <v>0</v>
      </c>
      <c r="J26" s="123">
        <v>0</v>
      </c>
      <c r="K26" s="123">
        <v>0</v>
      </c>
      <c r="L26" s="123">
        <v>0</v>
      </c>
      <c r="M26" s="123">
        <v>0</v>
      </c>
      <c r="N26" s="123">
        <v>0</v>
      </c>
      <c r="O26" s="90"/>
    </row>
    <row r="27" spans="1:15" x14ac:dyDescent="0.2">
      <c r="A27" s="213" t="s">
        <v>37</v>
      </c>
      <c r="B27" s="117">
        <f t="shared" si="8"/>
        <v>1401631.7300000002</v>
      </c>
      <c r="C27" s="123">
        <v>451215.64</v>
      </c>
      <c r="D27" s="123">
        <v>0</v>
      </c>
      <c r="E27" s="123">
        <v>865817.77</v>
      </c>
      <c r="F27" s="123">
        <v>0</v>
      </c>
      <c r="G27" s="123">
        <v>0</v>
      </c>
      <c r="H27" s="123">
        <v>84598.32</v>
      </c>
      <c r="I27" s="123">
        <v>0</v>
      </c>
      <c r="J27" s="123">
        <v>0</v>
      </c>
      <c r="K27" s="123">
        <v>0</v>
      </c>
      <c r="L27" s="123">
        <v>0</v>
      </c>
      <c r="M27" s="123">
        <v>0</v>
      </c>
      <c r="N27" s="123">
        <v>0</v>
      </c>
      <c r="O27" s="90"/>
    </row>
    <row r="28" spans="1:15" x14ac:dyDescent="0.2">
      <c r="A28" s="213" t="s">
        <v>38</v>
      </c>
      <c r="B28" s="117">
        <f t="shared" si="8"/>
        <v>21866980.140000001</v>
      </c>
      <c r="C28" s="123">
        <v>158784.41999999998</v>
      </c>
      <c r="D28" s="123">
        <v>574170.89</v>
      </c>
      <c r="E28" s="123">
        <v>1019865.8700000002</v>
      </c>
      <c r="F28" s="123">
        <v>4721058.51</v>
      </c>
      <c r="G28" s="123">
        <v>139099.96</v>
      </c>
      <c r="H28" s="123">
        <v>14155655.449999997</v>
      </c>
      <c r="I28" s="123">
        <v>212593.68999999997</v>
      </c>
      <c r="J28" s="123">
        <v>30984.029999999995</v>
      </c>
      <c r="K28" s="123">
        <v>55327.28</v>
      </c>
      <c r="L28" s="123">
        <v>22</v>
      </c>
      <c r="M28" s="123">
        <v>799418.04</v>
      </c>
      <c r="N28" s="123"/>
      <c r="O28" s="90"/>
    </row>
    <row r="29" spans="1:15" x14ac:dyDescent="0.2">
      <c r="A29" s="211" t="s">
        <v>65</v>
      </c>
      <c r="B29" s="117">
        <f t="shared" si="8"/>
        <v>36823451.719999999</v>
      </c>
      <c r="C29" s="137">
        <f>SUM(C30)</f>
        <v>988626.70000000007</v>
      </c>
      <c r="D29" s="137">
        <f>SUM(D30)</f>
        <v>365347.7699999999</v>
      </c>
      <c r="E29" s="137">
        <f>SUM(E30)</f>
        <v>3454699.3800000004</v>
      </c>
      <c r="F29" s="137">
        <f>SUM(F30)</f>
        <v>3191948.61</v>
      </c>
      <c r="G29" s="137">
        <f>SUM(G30)</f>
        <v>13937658.470000001</v>
      </c>
      <c r="H29" s="137">
        <f t="shared" ref="H29:N29" si="12">SUM(H30)</f>
        <v>9939521.589999998</v>
      </c>
      <c r="I29" s="137">
        <f t="shared" si="12"/>
        <v>18006.68</v>
      </c>
      <c r="J29" s="137">
        <f t="shared" si="12"/>
        <v>2775363.9699999997</v>
      </c>
      <c r="K29" s="137">
        <f t="shared" si="12"/>
        <v>94026.63</v>
      </c>
      <c r="L29" s="137">
        <f t="shared" si="12"/>
        <v>1727672.89</v>
      </c>
      <c r="M29" s="137">
        <f t="shared" si="12"/>
        <v>330579.02999999997</v>
      </c>
      <c r="N29" s="137">
        <f t="shared" si="12"/>
        <v>0</v>
      </c>
      <c r="O29" s="212"/>
    </row>
    <row r="30" spans="1:15" x14ac:dyDescent="0.2">
      <c r="A30" s="213" t="s">
        <v>447</v>
      </c>
      <c r="B30" s="117">
        <f t="shared" si="8"/>
        <v>36823451.719999999</v>
      </c>
      <c r="C30" s="123">
        <v>988626.70000000007</v>
      </c>
      <c r="D30" s="123">
        <v>365347.7699999999</v>
      </c>
      <c r="E30" s="123">
        <v>3454699.3800000004</v>
      </c>
      <c r="F30" s="123">
        <v>3191948.61</v>
      </c>
      <c r="G30" s="123">
        <v>13937658.470000001</v>
      </c>
      <c r="H30" s="123">
        <v>9939521.589999998</v>
      </c>
      <c r="I30" s="123">
        <v>18006.68</v>
      </c>
      <c r="J30" s="123">
        <v>2775363.9699999997</v>
      </c>
      <c r="K30" s="123">
        <v>94026.63</v>
      </c>
      <c r="L30" s="123">
        <v>1727672.89</v>
      </c>
      <c r="M30" s="123">
        <v>330579.02999999997</v>
      </c>
      <c r="N30" s="123">
        <v>0</v>
      </c>
      <c r="O30" s="90"/>
    </row>
    <row r="31" spans="1:15" x14ac:dyDescent="0.2">
      <c r="A31" s="213"/>
      <c r="B31" s="137"/>
      <c r="C31" s="123"/>
      <c r="D31" s="123"/>
      <c r="E31" s="123"/>
      <c r="F31" s="123"/>
      <c r="G31" s="123"/>
      <c r="H31" s="123"/>
      <c r="I31" s="123"/>
      <c r="J31" s="123"/>
      <c r="K31" s="123"/>
      <c r="L31" s="123"/>
      <c r="M31" s="123"/>
      <c r="N31" s="123"/>
      <c r="O31" s="90"/>
    </row>
    <row r="32" spans="1:15" ht="10.5" customHeight="1" x14ac:dyDescent="0.2">
      <c r="A32" s="214" t="s">
        <v>448</v>
      </c>
      <c r="B32" s="214"/>
      <c r="C32" s="214"/>
      <c r="D32" s="214"/>
      <c r="E32" s="214"/>
      <c r="F32" s="214"/>
      <c r="G32" s="214"/>
      <c r="H32" s="123"/>
      <c r="I32" s="123"/>
      <c r="J32" s="123"/>
      <c r="K32" s="123"/>
      <c r="L32" s="123"/>
      <c r="M32" s="123"/>
      <c r="N32" s="123"/>
      <c r="O32" s="90"/>
    </row>
    <row r="33" spans="1:17" x14ac:dyDescent="0.2">
      <c r="A33" s="109" t="s">
        <v>449</v>
      </c>
      <c r="B33" s="137"/>
      <c r="C33" s="123"/>
      <c r="D33" s="123"/>
      <c r="E33" s="123"/>
      <c r="F33" s="123"/>
      <c r="G33" s="123"/>
      <c r="H33" s="123"/>
      <c r="I33" s="123"/>
      <c r="J33" s="123"/>
      <c r="K33" s="123"/>
      <c r="L33" s="123"/>
      <c r="M33" s="123"/>
      <c r="N33" s="123"/>
      <c r="O33" s="90"/>
    </row>
    <row r="34" spans="1:17" x14ac:dyDescent="0.2">
      <c r="A34" s="215" t="s">
        <v>19</v>
      </c>
      <c r="B34" s="215"/>
      <c r="C34" s="215"/>
      <c r="D34" s="215"/>
      <c r="E34" s="215"/>
      <c r="F34" s="215"/>
      <c r="G34" s="215"/>
      <c r="H34" s="215"/>
      <c r="I34" s="215"/>
      <c r="J34" s="215"/>
      <c r="K34" s="215"/>
      <c r="L34" s="215"/>
      <c r="M34" s="215"/>
      <c r="N34" s="215"/>
      <c r="O34" s="215"/>
      <c r="P34" s="215"/>
      <c r="Q34" s="215"/>
    </row>
    <row r="35" spans="1:17" x14ac:dyDescent="0.2">
      <c r="A35" s="62" t="s">
        <v>450</v>
      </c>
    </row>
    <row r="44" spans="1:17" x14ac:dyDescent="0.2">
      <c r="A44" s="78"/>
    </row>
    <row r="45" spans="1:17" x14ac:dyDescent="0.2">
      <c r="A45" s="78"/>
    </row>
    <row r="46" spans="1:17" x14ac:dyDescent="0.2">
      <c r="A46" s="78"/>
    </row>
    <row r="47" spans="1:17" x14ac:dyDescent="0.2">
      <c r="A47" s="78"/>
    </row>
    <row r="48" spans="1:17" x14ac:dyDescent="0.2">
      <c r="A48" s="78"/>
    </row>
    <row r="49" spans="1:1" x14ac:dyDescent="0.2">
      <c r="A49" s="78"/>
    </row>
    <row r="50" spans="1:1" x14ac:dyDescent="0.2">
      <c r="A50" s="78"/>
    </row>
    <row r="51" spans="1:1" x14ac:dyDescent="0.2">
      <c r="A51" s="78"/>
    </row>
    <row r="53" spans="1:1" x14ac:dyDescent="0.2">
      <c r="A53" s="78"/>
    </row>
    <row r="54" spans="1:1" x14ac:dyDescent="0.2">
      <c r="A54" s="78"/>
    </row>
    <row r="55" spans="1:1" x14ac:dyDescent="0.2">
      <c r="A55" s="78"/>
    </row>
    <row r="56" spans="1:1" x14ac:dyDescent="0.2">
      <c r="A56" s="78"/>
    </row>
    <row r="57" spans="1:1" x14ac:dyDescent="0.2">
      <c r="A57" s="78"/>
    </row>
    <row r="58" spans="1:1" x14ac:dyDescent="0.2">
      <c r="A58" s="78"/>
    </row>
    <row r="59" spans="1:1" x14ac:dyDescent="0.2">
      <c r="A59" s="78"/>
    </row>
  </sheetData>
  <mergeCells count="4">
    <mergeCell ref="A4:A5"/>
    <mergeCell ref="B4:B5"/>
    <mergeCell ref="C4:N4"/>
    <mergeCell ref="A34:Q34"/>
  </mergeCells>
  <pageMargins left="0.32" right="0.27" top="0.74803149606299213" bottom="0.74803149606299213" header="0.31496062992125984" footer="0.31496062992125984"/>
  <pageSetup paperSize="14" scale="75" orientation="landscape" verticalDpi="599" r:id="rId1"/>
  <colBreaks count="1" manualBreakCount="1">
    <brk id="14" max="1048575" man="1"/>
  </colBreaks>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5505DB-B145-4ACE-8553-E1FC1E0E6BCF}">
  <sheetPr codeName="Hoja220"/>
  <dimension ref="A1:M23"/>
  <sheetViews>
    <sheetView workbookViewId="0">
      <selection activeCell="A53" sqref="A53"/>
    </sheetView>
  </sheetViews>
  <sheetFormatPr baseColWidth="10" defaultRowHeight="13.2" x14ac:dyDescent="0.25"/>
  <cols>
    <col min="2" max="11" width="7.33203125" bestFit="1" customWidth="1"/>
  </cols>
  <sheetData>
    <row r="1" spans="1:13" s="141" customFormat="1" ht="10.199999999999999" x14ac:dyDescent="0.2">
      <c r="A1" s="691"/>
    </row>
    <row r="2" spans="1:13" s="141" customFormat="1" ht="34.5" customHeight="1" x14ac:dyDescent="0.2">
      <c r="A2" s="757" t="s">
        <v>2541</v>
      </c>
      <c r="B2" s="757"/>
      <c r="C2" s="757"/>
      <c r="D2" s="757"/>
      <c r="E2" s="757"/>
      <c r="F2" s="757"/>
      <c r="G2" s="757"/>
      <c r="H2" s="757"/>
      <c r="I2" s="757"/>
      <c r="J2" s="757"/>
      <c r="K2" s="757"/>
    </row>
    <row r="3" spans="1:13" s="141" customFormat="1" ht="10.199999999999999" x14ac:dyDescent="0.2">
      <c r="A3" s="711"/>
      <c r="B3" s="711"/>
      <c r="C3" s="711"/>
      <c r="D3" s="2"/>
      <c r="E3" s="2"/>
      <c r="F3" s="2"/>
      <c r="G3" s="2"/>
      <c r="H3" s="2"/>
      <c r="I3" s="2"/>
      <c r="J3" s="2"/>
    </row>
    <row r="4" spans="1:13" s="141" customFormat="1" ht="12.75" customHeight="1" x14ac:dyDescent="0.2">
      <c r="A4" s="653" t="s">
        <v>2672</v>
      </c>
      <c r="B4" s="716">
        <v>2009</v>
      </c>
      <c r="C4" s="716"/>
      <c r="D4" s="716">
        <v>2010</v>
      </c>
      <c r="E4" s="716"/>
      <c r="F4" s="768">
        <v>2011</v>
      </c>
      <c r="G4" s="852"/>
      <c r="H4" s="768">
        <v>2012</v>
      </c>
      <c r="I4" s="769"/>
      <c r="J4" s="716">
        <v>2013</v>
      </c>
      <c r="K4" s="716"/>
      <c r="M4" s="711"/>
    </row>
    <row r="5" spans="1:13" s="141" customFormat="1" ht="14.25" customHeight="1" x14ac:dyDescent="0.2">
      <c r="A5" s="654"/>
      <c r="B5" s="980" t="s">
        <v>2680</v>
      </c>
      <c r="C5" s="980" t="s">
        <v>1643</v>
      </c>
      <c r="D5" s="980" t="s">
        <v>2680</v>
      </c>
      <c r="E5" s="980" t="s">
        <v>1643</v>
      </c>
      <c r="F5" s="980" t="s">
        <v>2680</v>
      </c>
      <c r="G5" s="980" t="s">
        <v>1643</v>
      </c>
      <c r="H5" s="980" t="s">
        <v>2680</v>
      </c>
      <c r="I5" s="980" t="s">
        <v>1643</v>
      </c>
      <c r="J5" s="980" t="s">
        <v>2680</v>
      </c>
      <c r="K5" s="980" t="s">
        <v>1643</v>
      </c>
    </row>
    <row r="6" spans="1:13" s="141" customFormat="1" ht="10.199999999999999" x14ac:dyDescent="0.2">
      <c r="A6" s="1138" t="s">
        <v>3</v>
      </c>
      <c r="B6" s="1139">
        <f>SUM(B7:B18)</f>
        <v>4462</v>
      </c>
      <c r="C6" s="1153">
        <f>+B6/$B$6</f>
        <v>1</v>
      </c>
      <c r="D6" s="1139">
        <f>SUM(D7:D18)</f>
        <v>5107</v>
      </c>
      <c r="E6" s="1153">
        <f>+D6/$D$6</f>
        <v>1</v>
      </c>
      <c r="F6" s="1139">
        <f>SUM(F7:F18)</f>
        <v>5720</v>
      </c>
      <c r="G6" s="1153">
        <f t="shared" ref="G6:G18" si="0">+F6/$F$6</f>
        <v>1</v>
      </c>
      <c r="H6" s="1139">
        <f>SUM(H7:H18)</f>
        <v>6045</v>
      </c>
      <c r="I6" s="1153">
        <f t="shared" ref="I6:I18" si="1">+H6/$H$6</f>
        <v>1</v>
      </c>
      <c r="J6" s="1139">
        <f>SUM(J7:J18)</f>
        <v>5944</v>
      </c>
      <c r="K6" s="1153">
        <f t="shared" ref="K6:K18" si="2">+J6/$J$6</f>
        <v>1</v>
      </c>
    </row>
    <row r="7" spans="1:13" s="141" customFormat="1" ht="10.199999999999999" x14ac:dyDescent="0.2">
      <c r="A7" s="1032" t="s">
        <v>2221</v>
      </c>
      <c r="B7" s="1141">
        <v>366</v>
      </c>
      <c r="C7" s="1154">
        <f t="shared" ref="C7:C18" si="3">+B7/$B$6</f>
        <v>8.2025997310623044E-2</v>
      </c>
      <c r="D7" s="1141">
        <v>404</v>
      </c>
      <c r="E7" s="1154">
        <f t="shared" ref="E7:E18" si="4">+D7/$D$6</f>
        <v>7.9107107891129819E-2</v>
      </c>
      <c r="F7" s="1141">
        <v>415</v>
      </c>
      <c r="G7" s="1154">
        <f t="shared" si="0"/>
        <v>7.2552447552447552E-2</v>
      </c>
      <c r="H7" s="1141">
        <v>420</v>
      </c>
      <c r="I7" s="1154">
        <f t="shared" si="1"/>
        <v>6.9478908188585611E-2</v>
      </c>
      <c r="J7" s="665">
        <v>441</v>
      </c>
      <c r="K7" s="1154">
        <f t="shared" si="2"/>
        <v>7.419246298788694E-2</v>
      </c>
    </row>
    <row r="8" spans="1:13" s="141" customFormat="1" ht="10.199999999999999" x14ac:dyDescent="0.2">
      <c r="A8" s="1032" t="s">
        <v>2222</v>
      </c>
      <c r="B8" s="1141">
        <v>236</v>
      </c>
      <c r="C8" s="1154">
        <f t="shared" si="3"/>
        <v>5.2891080233079334E-2</v>
      </c>
      <c r="D8" s="1141">
        <v>274</v>
      </c>
      <c r="E8" s="1154">
        <f t="shared" si="4"/>
        <v>5.365185040140983E-2</v>
      </c>
      <c r="F8" s="1141">
        <v>269</v>
      </c>
      <c r="G8" s="1154">
        <f t="shared" si="0"/>
        <v>4.7027972027972029E-2</v>
      </c>
      <c r="H8" s="1141">
        <v>473</v>
      </c>
      <c r="I8" s="1154">
        <f t="shared" si="1"/>
        <v>7.8246484698097599E-2</v>
      </c>
      <c r="J8" s="665">
        <v>261</v>
      </c>
      <c r="K8" s="1154">
        <f t="shared" si="2"/>
        <v>4.3909825033647376E-2</v>
      </c>
    </row>
    <row r="9" spans="1:13" s="141" customFormat="1" ht="10.199999999999999" x14ac:dyDescent="0.2">
      <c r="A9" s="1032" t="s">
        <v>2223</v>
      </c>
      <c r="B9" s="1141">
        <v>299</v>
      </c>
      <c r="C9" s="1154">
        <f t="shared" si="3"/>
        <v>6.7010309278350513E-2</v>
      </c>
      <c r="D9" s="1141">
        <v>298</v>
      </c>
      <c r="E9" s="1154">
        <f t="shared" si="4"/>
        <v>5.8351282553358134E-2</v>
      </c>
      <c r="F9" s="1141">
        <v>465</v>
      </c>
      <c r="G9" s="1154">
        <f t="shared" si="0"/>
        <v>8.1293706293706289E-2</v>
      </c>
      <c r="H9" s="1141">
        <v>438</v>
      </c>
      <c r="I9" s="1154">
        <f t="shared" si="1"/>
        <v>7.2456575682382132E-2</v>
      </c>
      <c r="J9" s="665">
        <v>420</v>
      </c>
      <c r="K9" s="1154">
        <f t="shared" si="2"/>
        <v>7.0659488559892333E-2</v>
      </c>
    </row>
    <row r="10" spans="1:13" s="141" customFormat="1" ht="10.199999999999999" x14ac:dyDescent="0.2">
      <c r="A10" s="1032" t="s">
        <v>2224</v>
      </c>
      <c r="B10" s="1141">
        <v>325</v>
      </c>
      <c r="C10" s="1154">
        <f t="shared" si="3"/>
        <v>7.283729269385926E-2</v>
      </c>
      <c r="D10" s="1141">
        <v>391</v>
      </c>
      <c r="E10" s="1154">
        <f t="shared" si="4"/>
        <v>7.6561582142157816E-2</v>
      </c>
      <c r="F10" s="1141">
        <v>427</v>
      </c>
      <c r="G10" s="1154">
        <f t="shared" si="0"/>
        <v>7.4650349650349654E-2</v>
      </c>
      <c r="H10" s="1141">
        <v>399</v>
      </c>
      <c r="I10" s="1154">
        <f t="shared" si="1"/>
        <v>6.6004962779156323E-2</v>
      </c>
      <c r="J10" s="665">
        <v>463</v>
      </c>
      <c r="K10" s="1154">
        <f t="shared" si="2"/>
        <v>7.7893674293405116E-2</v>
      </c>
    </row>
    <row r="11" spans="1:13" s="141" customFormat="1" ht="10.199999999999999" x14ac:dyDescent="0.2">
      <c r="A11" s="1032" t="s">
        <v>2225</v>
      </c>
      <c r="B11" s="1141">
        <v>328</v>
      </c>
      <c r="C11" s="1154">
        <f t="shared" si="3"/>
        <v>7.3509636934110265E-2</v>
      </c>
      <c r="D11" s="1141">
        <v>366</v>
      </c>
      <c r="E11" s="1154">
        <f t="shared" si="4"/>
        <v>7.1666340317211669E-2</v>
      </c>
      <c r="F11" s="1141">
        <v>512</v>
      </c>
      <c r="G11" s="1154">
        <f t="shared" si="0"/>
        <v>8.951048951048951E-2</v>
      </c>
      <c r="H11" s="1141">
        <v>504</v>
      </c>
      <c r="I11" s="1154">
        <f t="shared" si="1"/>
        <v>8.3374689826302736E-2</v>
      </c>
      <c r="J11" s="665">
        <v>445</v>
      </c>
      <c r="K11" s="1154">
        <f t="shared" si="2"/>
        <v>7.4865410497981164E-2</v>
      </c>
    </row>
    <row r="12" spans="1:13" s="141" customFormat="1" ht="10.199999999999999" x14ac:dyDescent="0.2">
      <c r="A12" s="1032" t="s">
        <v>2226</v>
      </c>
      <c r="B12" s="1141">
        <v>304</v>
      </c>
      <c r="C12" s="1154">
        <f t="shared" si="3"/>
        <v>6.8130883012102197E-2</v>
      </c>
      <c r="D12" s="1141">
        <v>355</v>
      </c>
      <c r="E12" s="1154">
        <f t="shared" si="4"/>
        <v>6.9512433914235366E-2</v>
      </c>
      <c r="F12" s="1141">
        <v>488</v>
      </c>
      <c r="G12" s="1154">
        <f t="shared" si="0"/>
        <v>8.5314685314685321E-2</v>
      </c>
      <c r="H12" s="1141">
        <v>955</v>
      </c>
      <c r="I12" s="1154">
        <f t="shared" si="1"/>
        <v>0.15798180314309346</v>
      </c>
      <c r="J12" s="665">
        <v>532</v>
      </c>
      <c r="K12" s="1154">
        <f t="shared" si="2"/>
        <v>8.9502018842530284E-2</v>
      </c>
    </row>
    <row r="13" spans="1:13" s="141" customFormat="1" ht="10.199999999999999" x14ac:dyDescent="0.2">
      <c r="A13" s="1032" t="s">
        <v>2227</v>
      </c>
      <c r="B13" s="1141">
        <v>311</v>
      </c>
      <c r="C13" s="1154">
        <f t="shared" si="3"/>
        <v>6.9699686239354547E-2</v>
      </c>
      <c r="D13" s="1141">
        <v>497</v>
      </c>
      <c r="E13" s="1154">
        <f t="shared" si="4"/>
        <v>9.7317407479929507E-2</v>
      </c>
      <c r="F13" s="1141">
        <v>447</v>
      </c>
      <c r="G13" s="1154">
        <f t="shared" si="0"/>
        <v>7.8146853146853143E-2</v>
      </c>
      <c r="H13" s="1141">
        <v>420</v>
      </c>
      <c r="I13" s="1154">
        <f t="shared" si="1"/>
        <v>6.9478908188585611E-2</v>
      </c>
      <c r="J13" s="665">
        <v>563</v>
      </c>
      <c r="K13" s="1154">
        <f t="shared" si="2"/>
        <v>9.4717362045760436E-2</v>
      </c>
    </row>
    <row r="14" spans="1:13" s="141" customFormat="1" ht="10.199999999999999" x14ac:dyDescent="0.2">
      <c r="A14" s="1032" t="s">
        <v>2228</v>
      </c>
      <c r="B14" s="1141">
        <v>366</v>
      </c>
      <c r="C14" s="1154">
        <f t="shared" si="3"/>
        <v>8.2025997310623044E-2</v>
      </c>
      <c r="D14" s="1141">
        <v>504</v>
      </c>
      <c r="E14" s="1154">
        <f t="shared" si="4"/>
        <v>9.8688075190914437E-2</v>
      </c>
      <c r="F14" s="1141">
        <v>618</v>
      </c>
      <c r="G14" s="1154">
        <f t="shared" si="0"/>
        <v>0.10804195804195804</v>
      </c>
      <c r="H14" s="1141">
        <v>489</v>
      </c>
      <c r="I14" s="1154">
        <f t="shared" si="1"/>
        <v>8.0893300248138955E-2</v>
      </c>
      <c r="J14" s="665">
        <v>483</v>
      </c>
      <c r="K14" s="1154">
        <f t="shared" si="2"/>
        <v>8.125841184387618E-2</v>
      </c>
    </row>
    <row r="15" spans="1:13" s="141" customFormat="1" ht="10.199999999999999" x14ac:dyDescent="0.2">
      <c r="A15" s="1032" t="s">
        <v>2229</v>
      </c>
      <c r="B15" s="1141">
        <v>465</v>
      </c>
      <c r="C15" s="1154">
        <f t="shared" si="3"/>
        <v>0.10421335723890632</v>
      </c>
      <c r="D15" s="1141">
        <v>475</v>
      </c>
      <c r="E15" s="1154">
        <f t="shared" si="4"/>
        <v>9.3009594673976889E-2</v>
      </c>
      <c r="F15" s="1141">
        <v>589</v>
      </c>
      <c r="G15" s="1154">
        <f t="shared" si="0"/>
        <v>0.10297202797202797</v>
      </c>
      <c r="H15" s="1141">
        <v>371</v>
      </c>
      <c r="I15" s="1154">
        <f t="shared" si="1"/>
        <v>6.1373035566583953E-2</v>
      </c>
      <c r="J15" s="665">
        <v>558</v>
      </c>
      <c r="K15" s="1154">
        <f t="shared" si="2"/>
        <v>9.387617765814267E-2</v>
      </c>
    </row>
    <row r="16" spans="1:13" s="141" customFormat="1" ht="10.199999999999999" x14ac:dyDescent="0.2">
      <c r="A16" s="1032" t="s">
        <v>2230</v>
      </c>
      <c r="B16" s="1141">
        <v>464</v>
      </c>
      <c r="C16" s="1154">
        <f t="shared" si="3"/>
        <v>0.10398924249215598</v>
      </c>
      <c r="D16" s="1141">
        <v>554</v>
      </c>
      <c r="E16" s="1154">
        <f t="shared" si="4"/>
        <v>0.10847855884080673</v>
      </c>
      <c r="F16" s="1141">
        <v>563</v>
      </c>
      <c r="G16" s="1154">
        <f t="shared" si="0"/>
        <v>9.8426573426573433E-2</v>
      </c>
      <c r="H16" s="1141">
        <v>609</v>
      </c>
      <c r="I16" s="1154">
        <f t="shared" si="1"/>
        <v>0.10074441687344914</v>
      </c>
      <c r="J16" s="665">
        <v>608</v>
      </c>
      <c r="K16" s="1154">
        <f t="shared" si="2"/>
        <v>0.10228802153432032</v>
      </c>
    </row>
    <row r="17" spans="1:11" s="141" customFormat="1" ht="10.199999999999999" x14ac:dyDescent="0.2">
      <c r="A17" s="1032" t="s">
        <v>2231</v>
      </c>
      <c r="B17" s="1141">
        <v>531</v>
      </c>
      <c r="C17" s="1154">
        <f t="shared" si="3"/>
        <v>0.11900493052442851</v>
      </c>
      <c r="D17" s="1141">
        <v>554</v>
      </c>
      <c r="E17" s="1154">
        <f t="shared" si="4"/>
        <v>0.10847855884080673</v>
      </c>
      <c r="F17" s="1141">
        <v>492</v>
      </c>
      <c r="G17" s="1154">
        <f t="shared" si="0"/>
        <v>8.6013986013986007E-2</v>
      </c>
      <c r="H17" s="1141">
        <v>502</v>
      </c>
      <c r="I17" s="1154">
        <f t="shared" si="1"/>
        <v>8.3043837882547558E-2</v>
      </c>
      <c r="J17" s="665">
        <v>590</v>
      </c>
      <c r="K17" s="1154">
        <f t="shared" si="2"/>
        <v>9.9259757738896365E-2</v>
      </c>
    </row>
    <row r="18" spans="1:11" s="141" customFormat="1" ht="10.199999999999999" x14ac:dyDescent="0.2">
      <c r="A18" s="1032" t="s">
        <v>2232</v>
      </c>
      <c r="B18" s="1141">
        <v>467</v>
      </c>
      <c r="C18" s="1154">
        <f t="shared" si="3"/>
        <v>0.104661586732407</v>
      </c>
      <c r="D18" s="1141">
        <v>435</v>
      </c>
      <c r="E18" s="1154">
        <f t="shared" si="4"/>
        <v>8.5177207754063053E-2</v>
      </c>
      <c r="F18" s="1141">
        <v>435</v>
      </c>
      <c r="G18" s="1154">
        <f t="shared" si="0"/>
        <v>7.6048951048951055E-2</v>
      </c>
      <c r="H18" s="1141">
        <v>465</v>
      </c>
      <c r="I18" s="1154">
        <f t="shared" si="1"/>
        <v>7.6923076923076927E-2</v>
      </c>
      <c r="J18" s="665">
        <v>580</v>
      </c>
      <c r="K18" s="1154">
        <f t="shared" si="2"/>
        <v>9.7577388963660833E-2</v>
      </c>
    </row>
    <row r="19" spans="1:11" s="141" customFormat="1" ht="10.199999999999999" x14ac:dyDescent="0.2">
      <c r="A19" s="1032"/>
      <c r="B19" s="1141"/>
      <c r="C19" s="1155"/>
      <c r="D19" s="1141"/>
      <c r="E19" s="1155"/>
      <c r="F19" s="1141"/>
      <c r="G19" s="1155"/>
      <c r="H19" s="1141"/>
      <c r="I19" s="1155"/>
      <c r="J19" s="665"/>
      <c r="K19" s="1155"/>
    </row>
    <row r="20" spans="1:11" s="141" customFormat="1" ht="10.199999999999999" x14ac:dyDescent="0.2">
      <c r="A20" s="745" t="s">
        <v>2681</v>
      </c>
      <c r="B20" s="745"/>
      <c r="C20" s="745"/>
      <c r="D20" s="745"/>
      <c r="E20" s="745"/>
      <c r="F20" s="745"/>
      <c r="G20" s="745"/>
      <c r="H20" s="745"/>
      <c r="I20" s="745"/>
      <c r="J20" s="745"/>
      <c r="K20" s="745"/>
    </row>
    <row r="21" spans="1:11" s="141" customFormat="1" ht="10.199999999999999" x14ac:dyDescent="0.2"/>
    <row r="22" spans="1:11" s="141" customFormat="1" ht="10.199999999999999" x14ac:dyDescent="0.2">
      <c r="H22" s="1096"/>
      <c r="J22" s="1096"/>
    </row>
    <row r="23" spans="1:11" s="141" customFormat="1" ht="10.199999999999999" x14ac:dyDescent="0.2"/>
  </sheetData>
  <mergeCells count="8">
    <mergeCell ref="A20:K20"/>
    <mergeCell ref="A2:K2"/>
    <mergeCell ref="A4:A5"/>
    <mergeCell ref="B4:C4"/>
    <mergeCell ref="D4:E4"/>
    <mergeCell ref="F4:G4"/>
    <mergeCell ref="H4:I4"/>
    <mergeCell ref="J4:K4"/>
  </mergeCells>
  <pageMargins left="0.7" right="0.7" top="0.75" bottom="0.75" header="0.3" footer="0.3"/>
  <pageSetup paperSize="14" orientation="landscape" r:id="rId1"/>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6EE52-10C6-4081-921D-ABC9D19F16AD}">
  <sheetPr codeName="Hoja221"/>
  <dimension ref="A1:N55"/>
  <sheetViews>
    <sheetView topLeftCell="A22" zoomScaleNormal="100" workbookViewId="0">
      <selection activeCell="A53" sqref="A53"/>
    </sheetView>
  </sheetViews>
  <sheetFormatPr baseColWidth="10" defaultColWidth="11.44140625" defaultRowHeight="10.199999999999999" x14ac:dyDescent="0.2"/>
  <cols>
    <col min="1" max="1" width="37.33203125" style="62" customWidth="1"/>
    <col min="2" max="2" width="9.6640625" style="589" customWidth="1"/>
    <col min="3" max="3" width="37.33203125" style="62" customWidth="1"/>
    <col min="4" max="4" width="9.6640625" style="589" customWidth="1"/>
    <col min="5" max="5" width="37.33203125" style="62" customWidth="1"/>
    <col min="6" max="6" width="9.6640625" style="589" customWidth="1"/>
    <col min="7" max="7" width="37.33203125" style="62" customWidth="1"/>
    <col min="8" max="8" width="9.6640625" style="94" customWidth="1"/>
    <col min="9" max="9" width="37.33203125" style="94" customWidth="1"/>
    <col min="10" max="10" width="9.6640625" style="94" customWidth="1"/>
    <col min="11" max="11" width="11.44140625" style="94"/>
    <col min="12" max="14" width="11.44140625" style="62"/>
    <col min="15" max="16384" width="11.44140625" style="94"/>
  </cols>
  <sheetData>
    <row r="1" spans="1:14" ht="13.2" x14ac:dyDescent="0.2">
      <c r="A1" s="1012"/>
    </row>
    <row r="2" spans="1:14" ht="12" x14ac:dyDescent="0.2">
      <c r="A2" s="24" t="s">
        <v>2761</v>
      </c>
      <c r="F2" s="63"/>
      <c r="G2" s="63"/>
      <c r="H2" s="63"/>
      <c r="I2" s="63"/>
      <c r="J2" s="63"/>
    </row>
    <row r="4" spans="1:14" s="206" customFormat="1" ht="14.25" customHeight="1" x14ac:dyDescent="0.25">
      <c r="A4" s="96">
        <v>2009</v>
      </c>
      <c r="B4" s="96"/>
      <c r="C4" s="96">
        <v>2010</v>
      </c>
      <c r="D4" s="96"/>
      <c r="E4" s="96">
        <v>2011</v>
      </c>
      <c r="F4" s="96"/>
      <c r="G4" s="96">
        <v>2012</v>
      </c>
      <c r="H4" s="96"/>
      <c r="I4" s="96">
        <v>2013</v>
      </c>
      <c r="J4" s="96"/>
      <c r="L4" s="70"/>
      <c r="M4" s="70"/>
    </row>
    <row r="5" spans="1:14" ht="14.25" customHeight="1" x14ac:dyDescent="0.2">
      <c r="A5" s="1156" t="s">
        <v>2762</v>
      </c>
      <c r="B5" s="1157" t="s">
        <v>2763</v>
      </c>
      <c r="C5" s="1156" t="s">
        <v>2762</v>
      </c>
      <c r="D5" s="1157" t="s">
        <v>2763</v>
      </c>
      <c r="E5" s="1156" t="s">
        <v>2762</v>
      </c>
      <c r="F5" s="1157" t="s">
        <v>2763</v>
      </c>
      <c r="G5" s="1158" t="s">
        <v>2762</v>
      </c>
      <c r="H5" s="1159" t="s">
        <v>2763</v>
      </c>
      <c r="I5" s="1158" t="s">
        <v>2762</v>
      </c>
      <c r="J5" s="1159" t="s">
        <v>2763</v>
      </c>
      <c r="N5" s="94"/>
    </row>
    <row r="6" spans="1:14" s="97" customFormat="1" x14ac:dyDescent="0.2">
      <c r="A6" s="97" t="s">
        <v>3</v>
      </c>
      <c r="B6" s="1160">
        <f>SUM(B7:B47)</f>
        <v>435</v>
      </c>
      <c r="C6" s="97" t="s">
        <v>3</v>
      </c>
      <c r="D6" s="1160">
        <f>SUM(D7:D48)</f>
        <v>466</v>
      </c>
      <c r="E6" s="97" t="s">
        <v>3</v>
      </c>
      <c r="F6" s="1160">
        <f>SUM(F7:F52)</f>
        <v>402</v>
      </c>
      <c r="G6" s="97" t="s">
        <v>3</v>
      </c>
      <c r="H6" s="101">
        <f>SUM(H7:H46)</f>
        <v>506</v>
      </c>
      <c r="I6" s="97" t="s">
        <v>3</v>
      </c>
      <c r="J6" s="101">
        <f>SUM(J7:J52)</f>
        <v>609</v>
      </c>
      <c r="L6" s="63"/>
      <c r="M6" s="63"/>
    </row>
    <row r="7" spans="1:14" x14ac:dyDescent="0.2">
      <c r="A7" s="94" t="s">
        <v>2764</v>
      </c>
      <c r="B7" s="95">
        <v>65</v>
      </c>
      <c r="C7" s="94" t="s">
        <v>2765</v>
      </c>
      <c r="D7" s="95">
        <v>80</v>
      </c>
      <c r="E7" s="94" t="s">
        <v>2765</v>
      </c>
      <c r="F7" s="95">
        <v>51</v>
      </c>
      <c r="G7" s="62" t="s">
        <v>2765</v>
      </c>
      <c r="H7" s="589">
        <v>95</v>
      </c>
      <c r="I7" s="62" t="s">
        <v>2766</v>
      </c>
      <c r="J7" s="589">
        <v>94</v>
      </c>
      <c r="N7" s="94"/>
    </row>
    <row r="8" spans="1:14" x14ac:dyDescent="0.2">
      <c r="A8" s="94" t="s">
        <v>2767</v>
      </c>
      <c r="B8" s="95">
        <v>63</v>
      </c>
      <c r="C8" s="94" t="s">
        <v>2767</v>
      </c>
      <c r="D8" s="95">
        <v>52</v>
      </c>
      <c r="E8" s="94" t="s">
        <v>2767</v>
      </c>
      <c r="F8" s="95">
        <v>38</v>
      </c>
      <c r="G8" s="62" t="s">
        <v>2768</v>
      </c>
      <c r="H8" s="589">
        <v>44</v>
      </c>
      <c r="I8" s="62" t="s">
        <v>2769</v>
      </c>
      <c r="J8" s="589">
        <v>64</v>
      </c>
      <c r="N8" s="94"/>
    </row>
    <row r="9" spans="1:14" x14ac:dyDescent="0.2">
      <c r="A9" s="94" t="s">
        <v>2768</v>
      </c>
      <c r="B9" s="95">
        <v>28</v>
      </c>
      <c r="C9" s="94" t="s">
        <v>2770</v>
      </c>
      <c r="D9" s="95">
        <v>36</v>
      </c>
      <c r="E9" s="94" t="s">
        <v>2768</v>
      </c>
      <c r="F9" s="95">
        <v>35</v>
      </c>
      <c r="G9" s="62" t="s">
        <v>2767</v>
      </c>
      <c r="H9" s="589">
        <v>37</v>
      </c>
      <c r="I9" s="62" t="s">
        <v>2768</v>
      </c>
      <c r="J9" s="589">
        <v>60</v>
      </c>
      <c r="N9" s="94"/>
    </row>
    <row r="10" spans="1:14" ht="20.399999999999999" x14ac:dyDescent="0.2">
      <c r="A10" s="94" t="s">
        <v>2771</v>
      </c>
      <c r="B10" s="95">
        <v>21</v>
      </c>
      <c r="C10" s="94" t="s">
        <v>2768</v>
      </c>
      <c r="D10" s="95">
        <v>35</v>
      </c>
      <c r="E10" s="94" t="s">
        <v>2772</v>
      </c>
      <c r="F10" s="95">
        <v>24</v>
      </c>
      <c r="G10" s="94" t="s">
        <v>2772</v>
      </c>
      <c r="H10" s="589">
        <v>36</v>
      </c>
      <c r="I10" s="62" t="s">
        <v>2767</v>
      </c>
      <c r="J10" s="589">
        <v>46</v>
      </c>
      <c r="N10" s="94"/>
    </row>
    <row r="11" spans="1:14" x14ac:dyDescent="0.2">
      <c r="A11" s="94" t="s">
        <v>2773</v>
      </c>
      <c r="B11" s="95">
        <v>19</v>
      </c>
      <c r="C11" s="94" t="s">
        <v>2773</v>
      </c>
      <c r="D11" s="95">
        <v>25</v>
      </c>
      <c r="E11" s="94" t="s">
        <v>2774</v>
      </c>
      <c r="F11" s="95">
        <v>19</v>
      </c>
      <c r="G11" s="62" t="s">
        <v>2775</v>
      </c>
      <c r="H11" s="589">
        <v>25</v>
      </c>
      <c r="I11" s="62" t="s">
        <v>2772</v>
      </c>
      <c r="J11" s="589">
        <v>44</v>
      </c>
      <c r="N11" s="94"/>
    </row>
    <row r="12" spans="1:14" x14ac:dyDescent="0.2">
      <c r="A12" s="94" t="s">
        <v>2776</v>
      </c>
      <c r="B12" s="95">
        <v>19</v>
      </c>
      <c r="C12" s="94" t="s">
        <v>2776</v>
      </c>
      <c r="D12" s="95">
        <v>24</v>
      </c>
      <c r="E12" s="94" t="s">
        <v>2776</v>
      </c>
      <c r="F12" s="95">
        <v>18</v>
      </c>
      <c r="G12" s="62" t="s">
        <v>2766</v>
      </c>
      <c r="H12" s="589">
        <v>21</v>
      </c>
      <c r="I12" s="62" t="s">
        <v>2777</v>
      </c>
      <c r="J12" s="589">
        <v>42</v>
      </c>
      <c r="N12" s="94"/>
    </row>
    <row r="13" spans="1:14" x14ac:dyDescent="0.2">
      <c r="A13" s="94" t="s">
        <v>2778</v>
      </c>
      <c r="B13" s="95">
        <v>16</v>
      </c>
      <c r="C13" s="92" t="s">
        <v>2779</v>
      </c>
      <c r="D13" s="95">
        <v>15</v>
      </c>
      <c r="E13" s="94" t="s">
        <v>2766</v>
      </c>
      <c r="F13" s="95">
        <v>18</v>
      </c>
      <c r="G13" s="2" t="s">
        <v>2780</v>
      </c>
      <c r="H13" s="665">
        <v>20</v>
      </c>
      <c r="I13" s="62" t="s">
        <v>2781</v>
      </c>
      <c r="J13" s="589">
        <v>20</v>
      </c>
      <c r="N13" s="94"/>
    </row>
    <row r="14" spans="1:14" x14ac:dyDescent="0.2">
      <c r="A14" s="94" t="s">
        <v>2766</v>
      </c>
      <c r="B14" s="95">
        <v>15</v>
      </c>
      <c r="C14" s="92" t="s">
        <v>2775</v>
      </c>
      <c r="D14" s="95">
        <v>15</v>
      </c>
      <c r="E14" s="92" t="s">
        <v>2782</v>
      </c>
      <c r="F14" s="95">
        <v>13</v>
      </c>
      <c r="G14" s="62" t="s">
        <v>2783</v>
      </c>
      <c r="H14" s="589">
        <v>19</v>
      </c>
      <c r="I14" s="62" t="s">
        <v>2775</v>
      </c>
      <c r="J14" s="589">
        <v>19</v>
      </c>
      <c r="N14" s="94"/>
    </row>
    <row r="15" spans="1:14" x14ac:dyDescent="0.2">
      <c r="A15" s="94" t="s">
        <v>2780</v>
      </c>
      <c r="B15" s="95">
        <v>12</v>
      </c>
      <c r="C15" s="92" t="s">
        <v>2784</v>
      </c>
      <c r="D15" s="95">
        <v>15</v>
      </c>
      <c r="E15" s="92" t="s">
        <v>2781</v>
      </c>
      <c r="F15" s="95">
        <v>13</v>
      </c>
      <c r="G15" s="62" t="s">
        <v>2776</v>
      </c>
      <c r="H15" s="589">
        <v>18</v>
      </c>
      <c r="I15" s="62" t="s">
        <v>2785</v>
      </c>
      <c r="J15" s="589">
        <v>17</v>
      </c>
      <c r="N15" s="94"/>
    </row>
    <row r="16" spans="1:14" x14ac:dyDescent="0.2">
      <c r="A16" s="92" t="s">
        <v>2775</v>
      </c>
      <c r="B16" s="95">
        <v>12</v>
      </c>
      <c r="C16" s="92" t="s">
        <v>2780</v>
      </c>
      <c r="D16" s="95">
        <v>13</v>
      </c>
      <c r="E16" s="94" t="s">
        <v>2775</v>
      </c>
      <c r="F16" s="95">
        <v>12</v>
      </c>
      <c r="G16" s="94" t="s">
        <v>2786</v>
      </c>
      <c r="H16" s="589">
        <v>14</v>
      </c>
      <c r="I16" s="62" t="s">
        <v>2780</v>
      </c>
      <c r="J16" s="589">
        <v>16</v>
      </c>
      <c r="N16" s="94"/>
    </row>
    <row r="17" spans="1:14" x14ac:dyDescent="0.2">
      <c r="A17" s="94" t="s">
        <v>2787</v>
      </c>
      <c r="B17" s="95">
        <v>11</v>
      </c>
      <c r="C17" s="92" t="s">
        <v>2788</v>
      </c>
      <c r="D17" s="95">
        <v>13</v>
      </c>
      <c r="E17" s="94" t="s">
        <v>2780</v>
      </c>
      <c r="F17" s="95">
        <v>11</v>
      </c>
      <c r="G17" s="62" t="s">
        <v>2789</v>
      </c>
      <c r="H17" s="589">
        <v>13</v>
      </c>
      <c r="I17" s="62" t="s">
        <v>2790</v>
      </c>
      <c r="J17" s="589">
        <v>15</v>
      </c>
      <c r="N17" s="94"/>
    </row>
    <row r="18" spans="1:14" x14ac:dyDescent="0.2">
      <c r="A18" s="94" t="s">
        <v>2782</v>
      </c>
      <c r="B18" s="95">
        <v>11</v>
      </c>
      <c r="C18" s="94" t="s">
        <v>2791</v>
      </c>
      <c r="D18" s="95">
        <v>12</v>
      </c>
      <c r="E18" s="94" t="s">
        <v>2792</v>
      </c>
      <c r="F18" s="95">
        <v>10</v>
      </c>
      <c r="G18" s="94" t="s">
        <v>2779</v>
      </c>
      <c r="H18" s="589">
        <v>12</v>
      </c>
      <c r="I18" s="94" t="s">
        <v>2793</v>
      </c>
      <c r="J18" s="589">
        <v>15</v>
      </c>
      <c r="N18" s="94"/>
    </row>
    <row r="19" spans="1:14" x14ac:dyDescent="0.2">
      <c r="A19" s="94" t="s">
        <v>2794</v>
      </c>
      <c r="B19" s="95">
        <v>10</v>
      </c>
      <c r="C19" s="94" t="s">
        <v>2795</v>
      </c>
      <c r="D19" s="95">
        <v>11</v>
      </c>
      <c r="E19" s="92" t="s">
        <v>2770</v>
      </c>
      <c r="F19" s="95">
        <v>10</v>
      </c>
      <c r="G19" s="92" t="s">
        <v>2781</v>
      </c>
      <c r="H19" s="95">
        <v>12</v>
      </c>
      <c r="I19" s="62" t="s">
        <v>2786</v>
      </c>
      <c r="J19" s="589">
        <v>13</v>
      </c>
      <c r="N19" s="94"/>
    </row>
    <row r="20" spans="1:14" x14ac:dyDescent="0.2">
      <c r="A20" s="94" t="s">
        <v>2796</v>
      </c>
      <c r="B20" s="95">
        <v>10</v>
      </c>
      <c r="C20" s="92" t="s">
        <v>2766</v>
      </c>
      <c r="D20" s="95">
        <v>10</v>
      </c>
      <c r="E20" s="92" t="s">
        <v>2779</v>
      </c>
      <c r="F20" s="95">
        <v>9</v>
      </c>
      <c r="G20" s="92" t="s">
        <v>2795</v>
      </c>
      <c r="H20" s="95">
        <v>11</v>
      </c>
      <c r="I20" s="62" t="s">
        <v>2797</v>
      </c>
      <c r="J20" s="589">
        <v>12</v>
      </c>
      <c r="N20" s="94"/>
    </row>
    <row r="21" spans="1:14" x14ac:dyDescent="0.2">
      <c r="A21" s="94" t="s">
        <v>2770</v>
      </c>
      <c r="B21" s="95">
        <v>9</v>
      </c>
      <c r="C21" s="92" t="s">
        <v>2798</v>
      </c>
      <c r="D21" s="95">
        <v>10</v>
      </c>
      <c r="E21" s="92" t="s">
        <v>2784</v>
      </c>
      <c r="F21" s="95">
        <v>9</v>
      </c>
      <c r="G21" s="92" t="s">
        <v>2793</v>
      </c>
      <c r="H21" s="95">
        <v>11</v>
      </c>
      <c r="I21" s="62" t="s">
        <v>2783</v>
      </c>
      <c r="J21" s="589">
        <v>11</v>
      </c>
      <c r="N21" s="94"/>
    </row>
    <row r="22" spans="1:14" x14ac:dyDescent="0.2">
      <c r="A22" s="94" t="s">
        <v>2779</v>
      </c>
      <c r="B22" s="95">
        <v>9</v>
      </c>
      <c r="C22" s="92" t="s">
        <v>2799</v>
      </c>
      <c r="D22" s="95">
        <v>10</v>
      </c>
      <c r="E22" s="92" t="s">
        <v>2797</v>
      </c>
      <c r="F22" s="95">
        <v>9</v>
      </c>
      <c r="G22" s="92" t="s">
        <v>2774</v>
      </c>
      <c r="H22" s="95">
        <v>10</v>
      </c>
      <c r="I22" s="94" t="s">
        <v>2800</v>
      </c>
      <c r="J22" s="589">
        <v>9</v>
      </c>
      <c r="N22" s="94"/>
    </row>
    <row r="23" spans="1:14" ht="20.399999999999999" x14ac:dyDescent="0.2">
      <c r="A23" s="94" t="s">
        <v>2801</v>
      </c>
      <c r="B23" s="95">
        <v>9</v>
      </c>
      <c r="C23" s="92" t="s">
        <v>2802</v>
      </c>
      <c r="D23" s="95">
        <v>7</v>
      </c>
      <c r="E23" s="94" t="s">
        <v>2803</v>
      </c>
      <c r="F23" s="95">
        <v>8</v>
      </c>
      <c r="G23" s="92" t="s">
        <v>2804</v>
      </c>
      <c r="H23" s="95">
        <v>10</v>
      </c>
      <c r="I23" s="62" t="s">
        <v>2779</v>
      </c>
      <c r="J23" s="589">
        <v>9</v>
      </c>
      <c r="N23" s="94"/>
    </row>
    <row r="24" spans="1:14" x14ac:dyDescent="0.2">
      <c r="A24" s="94" t="s">
        <v>2793</v>
      </c>
      <c r="B24" s="95">
        <v>9</v>
      </c>
      <c r="C24" s="92" t="s">
        <v>2805</v>
      </c>
      <c r="D24" s="95">
        <v>7</v>
      </c>
      <c r="E24" s="92" t="s">
        <v>2806</v>
      </c>
      <c r="F24" s="95">
        <v>7</v>
      </c>
      <c r="G24" s="92" t="s">
        <v>2797</v>
      </c>
      <c r="H24" s="95">
        <v>9</v>
      </c>
      <c r="I24" s="94" t="s">
        <v>2807</v>
      </c>
      <c r="J24" s="589">
        <v>9</v>
      </c>
      <c r="N24" s="94"/>
    </row>
    <row r="25" spans="1:14" x14ac:dyDescent="0.2">
      <c r="A25" s="94" t="s">
        <v>2800</v>
      </c>
      <c r="B25" s="95">
        <v>8</v>
      </c>
      <c r="C25" s="92" t="s">
        <v>2792</v>
      </c>
      <c r="D25" s="95">
        <v>6</v>
      </c>
      <c r="E25" s="92" t="s">
        <v>2793</v>
      </c>
      <c r="F25" s="95">
        <v>7</v>
      </c>
      <c r="G25" s="92" t="s">
        <v>2808</v>
      </c>
      <c r="H25" s="95">
        <v>9</v>
      </c>
      <c r="I25" s="62" t="s">
        <v>2809</v>
      </c>
      <c r="J25" s="589">
        <v>8</v>
      </c>
      <c r="N25" s="94"/>
    </row>
    <row r="26" spans="1:14" x14ac:dyDescent="0.2">
      <c r="A26" s="94" t="s">
        <v>2810</v>
      </c>
      <c r="B26" s="95">
        <v>8</v>
      </c>
      <c r="C26" s="92" t="s">
        <v>2774</v>
      </c>
      <c r="D26" s="95">
        <v>6</v>
      </c>
      <c r="E26" s="92" t="s">
        <v>2796</v>
      </c>
      <c r="F26" s="95">
        <v>6</v>
      </c>
      <c r="G26" s="92" t="s">
        <v>2811</v>
      </c>
      <c r="H26" s="95">
        <v>9</v>
      </c>
      <c r="I26" s="94" t="s">
        <v>2812</v>
      </c>
      <c r="J26" s="589">
        <v>7</v>
      </c>
      <c r="N26" s="94"/>
    </row>
    <row r="27" spans="1:14" x14ac:dyDescent="0.2">
      <c r="A27" s="94" t="s">
        <v>2784</v>
      </c>
      <c r="B27" s="95">
        <v>7</v>
      </c>
      <c r="C27" s="92" t="s">
        <v>2800</v>
      </c>
      <c r="D27" s="95">
        <v>6</v>
      </c>
      <c r="E27" s="92" t="s">
        <v>2800</v>
      </c>
      <c r="F27" s="95">
        <v>6</v>
      </c>
      <c r="G27" s="92" t="s">
        <v>2802</v>
      </c>
      <c r="H27" s="95">
        <v>7</v>
      </c>
      <c r="I27" s="62" t="s">
        <v>2808</v>
      </c>
      <c r="J27" s="589">
        <v>7</v>
      </c>
      <c r="N27" s="94"/>
    </row>
    <row r="28" spans="1:14" x14ac:dyDescent="0.2">
      <c r="A28" s="94" t="s">
        <v>2813</v>
      </c>
      <c r="B28" s="95">
        <v>7</v>
      </c>
      <c r="C28" s="92" t="s">
        <v>2789</v>
      </c>
      <c r="D28" s="95">
        <v>6</v>
      </c>
      <c r="E28" s="92" t="s">
        <v>2811</v>
      </c>
      <c r="F28" s="95">
        <v>6</v>
      </c>
      <c r="G28" s="92" t="s">
        <v>2800</v>
      </c>
      <c r="H28" s="95">
        <v>7</v>
      </c>
      <c r="I28" s="62" t="s">
        <v>2796</v>
      </c>
      <c r="J28" s="589">
        <v>6</v>
      </c>
      <c r="N28" s="94"/>
    </row>
    <row r="29" spans="1:14" x14ac:dyDescent="0.2">
      <c r="A29" s="94" t="s">
        <v>2781</v>
      </c>
      <c r="B29" s="95">
        <v>6</v>
      </c>
      <c r="C29" s="92" t="s">
        <v>2814</v>
      </c>
      <c r="D29" s="95">
        <v>5</v>
      </c>
      <c r="E29" s="92" t="s">
        <v>2815</v>
      </c>
      <c r="F29" s="95">
        <v>6</v>
      </c>
      <c r="G29" s="92" t="s">
        <v>2812</v>
      </c>
      <c r="H29" s="95">
        <v>7</v>
      </c>
      <c r="I29" s="490" t="s">
        <v>2816</v>
      </c>
      <c r="J29" s="589">
        <v>5</v>
      </c>
      <c r="N29" s="94"/>
    </row>
    <row r="30" spans="1:14" x14ac:dyDescent="0.2">
      <c r="A30" s="94" t="s">
        <v>2817</v>
      </c>
      <c r="B30" s="95">
        <v>6</v>
      </c>
      <c r="C30" s="92" t="s">
        <v>2818</v>
      </c>
      <c r="D30" s="95">
        <v>5</v>
      </c>
      <c r="E30" s="92" t="s">
        <v>2787</v>
      </c>
      <c r="F30" s="95">
        <v>5</v>
      </c>
      <c r="G30" s="92" t="s">
        <v>2770</v>
      </c>
      <c r="H30" s="95">
        <v>7</v>
      </c>
      <c r="I30" s="490" t="s">
        <v>2774</v>
      </c>
      <c r="J30" s="589">
        <v>5</v>
      </c>
      <c r="N30" s="94"/>
    </row>
    <row r="31" spans="1:14" ht="20.399999999999999" x14ac:dyDescent="0.2">
      <c r="A31" s="94" t="s">
        <v>2819</v>
      </c>
      <c r="B31" s="95">
        <v>5</v>
      </c>
      <c r="C31" s="92" t="s">
        <v>2771</v>
      </c>
      <c r="D31" s="95">
        <v>4</v>
      </c>
      <c r="E31" s="92" t="s">
        <v>2801</v>
      </c>
      <c r="F31" s="95">
        <v>5</v>
      </c>
      <c r="G31" s="94" t="s">
        <v>2796</v>
      </c>
      <c r="H31" s="589">
        <v>6</v>
      </c>
      <c r="I31" s="490" t="s">
        <v>2805</v>
      </c>
      <c r="J31" s="589">
        <v>5</v>
      </c>
      <c r="N31" s="94"/>
    </row>
    <row r="32" spans="1:14" x14ac:dyDescent="0.2">
      <c r="A32" s="94" t="s">
        <v>2774</v>
      </c>
      <c r="B32" s="95">
        <v>5</v>
      </c>
      <c r="C32" s="92" t="s">
        <v>2820</v>
      </c>
      <c r="D32" s="95">
        <v>4</v>
      </c>
      <c r="E32" s="92" t="s">
        <v>2821</v>
      </c>
      <c r="F32" s="95">
        <v>5</v>
      </c>
      <c r="G32" s="92" t="s">
        <v>2771</v>
      </c>
      <c r="H32" s="95">
        <v>5</v>
      </c>
      <c r="I32" s="490" t="s">
        <v>2795</v>
      </c>
      <c r="J32" s="589">
        <v>5</v>
      </c>
      <c r="N32" s="94"/>
    </row>
    <row r="33" spans="1:14" ht="20.399999999999999" x14ac:dyDescent="0.2">
      <c r="A33" s="92" t="s">
        <v>2805</v>
      </c>
      <c r="B33" s="95">
        <v>5</v>
      </c>
      <c r="C33" s="92" t="s">
        <v>2787</v>
      </c>
      <c r="D33" s="95">
        <v>4</v>
      </c>
      <c r="E33" s="92" t="s">
        <v>2771</v>
      </c>
      <c r="F33" s="95">
        <v>4</v>
      </c>
      <c r="G33" s="92" t="s">
        <v>2822</v>
      </c>
      <c r="H33" s="95">
        <v>5</v>
      </c>
      <c r="I33" s="94" t="s">
        <v>2822</v>
      </c>
      <c r="J33" s="589">
        <v>4</v>
      </c>
      <c r="N33" s="94"/>
    </row>
    <row r="34" spans="1:14" x14ac:dyDescent="0.2">
      <c r="A34" s="94" t="s">
        <v>2811</v>
      </c>
      <c r="B34" s="95">
        <v>5</v>
      </c>
      <c r="C34" s="92" t="s">
        <v>2823</v>
      </c>
      <c r="D34" s="95">
        <v>3</v>
      </c>
      <c r="E34" s="92" t="s">
        <v>2805</v>
      </c>
      <c r="F34" s="95">
        <v>4</v>
      </c>
      <c r="G34" s="92" t="s">
        <v>2784</v>
      </c>
      <c r="H34" s="95">
        <v>5</v>
      </c>
      <c r="I34" s="94" t="s">
        <v>2806</v>
      </c>
      <c r="J34" s="95">
        <v>4</v>
      </c>
      <c r="N34" s="94"/>
    </row>
    <row r="35" spans="1:14" x14ac:dyDescent="0.2">
      <c r="A35" s="94" t="s">
        <v>2802</v>
      </c>
      <c r="B35" s="95">
        <v>3</v>
      </c>
      <c r="C35" s="92" t="s">
        <v>2797</v>
      </c>
      <c r="D35" s="95">
        <v>3</v>
      </c>
      <c r="E35" s="92" t="s">
        <v>2789</v>
      </c>
      <c r="F35" s="95">
        <v>4</v>
      </c>
      <c r="G35" s="92" t="s">
        <v>2806</v>
      </c>
      <c r="H35" s="95">
        <v>4</v>
      </c>
      <c r="I35" s="94" t="s">
        <v>2791</v>
      </c>
      <c r="J35" s="589">
        <v>4</v>
      </c>
      <c r="N35" s="94"/>
    </row>
    <row r="36" spans="1:14" x14ac:dyDescent="0.2">
      <c r="A36" s="94" t="s">
        <v>2823</v>
      </c>
      <c r="B36" s="95">
        <v>3</v>
      </c>
      <c r="C36" s="92" t="s">
        <v>2824</v>
      </c>
      <c r="D36" s="95">
        <v>3</v>
      </c>
      <c r="E36" s="92" t="s">
        <v>2812</v>
      </c>
      <c r="F36" s="95">
        <v>4</v>
      </c>
      <c r="G36" s="92" t="s">
        <v>2805</v>
      </c>
      <c r="H36" s="95">
        <v>4</v>
      </c>
      <c r="I36" s="94" t="s">
        <v>2802</v>
      </c>
      <c r="J36" s="589">
        <v>3</v>
      </c>
      <c r="N36" s="94"/>
    </row>
    <row r="37" spans="1:14" x14ac:dyDescent="0.2">
      <c r="A37" s="94" t="s">
        <v>2806</v>
      </c>
      <c r="B37" s="95">
        <v>3</v>
      </c>
      <c r="C37" s="92" t="s">
        <v>2793</v>
      </c>
      <c r="D37" s="95">
        <v>3</v>
      </c>
      <c r="E37" s="92" t="s">
        <v>2825</v>
      </c>
      <c r="F37" s="95">
        <v>4</v>
      </c>
      <c r="G37" s="94" t="s">
        <v>2818</v>
      </c>
      <c r="H37" s="589">
        <v>3</v>
      </c>
      <c r="I37" s="94" t="s">
        <v>2792</v>
      </c>
      <c r="J37" s="95">
        <v>3</v>
      </c>
      <c r="N37" s="94"/>
    </row>
    <row r="38" spans="1:14" x14ac:dyDescent="0.2">
      <c r="A38" s="94" t="s">
        <v>2826</v>
      </c>
      <c r="B38" s="95">
        <v>3</v>
      </c>
      <c r="C38" s="92" t="s">
        <v>2827</v>
      </c>
      <c r="D38" s="95">
        <v>2</v>
      </c>
      <c r="E38" s="92" t="s">
        <v>2823</v>
      </c>
      <c r="F38" s="95">
        <v>3</v>
      </c>
      <c r="G38" s="92" t="s">
        <v>2828</v>
      </c>
      <c r="H38" s="95">
        <v>2</v>
      </c>
      <c r="I38" s="94" t="s">
        <v>2784</v>
      </c>
      <c r="J38" s="95">
        <v>3</v>
      </c>
      <c r="N38" s="94"/>
    </row>
    <row r="39" spans="1:14" x14ac:dyDescent="0.2">
      <c r="A39" s="94" t="s">
        <v>2828</v>
      </c>
      <c r="B39" s="95">
        <v>3</v>
      </c>
      <c r="C39" s="92" t="s">
        <v>2829</v>
      </c>
      <c r="D39" s="95">
        <v>2</v>
      </c>
      <c r="E39" s="92" t="s">
        <v>2794</v>
      </c>
      <c r="F39" s="95">
        <v>3</v>
      </c>
      <c r="G39" s="92" t="s">
        <v>2817</v>
      </c>
      <c r="H39" s="95">
        <v>2</v>
      </c>
      <c r="I39" s="94" t="s">
        <v>2815</v>
      </c>
      <c r="J39" s="95">
        <v>3</v>
      </c>
      <c r="N39" s="94"/>
    </row>
    <row r="40" spans="1:14" x14ac:dyDescent="0.2">
      <c r="A40" s="94" t="s">
        <v>2830</v>
      </c>
      <c r="B40" s="95">
        <v>2</v>
      </c>
      <c r="C40" s="92" t="s">
        <v>2810</v>
      </c>
      <c r="D40" s="95">
        <v>2</v>
      </c>
      <c r="E40" s="92" t="s">
        <v>2802</v>
      </c>
      <c r="F40" s="95">
        <v>2</v>
      </c>
      <c r="G40" s="92" t="s">
        <v>2816</v>
      </c>
      <c r="H40" s="95">
        <v>1</v>
      </c>
      <c r="I40" s="94" t="s">
        <v>2831</v>
      </c>
      <c r="J40" s="95">
        <v>2</v>
      </c>
      <c r="N40" s="94"/>
    </row>
    <row r="41" spans="1:14" x14ac:dyDescent="0.2">
      <c r="A41" s="94" t="s">
        <v>2832</v>
      </c>
      <c r="B41" s="95">
        <v>2</v>
      </c>
      <c r="C41" s="92" t="s">
        <v>2812</v>
      </c>
      <c r="D41" s="95">
        <v>2</v>
      </c>
      <c r="E41" s="92" t="s">
        <v>2833</v>
      </c>
      <c r="F41" s="95">
        <v>2</v>
      </c>
      <c r="G41" s="92" t="s">
        <v>2829</v>
      </c>
      <c r="H41" s="95">
        <v>1</v>
      </c>
      <c r="I41" s="94" t="s">
        <v>2771</v>
      </c>
      <c r="J41" s="589">
        <v>2</v>
      </c>
      <c r="N41" s="94"/>
    </row>
    <row r="42" spans="1:14" x14ac:dyDescent="0.2">
      <c r="A42" s="94" t="s">
        <v>2818</v>
      </c>
      <c r="B42" s="95">
        <v>1</v>
      </c>
      <c r="C42" s="92" t="s">
        <v>2828</v>
      </c>
      <c r="D42" s="95">
        <v>2</v>
      </c>
      <c r="E42" s="92" t="s">
        <v>2808</v>
      </c>
      <c r="F42" s="95">
        <v>2</v>
      </c>
      <c r="G42" s="92" t="s">
        <v>2792</v>
      </c>
      <c r="H42" s="95">
        <v>1</v>
      </c>
      <c r="I42" s="94" t="s">
        <v>2834</v>
      </c>
      <c r="J42" s="95">
        <v>2</v>
      </c>
      <c r="N42" s="94"/>
    </row>
    <row r="43" spans="1:14" x14ac:dyDescent="0.2">
      <c r="A43" s="94" t="s">
        <v>2827</v>
      </c>
      <c r="B43" s="95">
        <v>1</v>
      </c>
      <c r="C43" s="92" t="s">
        <v>2832</v>
      </c>
      <c r="D43" s="95">
        <v>2</v>
      </c>
      <c r="E43" s="92" t="s">
        <v>2827</v>
      </c>
      <c r="F43" s="95">
        <v>1</v>
      </c>
      <c r="G43" s="92" t="s">
        <v>2835</v>
      </c>
      <c r="H43" s="95">
        <v>1</v>
      </c>
      <c r="I43" s="94" t="s">
        <v>2789</v>
      </c>
      <c r="J43" s="589">
        <v>2</v>
      </c>
      <c r="N43" s="94"/>
    </row>
    <row r="44" spans="1:14" x14ac:dyDescent="0.2">
      <c r="A44" s="94" t="s">
        <v>2836</v>
      </c>
      <c r="B44" s="95">
        <v>1</v>
      </c>
      <c r="C44" s="92" t="s">
        <v>2837</v>
      </c>
      <c r="D44" s="95">
        <v>2</v>
      </c>
      <c r="E44" s="92" t="s">
        <v>2816</v>
      </c>
      <c r="F44" s="95">
        <v>1</v>
      </c>
      <c r="G44" s="92" t="s">
        <v>2838</v>
      </c>
      <c r="H44" s="95">
        <v>1</v>
      </c>
      <c r="I44" s="94" t="s">
        <v>2838</v>
      </c>
      <c r="J44" s="95">
        <v>2</v>
      </c>
      <c r="N44" s="94"/>
    </row>
    <row r="45" spans="1:14" x14ac:dyDescent="0.2">
      <c r="A45" s="94" t="s">
        <v>2839</v>
      </c>
      <c r="B45" s="95">
        <v>1</v>
      </c>
      <c r="C45" s="92" t="s">
        <v>2796</v>
      </c>
      <c r="D45" s="95">
        <v>1</v>
      </c>
      <c r="E45" s="92" t="s">
        <v>2831</v>
      </c>
      <c r="F45" s="95">
        <v>1</v>
      </c>
      <c r="G45" s="92" t="s">
        <v>2833</v>
      </c>
      <c r="H45" s="95">
        <v>1</v>
      </c>
      <c r="I45" s="94" t="s">
        <v>2833</v>
      </c>
      <c r="J45" s="589">
        <v>2</v>
      </c>
      <c r="N45" s="94"/>
    </row>
    <row r="46" spans="1:14" ht="20.399999999999999" x14ac:dyDescent="0.2">
      <c r="A46" s="94" t="s">
        <v>2840</v>
      </c>
      <c r="B46" s="95">
        <v>1</v>
      </c>
      <c r="C46" s="92" t="s">
        <v>2841</v>
      </c>
      <c r="D46" s="95">
        <v>1</v>
      </c>
      <c r="E46" s="92" t="s">
        <v>2835</v>
      </c>
      <c r="F46" s="95">
        <v>1</v>
      </c>
      <c r="G46" s="92" t="s">
        <v>2801</v>
      </c>
      <c r="H46" s="95">
        <v>1</v>
      </c>
      <c r="I46" s="94" t="s">
        <v>2832</v>
      </c>
      <c r="J46" s="95">
        <v>2</v>
      </c>
      <c r="N46" s="94"/>
    </row>
    <row r="47" spans="1:14" ht="20.399999999999999" x14ac:dyDescent="0.2">
      <c r="A47" s="94" t="s">
        <v>2838</v>
      </c>
      <c r="B47" s="95">
        <v>1</v>
      </c>
      <c r="C47" s="92" t="s">
        <v>2842</v>
      </c>
      <c r="D47" s="95">
        <v>1</v>
      </c>
      <c r="E47" s="92" t="s">
        <v>2822</v>
      </c>
      <c r="F47" s="95">
        <v>1</v>
      </c>
      <c r="G47" s="94"/>
      <c r="I47" s="94" t="s">
        <v>2801</v>
      </c>
      <c r="J47" s="589">
        <v>2</v>
      </c>
      <c r="N47" s="94"/>
    </row>
    <row r="48" spans="1:14" x14ac:dyDescent="0.2">
      <c r="A48" s="94"/>
      <c r="B48" s="95"/>
      <c r="C48" s="92" t="s">
        <v>2843</v>
      </c>
      <c r="D48" s="95">
        <v>1</v>
      </c>
      <c r="E48" s="92" t="s">
        <v>2810</v>
      </c>
      <c r="F48" s="95">
        <v>1</v>
      </c>
      <c r="G48" s="94"/>
      <c r="I48" s="94" t="s">
        <v>2844</v>
      </c>
      <c r="J48" s="95">
        <v>2</v>
      </c>
      <c r="N48" s="94"/>
    </row>
    <row r="49" spans="1:14" x14ac:dyDescent="0.2">
      <c r="A49" s="94"/>
      <c r="B49" s="95"/>
      <c r="C49" s="94"/>
      <c r="D49" s="95"/>
      <c r="E49" s="92" t="s">
        <v>2845</v>
      </c>
      <c r="F49" s="95">
        <v>1</v>
      </c>
      <c r="G49" s="94"/>
      <c r="I49" s="94" t="s">
        <v>2823</v>
      </c>
      <c r="J49" s="95">
        <v>1</v>
      </c>
      <c r="N49" s="94"/>
    </row>
    <row r="50" spans="1:14" x14ac:dyDescent="0.2">
      <c r="A50" s="94"/>
      <c r="B50" s="95"/>
      <c r="C50" s="94"/>
      <c r="D50" s="95"/>
      <c r="E50" s="92" t="s">
        <v>2838</v>
      </c>
      <c r="F50" s="95">
        <v>1</v>
      </c>
      <c r="G50" s="94"/>
      <c r="I50" s="94" t="s">
        <v>2810</v>
      </c>
      <c r="J50" s="95">
        <v>1</v>
      </c>
      <c r="N50" s="94"/>
    </row>
    <row r="51" spans="1:14" x14ac:dyDescent="0.2">
      <c r="A51" s="94"/>
      <c r="B51" s="95"/>
      <c r="C51" s="94"/>
      <c r="D51" s="95"/>
      <c r="E51" s="92" t="s">
        <v>2832</v>
      </c>
      <c r="F51" s="95">
        <v>1</v>
      </c>
      <c r="G51" s="94"/>
      <c r="I51" s="94" t="s">
        <v>2845</v>
      </c>
      <c r="J51" s="95">
        <v>1</v>
      </c>
      <c r="N51" s="94"/>
    </row>
    <row r="52" spans="1:14" x14ac:dyDescent="0.2">
      <c r="A52" s="94"/>
      <c r="B52" s="95"/>
      <c r="C52" s="94"/>
      <c r="D52" s="95"/>
      <c r="E52" s="92" t="s">
        <v>2846</v>
      </c>
      <c r="F52" s="95">
        <v>1</v>
      </c>
      <c r="G52" s="94"/>
      <c r="I52" s="94" t="s">
        <v>2847</v>
      </c>
      <c r="J52" s="589">
        <v>1</v>
      </c>
      <c r="N52" s="94"/>
    </row>
    <row r="53" spans="1:14" x14ac:dyDescent="0.2">
      <c r="A53" s="94"/>
      <c r="B53" s="95"/>
      <c r="C53" s="94"/>
      <c r="D53" s="95"/>
      <c r="E53" s="94"/>
      <c r="F53" s="95"/>
      <c r="G53" s="94"/>
      <c r="J53" s="589"/>
      <c r="N53" s="94"/>
    </row>
    <row r="54" spans="1:14" ht="10.5" customHeight="1" x14ac:dyDescent="0.2">
      <c r="A54" s="77" t="s">
        <v>2848</v>
      </c>
      <c r="B54" s="77"/>
      <c r="C54" s="77"/>
      <c r="D54" s="77"/>
      <c r="E54" s="77"/>
      <c r="F54" s="95"/>
      <c r="G54" s="94"/>
      <c r="J54" s="589"/>
      <c r="N54" s="94"/>
    </row>
    <row r="55" spans="1:14" s="141" customFormat="1" x14ac:dyDescent="0.2">
      <c r="A55" s="745" t="s">
        <v>2681</v>
      </c>
      <c r="B55" s="745"/>
      <c r="C55" s="745"/>
      <c r="D55" s="745"/>
      <c r="E55" s="745"/>
      <c r="F55" s="745"/>
      <c r="G55" s="745"/>
      <c r="H55" s="745"/>
      <c r="I55" s="745"/>
    </row>
  </sheetData>
  <mergeCells count="7">
    <mergeCell ref="A55:I55"/>
    <mergeCell ref="A4:B4"/>
    <mergeCell ref="C4:D4"/>
    <mergeCell ref="E4:F4"/>
    <mergeCell ref="G4:H4"/>
    <mergeCell ref="I4:J4"/>
    <mergeCell ref="A54:E54"/>
  </mergeCells>
  <pageMargins left="0.7" right="0.7" top="0.75" bottom="0.75" header="0.3" footer="0.3"/>
  <pageSetup paperSize="14" scale="64" orientation="landscape" r:id="rId1"/>
  <rowBreaks count="1" manualBreakCount="1">
    <brk id="30" max="9" man="1"/>
  </rowBreaks>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8E06F-78F0-4293-84E8-71D6FAA16EC0}">
  <sheetPr codeName="Hoja222"/>
  <dimension ref="A1:F9"/>
  <sheetViews>
    <sheetView workbookViewId="0">
      <selection activeCell="A53" sqref="A53"/>
    </sheetView>
  </sheetViews>
  <sheetFormatPr baseColWidth="10" defaultRowHeight="13.2" x14ac:dyDescent="0.25"/>
  <cols>
    <col min="1" max="1" width="24.88671875" customWidth="1"/>
  </cols>
  <sheetData>
    <row r="1" spans="1:6" x14ac:dyDescent="0.25">
      <c r="A1" s="1012"/>
    </row>
    <row r="2" spans="1:6" ht="33.75" customHeight="1" x14ac:dyDescent="0.25">
      <c r="A2" s="1161" t="s">
        <v>2542</v>
      </c>
      <c r="B2" s="1161"/>
      <c r="C2" s="1161"/>
      <c r="D2" s="1161"/>
      <c r="E2" s="1161"/>
      <c r="F2" s="1060"/>
    </row>
    <row r="3" spans="1:6" x14ac:dyDescent="0.25">
      <c r="A3" s="347"/>
      <c r="B3" s="347"/>
      <c r="C3" s="347"/>
      <c r="D3" s="1060"/>
      <c r="E3" s="1060"/>
      <c r="F3" s="1060"/>
    </row>
    <row r="4" spans="1:6" x14ac:dyDescent="0.25">
      <c r="A4" s="716" t="s">
        <v>2323</v>
      </c>
      <c r="B4" s="1162" t="s">
        <v>98</v>
      </c>
      <c r="C4" s="1162"/>
      <c r="D4" s="1162"/>
      <c r="E4" s="1162"/>
      <c r="F4" s="1060"/>
    </row>
    <row r="5" spans="1:6" x14ac:dyDescent="0.25">
      <c r="A5" s="716"/>
      <c r="B5" s="454">
        <v>2010</v>
      </c>
      <c r="C5" s="454">
        <v>2011</v>
      </c>
      <c r="D5" s="454">
        <v>2012</v>
      </c>
      <c r="E5" s="454">
        <v>2013</v>
      </c>
      <c r="F5" s="901"/>
    </row>
    <row r="6" spans="1:6" x14ac:dyDescent="0.25">
      <c r="A6" s="706" t="s">
        <v>3</v>
      </c>
      <c r="B6" s="903">
        <v>8860000</v>
      </c>
      <c r="C6" s="903">
        <v>3360000</v>
      </c>
      <c r="D6" s="903">
        <v>5900000</v>
      </c>
      <c r="E6" s="605">
        <v>12000000</v>
      </c>
      <c r="F6" s="1060"/>
    </row>
    <row r="7" spans="1:6" x14ac:dyDescent="0.25">
      <c r="A7" s="706"/>
      <c r="B7" s="903"/>
      <c r="C7" s="903"/>
      <c r="D7" s="903"/>
      <c r="E7" s="605"/>
      <c r="F7" s="1060"/>
    </row>
    <row r="8" spans="1:6" x14ac:dyDescent="0.25">
      <c r="A8" s="715" t="s">
        <v>2679</v>
      </c>
      <c r="B8" s="715"/>
      <c r="C8" s="715"/>
      <c r="D8" s="715"/>
      <c r="E8" s="715"/>
      <c r="F8" s="1060"/>
    </row>
    <row r="9" spans="1:6" x14ac:dyDescent="0.25">
      <c r="A9" s="1060"/>
      <c r="B9" s="1060"/>
      <c r="C9" s="1060"/>
      <c r="D9" s="1060"/>
      <c r="E9" s="1060"/>
      <c r="F9" s="1060"/>
    </row>
  </sheetData>
  <mergeCells count="4">
    <mergeCell ref="A2:E2"/>
    <mergeCell ref="A4:A5"/>
    <mergeCell ref="B4:E4"/>
    <mergeCell ref="A8:E8"/>
  </mergeCells>
  <pageMargins left="0.7" right="0.7" top="0.75" bottom="0.75" header="0.3" footer="0.3"/>
  <pageSetup paperSize="14" orientation="landscape" r:id="rId1"/>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10D29-ABCD-47C9-B345-9AA8DA95785F}">
  <sheetPr codeName="Hoja223"/>
  <dimension ref="A2:F25"/>
  <sheetViews>
    <sheetView workbookViewId="0">
      <selection activeCell="A53" sqref="A53"/>
    </sheetView>
  </sheetViews>
  <sheetFormatPr baseColWidth="10" defaultRowHeight="13.2" x14ac:dyDescent="0.25"/>
  <cols>
    <col min="1" max="1" width="24.33203125" customWidth="1"/>
    <col min="2" max="5" width="19.5546875" customWidth="1"/>
  </cols>
  <sheetData>
    <row r="2" spans="1:6" x14ac:dyDescent="0.25">
      <c r="A2" s="337" t="s">
        <v>2543</v>
      </c>
      <c r="B2" s="2"/>
    </row>
    <row r="3" spans="1:6" x14ac:dyDescent="0.25">
      <c r="A3" s="24"/>
      <c r="B3" s="24"/>
      <c r="C3" s="873"/>
      <c r="D3" s="873"/>
      <c r="E3" s="873"/>
    </row>
    <row r="4" spans="1:6" s="1009" customFormat="1" ht="18.75" customHeight="1" x14ac:dyDescent="0.25">
      <c r="A4" s="298" t="s">
        <v>0</v>
      </c>
      <c r="B4" s="323" t="s">
        <v>2849</v>
      </c>
      <c r="C4" s="323"/>
      <c r="D4" s="323"/>
      <c r="E4" s="323"/>
    </row>
    <row r="5" spans="1:6" s="1009" customFormat="1" ht="18.75" customHeight="1" x14ac:dyDescent="0.25">
      <c r="A5" s="298"/>
      <c r="B5" s="275" t="s">
        <v>2204</v>
      </c>
      <c r="C5" s="298" t="s">
        <v>2850</v>
      </c>
      <c r="D5" s="323" t="s">
        <v>2851</v>
      </c>
      <c r="E5" s="323"/>
    </row>
    <row r="6" spans="1:6" s="1009" customFormat="1" ht="18.75" customHeight="1" x14ac:dyDescent="0.25">
      <c r="A6" s="298"/>
      <c r="B6" s="277"/>
      <c r="C6" s="298"/>
      <c r="D6" s="621" t="s">
        <v>2852</v>
      </c>
      <c r="E6" s="621" t="s">
        <v>1294</v>
      </c>
    </row>
    <row r="7" spans="1:6" x14ac:dyDescent="0.25">
      <c r="A7" s="712" t="s">
        <v>3</v>
      </c>
      <c r="B7" s="622">
        <f>SUM(B8:B22)</f>
        <v>182</v>
      </c>
      <c r="C7" s="622">
        <f>SUM(C8:C22)</f>
        <v>17037</v>
      </c>
      <c r="D7" s="622">
        <f>SUM(D8:D22)</f>
        <v>120</v>
      </c>
      <c r="E7" s="622">
        <f>SUM(E8:E22)</f>
        <v>16917</v>
      </c>
      <c r="F7" s="984"/>
    </row>
    <row r="8" spans="1:6" ht="14.4" x14ac:dyDescent="0.25">
      <c r="A8" s="1130" t="s">
        <v>4</v>
      </c>
      <c r="B8" s="877">
        <v>0</v>
      </c>
      <c r="C8" s="622">
        <f>SUM(D8:E8)</f>
        <v>0</v>
      </c>
      <c r="D8" s="877">
        <v>0</v>
      </c>
      <c r="E8" s="877">
        <v>0</v>
      </c>
    </row>
    <row r="9" spans="1:6" ht="14.4" x14ac:dyDescent="0.25">
      <c r="A9" s="1130" t="s">
        <v>5</v>
      </c>
      <c r="B9" s="877">
        <v>6</v>
      </c>
      <c r="C9" s="622">
        <f t="shared" ref="C9:C22" si="0">SUM(D9:E9)</f>
        <v>960</v>
      </c>
      <c r="D9" s="877">
        <v>0</v>
      </c>
      <c r="E9" s="877">
        <v>960</v>
      </c>
    </row>
    <row r="10" spans="1:6" ht="14.4" x14ac:dyDescent="0.25">
      <c r="A10" s="1130" t="s">
        <v>6</v>
      </c>
      <c r="B10" s="877">
        <v>0</v>
      </c>
      <c r="C10" s="622">
        <f t="shared" si="0"/>
        <v>0</v>
      </c>
      <c r="D10" s="877">
        <v>0</v>
      </c>
      <c r="E10" s="877">
        <v>0</v>
      </c>
    </row>
    <row r="11" spans="1:6" ht="14.4" x14ac:dyDescent="0.25">
      <c r="A11" s="1130" t="s">
        <v>7</v>
      </c>
      <c r="B11" s="877">
        <v>11</v>
      </c>
      <c r="C11" s="622">
        <f>SUM(D11:E11)</f>
        <v>675</v>
      </c>
      <c r="D11" s="877">
        <v>0</v>
      </c>
      <c r="E11" s="877">
        <v>675</v>
      </c>
    </row>
    <row r="12" spans="1:6" ht="14.4" x14ac:dyDescent="0.25">
      <c r="A12" s="1130" t="s">
        <v>8</v>
      </c>
      <c r="B12" s="877">
        <v>15</v>
      </c>
      <c r="C12" s="622">
        <f t="shared" si="0"/>
        <v>510</v>
      </c>
      <c r="D12" s="877">
        <v>0</v>
      </c>
      <c r="E12" s="877">
        <v>510</v>
      </c>
    </row>
    <row r="13" spans="1:6" ht="14.4" x14ac:dyDescent="0.25">
      <c r="A13" s="1130" t="s">
        <v>9</v>
      </c>
      <c r="B13" s="877">
        <v>16</v>
      </c>
      <c r="C13" s="622">
        <f t="shared" si="0"/>
        <v>2090</v>
      </c>
      <c r="D13" s="877">
        <v>0</v>
      </c>
      <c r="E13" s="877">
        <v>2090</v>
      </c>
    </row>
    <row r="14" spans="1:6" ht="14.4" x14ac:dyDescent="0.25">
      <c r="A14" s="1130" t="s">
        <v>10</v>
      </c>
      <c r="B14" s="877">
        <v>14</v>
      </c>
      <c r="C14" s="622">
        <f>SUM(D14:E14)</f>
        <v>2184</v>
      </c>
      <c r="D14" s="877">
        <v>0</v>
      </c>
      <c r="E14" s="877">
        <v>2184</v>
      </c>
    </row>
    <row r="15" spans="1:6" ht="14.4" x14ac:dyDescent="0.25">
      <c r="A15" s="1130" t="s">
        <v>134</v>
      </c>
      <c r="B15" s="877">
        <v>12</v>
      </c>
      <c r="C15" s="622">
        <f t="shared" si="0"/>
        <v>1700</v>
      </c>
      <c r="D15" s="877">
        <v>0</v>
      </c>
      <c r="E15" s="877">
        <v>1700</v>
      </c>
    </row>
    <row r="16" spans="1:6" ht="14.4" x14ac:dyDescent="0.25">
      <c r="A16" s="1130" t="s">
        <v>12</v>
      </c>
      <c r="B16" s="877">
        <v>30</v>
      </c>
      <c r="C16" s="622">
        <f>SUM(D16:E16)</f>
        <v>3228</v>
      </c>
      <c r="D16" s="877">
        <v>0</v>
      </c>
      <c r="E16" s="877">
        <v>3228</v>
      </c>
    </row>
    <row r="17" spans="1:5" ht="14.4" x14ac:dyDescent="0.25">
      <c r="A17" s="1130" t="s">
        <v>13</v>
      </c>
      <c r="B17" s="877">
        <v>53</v>
      </c>
      <c r="C17" s="622">
        <f t="shared" si="0"/>
        <v>3935</v>
      </c>
      <c r="D17" s="877">
        <v>0</v>
      </c>
      <c r="E17" s="877">
        <v>3935</v>
      </c>
    </row>
    <row r="18" spans="1:5" ht="14.4" x14ac:dyDescent="0.25">
      <c r="A18" s="1130" t="s">
        <v>47</v>
      </c>
      <c r="B18" s="877">
        <v>10</v>
      </c>
      <c r="C18" s="622">
        <f t="shared" si="0"/>
        <v>785</v>
      </c>
      <c r="D18" s="877">
        <v>120</v>
      </c>
      <c r="E18" s="877">
        <v>665</v>
      </c>
    </row>
    <row r="19" spans="1:5" ht="14.4" x14ac:dyDescent="0.25">
      <c r="A19" s="1130" t="s">
        <v>135</v>
      </c>
      <c r="B19" s="877">
        <v>9</v>
      </c>
      <c r="C19" s="622">
        <f t="shared" si="0"/>
        <v>50</v>
      </c>
      <c r="D19" s="877">
        <v>0</v>
      </c>
      <c r="E19" s="877">
        <v>50</v>
      </c>
    </row>
    <row r="20" spans="1:5" ht="14.4" x14ac:dyDescent="0.25">
      <c r="A20" s="1130" t="s">
        <v>136</v>
      </c>
      <c r="B20" s="877">
        <v>5</v>
      </c>
      <c r="C20" s="622">
        <f t="shared" si="0"/>
        <v>720</v>
      </c>
      <c r="D20" s="877">
        <v>0</v>
      </c>
      <c r="E20" s="877">
        <v>720</v>
      </c>
    </row>
    <row r="21" spans="1:5" ht="14.4" x14ac:dyDescent="0.25">
      <c r="A21" s="1130" t="s">
        <v>17</v>
      </c>
      <c r="B21" s="877">
        <v>1</v>
      </c>
      <c r="C21" s="622">
        <f t="shared" si="0"/>
        <v>200</v>
      </c>
      <c r="D21" s="877">
        <v>0</v>
      </c>
      <c r="E21" s="877">
        <v>200</v>
      </c>
    </row>
    <row r="22" spans="1:5" ht="14.4" x14ac:dyDescent="0.25">
      <c r="A22" s="1130" t="s">
        <v>18</v>
      </c>
      <c r="B22" s="877">
        <v>0</v>
      </c>
      <c r="C22" s="622">
        <f t="shared" si="0"/>
        <v>0</v>
      </c>
      <c r="D22" s="877">
        <v>0</v>
      </c>
      <c r="E22" s="877">
        <v>0</v>
      </c>
    </row>
    <row r="23" spans="1:5" ht="14.4" x14ac:dyDescent="0.25">
      <c r="A23" s="288"/>
      <c r="B23" s="878"/>
      <c r="C23" s="655"/>
      <c r="D23" s="890"/>
      <c r="E23" s="890"/>
    </row>
    <row r="24" spans="1:5" ht="34.5" customHeight="1" x14ac:dyDescent="0.25">
      <c r="A24" s="879" t="s">
        <v>2212</v>
      </c>
      <c r="B24" s="879"/>
      <c r="C24" s="879"/>
      <c r="D24" s="879"/>
      <c r="E24" s="879"/>
    </row>
    <row r="25" spans="1:5" x14ac:dyDescent="0.25">
      <c r="A25" s="336" t="s">
        <v>2853</v>
      </c>
      <c r="B25" s="2"/>
      <c r="C25" s="2"/>
      <c r="D25" s="2"/>
      <c r="E25" s="2"/>
    </row>
  </sheetData>
  <mergeCells count="6">
    <mergeCell ref="A4:A6"/>
    <mergeCell ref="B4:E4"/>
    <mergeCell ref="B5:B6"/>
    <mergeCell ref="C5:C6"/>
    <mergeCell ref="D5:E5"/>
    <mergeCell ref="A24:E24"/>
  </mergeCells>
  <pageMargins left="0.7" right="0.7" top="0.75" bottom="0.75" header="0.3" footer="0.3"/>
  <pageSetup paperSize="14" orientation="landscape" r:id="rId1"/>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2401B-8E82-470D-AAD0-2CC4B18CEC7B}">
  <sheetPr codeName="Hoja224"/>
  <dimension ref="A2:K14"/>
  <sheetViews>
    <sheetView workbookViewId="0">
      <selection activeCell="A53" sqref="A53"/>
    </sheetView>
  </sheetViews>
  <sheetFormatPr baseColWidth="10" defaultColWidth="11.44140625" defaultRowHeight="13.2" x14ac:dyDescent="0.25"/>
  <cols>
    <col min="1" max="1" width="22.6640625" style="338" customWidth="1"/>
    <col min="2" max="5" width="20.88671875" style="338" customWidth="1"/>
    <col min="6" max="16384" width="11.44140625" style="338"/>
  </cols>
  <sheetData>
    <row r="2" spans="1:11" x14ac:dyDescent="0.25">
      <c r="A2" s="337" t="s">
        <v>2544</v>
      </c>
    </row>
    <row r="3" spans="1:11" x14ac:dyDescent="0.25">
      <c r="A3" s="24"/>
      <c r="B3" s="24"/>
      <c r="C3" s="24"/>
      <c r="D3" s="24"/>
      <c r="E3" s="24"/>
    </row>
    <row r="4" spans="1:11" ht="14.25" customHeight="1" x14ac:dyDescent="0.25">
      <c r="A4" s="653" t="s">
        <v>825</v>
      </c>
      <c r="B4" s="874" t="s">
        <v>2849</v>
      </c>
      <c r="C4" s="875"/>
      <c r="D4" s="875"/>
      <c r="E4" s="876"/>
    </row>
    <row r="5" spans="1:11" ht="14.25" customHeight="1" x14ac:dyDescent="0.25">
      <c r="A5" s="887"/>
      <c r="B5" s="275" t="s">
        <v>2204</v>
      </c>
      <c r="C5" s="298" t="s">
        <v>2850</v>
      </c>
      <c r="D5" s="688" t="s">
        <v>2851</v>
      </c>
      <c r="E5" s="694"/>
    </row>
    <row r="6" spans="1:11" ht="14.25" customHeight="1" x14ac:dyDescent="0.25">
      <c r="A6" s="654"/>
      <c r="B6" s="277"/>
      <c r="C6" s="298"/>
      <c r="D6" s="621" t="s">
        <v>2852</v>
      </c>
      <c r="E6" s="621" t="s">
        <v>1294</v>
      </c>
    </row>
    <row r="7" spans="1:11" x14ac:dyDescent="0.25">
      <c r="A7" s="1163" t="s">
        <v>2214</v>
      </c>
      <c r="B7" s="643">
        <v>286</v>
      </c>
      <c r="C7" s="655">
        <f>SUM(D7:E7)</f>
        <v>22470</v>
      </c>
      <c r="D7" s="643">
        <v>2213</v>
      </c>
      <c r="E7" s="643">
        <v>20257</v>
      </c>
    </row>
    <row r="8" spans="1:11" x14ac:dyDescent="0.25">
      <c r="A8" s="1163">
        <v>2010</v>
      </c>
      <c r="B8" s="643">
        <v>142</v>
      </c>
      <c r="C8" s="655">
        <f>SUM(D8:E8)</f>
        <v>15464</v>
      </c>
      <c r="D8" s="643">
        <v>788</v>
      </c>
      <c r="E8" s="643">
        <v>14676</v>
      </c>
    </row>
    <row r="9" spans="1:11" x14ac:dyDescent="0.25">
      <c r="A9" s="1163" t="s">
        <v>2215</v>
      </c>
      <c r="B9" s="643">
        <v>231</v>
      </c>
      <c r="C9" s="655">
        <f>SUM(D9:E9)</f>
        <v>26599</v>
      </c>
      <c r="D9" s="643">
        <v>1749</v>
      </c>
      <c r="E9" s="643">
        <v>24850</v>
      </c>
    </row>
    <row r="10" spans="1:11" x14ac:dyDescent="0.25">
      <c r="A10" s="1163" t="s">
        <v>2216</v>
      </c>
      <c r="B10" s="643">
        <v>272</v>
      </c>
      <c r="C10" s="655">
        <f t="shared" ref="C10" si="0">SUM(D10:E10)</f>
        <v>25501</v>
      </c>
      <c r="D10" s="643">
        <v>1595</v>
      </c>
      <c r="E10" s="643">
        <v>23906</v>
      </c>
    </row>
    <row r="11" spans="1:11" x14ac:dyDescent="0.25">
      <c r="A11" s="1163" t="s">
        <v>2217</v>
      </c>
      <c r="B11" s="643">
        <v>182</v>
      </c>
      <c r="C11" s="655">
        <f>SUM(D11:E11)</f>
        <v>17037</v>
      </c>
      <c r="D11" s="643">
        <v>120</v>
      </c>
      <c r="E11" s="643">
        <v>16917</v>
      </c>
    </row>
    <row r="13" spans="1:11" ht="24" customHeight="1" x14ac:dyDescent="0.25">
      <c r="A13" s="982" t="s">
        <v>2212</v>
      </c>
      <c r="B13" s="982"/>
      <c r="C13" s="982"/>
      <c r="D13" s="982"/>
      <c r="E13" s="982"/>
      <c r="F13" s="1032"/>
      <c r="G13" s="1032"/>
      <c r="H13" s="1032"/>
      <c r="I13" s="1011"/>
      <c r="J13" s="1011"/>
      <c r="K13" s="1011"/>
    </row>
    <row r="14" spans="1:11" x14ac:dyDescent="0.25">
      <c r="A14" s="336" t="s">
        <v>2853</v>
      </c>
      <c r="B14" s="633"/>
      <c r="C14" s="885"/>
      <c r="D14" s="885"/>
      <c r="E14" s="885"/>
      <c r="F14" s="885"/>
      <c r="G14" s="885"/>
      <c r="H14" s="885"/>
      <c r="I14" s="885"/>
      <c r="J14" s="885"/>
      <c r="K14" s="885"/>
    </row>
  </sheetData>
  <mergeCells count="6">
    <mergeCell ref="A4:A6"/>
    <mergeCell ref="B4:E4"/>
    <mergeCell ref="B5:B6"/>
    <mergeCell ref="C5:C6"/>
    <mergeCell ref="D5:E5"/>
    <mergeCell ref="A13:E13"/>
  </mergeCells>
  <pageMargins left="0.7" right="0.7" top="0.75" bottom="0.75" header="0.3" footer="0.3"/>
  <pageSetup paperSize="14" orientation="landscape" r:id="rId1"/>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CBF6E-E1A8-4CC7-89A1-D9B74C65AB30}">
  <sheetPr codeName="Hoja225"/>
  <dimension ref="A2:N24"/>
  <sheetViews>
    <sheetView workbookViewId="0"/>
  </sheetViews>
  <sheetFormatPr baseColWidth="10" defaultColWidth="11.44140625" defaultRowHeight="10.199999999999999" x14ac:dyDescent="0.2"/>
  <cols>
    <col min="1" max="1" width="28.109375" style="2" customWidth="1"/>
    <col min="2" max="16384" width="11.44140625" style="2"/>
  </cols>
  <sheetData>
    <row r="2" spans="1:14" ht="24" customHeight="1" x14ac:dyDescent="0.2">
      <c r="A2" s="234" t="s">
        <v>2545</v>
      </c>
      <c r="B2" s="234"/>
      <c r="C2" s="234"/>
      <c r="D2" s="234"/>
      <c r="E2" s="234"/>
      <c r="F2" s="234"/>
      <c r="G2" s="234"/>
    </row>
    <row r="3" spans="1:14" ht="13.5" customHeight="1" x14ac:dyDescent="0.2">
      <c r="A3" s="321"/>
      <c r="B3" s="990"/>
      <c r="C3" s="990"/>
      <c r="D3" s="321"/>
      <c r="E3" s="321"/>
      <c r="F3" s="321"/>
      <c r="G3" s="321"/>
      <c r="H3" s="321"/>
    </row>
    <row r="4" spans="1:14" s="337" customFormat="1" ht="19.5" customHeight="1" x14ac:dyDescent="0.25">
      <c r="A4" s="298" t="s">
        <v>0</v>
      </c>
      <c r="B4" s="323" t="s">
        <v>2220</v>
      </c>
      <c r="C4" s="323"/>
      <c r="D4" s="323"/>
      <c r="E4" s="323"/>
      <c r="F4" s="323"/>
      <c r="G4" s="323"/>
      <c r="H4" s="323"/>
      <c r="I4" s="323"/>
      <c r="J4" s="323"/>
      <c r="K4" s="323"/>
      <c r="L4" s="323"/>
      <c r="M4" s="323"/>
      <c r="N4" s="323"/>
    </row>
    <row r="5" spans="1:14" s="337" customFormat="1" ht="19.5" customHeight="1" x14ac:dyDescent="0.25">
      <c r="A5" s="298"/>
      <c r="B5" s="644" t="s">
        <v>3</v>
      </c>
      <c r="C5" s="644" t="s">
        <v>2221</v>
      </c>
      <c r="D5" s="644" t="s">
        <v>2222</v>
      </c>
      <c r="E5" s="644" t="s">
        <v>2223</v>
      </c>
      <c r="F5" s="644" t="s">
        <v>2224</v>
      </c>
      <c r="G5" s="644" t="s">
        <v>2225</v>
      </c>
      <c r="H5" s="644" t="s">
        <v>2226</v>
      </c>
      <c r="I5" s="644" t="s">
        <v>2227</v>
      </c>
      <c r="J5" s="644" t="s">
        <v>2228</v>
      </c>
      <c r="K5" s="644" t="s">
        <v>2229</v>
      </c>
      <c r="L5" s="644" t="s">
        <v>2230</v>
      </c>
      <c r="M5" s="644" t="s">
        <v>2231</v>
      </c>
      <c r="N5" s="644" t="s">
        <v>2232</v>
      </c>
    </row>
    <row r="6" spans="1:14" x14ac:dyDescent="0.2">
      <c r="A6" s="884" t="s">
        <v>3</v>
      </c>
      <c r="B6" s="622">
        <f>SUM(B7:B21)</f>
        <v>17037</v>
      </c>
      <c r="C6" s="622">
        <f>SUM(C7:C21)</f>
        <v>1570</v>
      </c>
      <c r="D6" s="622">
        <f t="shared" ref="D6:N6" si="0">SUM(D7:D21)</f>
        <v>501</v>
      </c>
      <c r="E6" s="622">
        <f t="shared" si="0"/>
        <v>1055</v>
      </c>
      <c r="F6" s="622">
        <f t="shared" si="0"/>
        <v>1785</v>
      </c>
      <c r="G6" s="622">
        <f t="shared" si="0"/>
        <v>1604</v>
      </c>
      <c r="H6" s="622">
        <f t="shared" si="0"/>
        <v>1368</v>
      </c>
      <c r="I6" s="622">
        <f t="shared" si="0"/>
        <v>1430</v>
      </c>
      <c r="J6" s="622">
        <f t="shared" si="0"/>
        <v>806</v>
      </c>
      <c r="K6" s="622">
        <f t="shared" si="0"/>
        <v>2055</v>
      </c>
      <c r="L6" s="622">
        <f t="shared" si="0"/>
        <v>1075</v>
      </c>
      <c r="M6" s="622">
        <f t="shared" si="0"/>
        <v>1850</v>
      </c>
      <c r="N6" s="622">
        <f t="shared" si="0"/>
        <v>1938</v>
      </c>
    </row>
    <row r="7" spans="1:14" x14ac:dyDescent="0.2">
      <c r="A7" s="1130" t="s">
        <v>4</v>
      </c>
      <c r="B7" s="622">
        <f>SUM(C7:N7)</f>
        <v>0</v>
      </c>
      <c r="C7" s="626">
        <v>0</v>
      </c>
      <c r="D7" s="626">
        <v>0</v>
      </c>
      <c r="E7" s="626">
        <v>0</v>
      </c>
      <c r="F7" s="626">
        <v>0</v>
      </c>
      <c r="G7" s="626">
        <v>0</v>
      </c>
      <c r="H7" s="626">
        <v>0</v>
      </c>
      <c r="I7" s="626">
        <v>0</v>
      </c>
      <c r="J7" s="626">
        <v>0</v>
      </c>
      <c r="K7" s="626">
        <v>0</v>
      </c>
      <c r="L7" s="626">
        <v>0</v>
      </c>
      <c r="M7" s="626">
        <v>0</v>
      </c>
      <c r="N7" s="626">
        <v>0</v>
      </c>
    </row>
    <row r="8" spans="1:14" x14ac:dyDescent="0.2">
      <c r="A8" s="1130" t="s">
        <v>5</v>
      </c>
      <c r="B8" s="622">
        <f t="shared" ref="B8:B21" si="1">SUM(C8:N8)</f>
        <v>960</v>
      </c>
      <c r="C8" s="626">
        <v>160</v>
      </c>
      <c r="D8" s="626">
        <v>0</v>
      </c>
      <c r="E8" s="626">
        <v>0</v>
      </c>
      <c r="F8" s="626">
        <v>200</v>
      </c>
      <c r="G8" s="626">
        <v>0</v>
      </c>
      <c r="H8" s="626">
        <v>0</v>
      </c>
      <c r="I8" s="626">
        <v>0</v>
      </c>
      <c r="J8" s="626">
        <v>0</v>
      </c>
      <c r="K8" s="626">
        <v>0</v>
      </c>
      <c r="L8" s="626">
        <v>300</v>
      </c>
      <c r="M8" s="626">
        <v>200</v>
      </c>
      <c r="N8" s="626">
        <v>100</v>
      </c>
    </row>
    <row r="9" spans="1:14" x14ac:dyDescent="0.2">
      <c r="A9" s="1130" t="s">
        <v>6</v>
      </c>
      <c r="B9" s="622">
        <f t="shared" si="1"/>
        <v>0</v>
      </c>
      <c r="C9" s="626">
        <v>0</v>
      </c>
      <c r="D9" s="626">
        <v>0</v>
      </c>
      <c r="E9" s="626">
        <v>0</v>
      </c>
      <c r="F9" s="626">
        <v>0</v>
      </c>
      <c r="G9" s="626">
        <v>0</v>
      </c>
      <c r="H9" s="626">
        <v>0</v>
      </c>
      <c r="I9" s="626">
        <v>0</v>
      </c>
      <c r="J9" s="626">
        <v>0</v>
      </c>
      <c r="K9" s="626">
        <v>0</v>
      </c>
      <c r="L9" s="626">
        <v>0</v>
      </c>
      <c r="M9" s="626">
        <v>0</v>
      </c>
      <c r="N9" s="626">
        <v>0</v>
      </c>
    </row>
    <row r="10" spans="1:14" x14ac:dyDescent="0.2">
      <c r="A10" s="1130" t="s">
        <v>7</v>
      </c>
      <c r="B10" s="622">
        <f t="shared" si="1"/>
        <v>675</v>
      </c>
      <c r="C10" s="626">
        <v>280</v>
      </c>
      <c r="D10" s="626">
        <v>40</v>
      </c>
      <c r="E10" s="626">
        <v>40</v>
      </c>
      <c r="F10" s="626">
        <v>45</v>
      </c>
      <c r="G10" s="626">
        <v>0</v>
      </c>
      <c r="H10" s="626">
        <v>130</v>
      </c>
      <c r="I10" s="626">
        <v>80</v>
      </c>
      <c r="J10" s="626">
        <v>0</v>
      </c>
      <c r="K10" s="626">
        <v>60</v>
      </c>
      <c r="L10" s="626">
        <v>0</v>
      </c>
      <c r="M10" s="626">
        <v>0</v>
      </c>
      <c r="N10" s="626">
        <v>0</v>
      </c>
    </row>
    <row r="11" spans="1:14" x14ac:dyDescent="0.2">
      <c r="A11" s="1130" t="s">
        <v>8</v>
      </c>
      <c r="B11" s="622">
        <f t="shared" si="1"/>
        <v>510</v>
      </c>
      <c r="C11" s="626">
        <v>0</v>
      </c>
      <c r="D11" s="626">
        <v>0</v>
      </c>
      <c r="E11" s="626">
        <v>0</v>
      </c>
      <c r="F11" s="626">
        <v>150</v>
      </c>
      <c r="G11" s="626">
        <v>170</v>
      </c>
      <c r="H11" s="626">
        <v>160</v>
      </c>
      <c r="I11" s="626">
        <v>30</v>
      </c>
      <c r="J11" s="626">
        <v>0</v>
      </c>
      <c r="K11" s="626">
        <v>0</v>
      </c>
      <c r="L11" s="626">
        <v>0</v>
      </c>
      <c r="M11" s="626">
        <v>0</v>
      </c>
      <c r="N11" s="626">
        <v>0</v>
      </c>
    </row>
    <row r="12" spans="1:14" x14ac:dyDescent="0.2">
      <c r="A12" s="1130" t="s">
        <v>9</v>
      </c>
      <c r="B12" s="622">
        <f t="shared" si="1"/>
        <v>2090</v>
      </c>
      <c r="C12" s="626">
        <v>350</v>
      </c>
      <c r="D12" s="626">
        <v>270</v>
      </c>
      <c r="E12" s="626">
        <v>250</v>
      </c>
      <c r="F12" s="626">
        <v>50</v>
      </c>
      <c r="G12" s="626">
        <v>0</v>
      </c>
      <c r="H12" s="626">
        <v>75</v>
      </c>
      <c r="I12" s="626">
        <v>0</v>
      </c>
      <c r="J12" s="626">
        <v>145</v>
      </c>
      <c r="K12" s="626">
        <v>0</v>
      </c>
      <c r="L12" s="626">
        <v>280</v>
      </c>
      <c r="M12" s="626">
        <v>370</v>
      </c>
      <c r="N12" s="626">
        <v>300</v>
      </c>
    </row>
    <row r="13" spans="1:14" x14ac:dyDescent="0.2">
      <c r="A13" s="1130" t="s">
        <v>10</v>
      </c>
      <c r="B13" s="622">
        <f t="shared" si="1"/>
        <v>2184</v>
      </c>
      <c r="C13" s="626">
        <v>150</v>
      </c>
      <c r="D13" s="626">
        <v>0</v>
      </c>
      <c r="E13" s="626">
        <v>0</v>
      </c>
      <c r="F13" s="626">
        <v>220</v>
      </c>
      <c r="G13" s="626">
        <v>594</v>
      </c>
      <c r="H13" s="626">
        <v>170</v>
      </c>
      <c r="I13" s="626">
        <v>600</v>
      </c>
      <c r="J13" s="626">
        <v>0</v>
      </c>
      <c r="K13" s="626">
        <v>0</v>
      </c>
      <c r="L13" s="626">
        <v>0</v>
      </c>
      <c r="M13" s="626">
        <v>200</v>
      </c>
      <c r="N13" s="626">
        <v>250</v>
      </c>
    </row>
    <row r="14" spans="1:14" x14ac:dyDescent="0.2">
      <c r="A14" s="1130" t="s">
        <v>134</v>
      </c>
      <c r="B14" s="622">
        <f t="shared" si="1"/>
        <v>1700</v>
      </c>
      <c r="C14" s="626">
        <v>0</v>
      </c>
      <c r="D14" s="626">
        <v>0</v>
      </c>
      <c r="E14" s="626">
        <v>180</v>
      </c>
      <c r="F14" s="626">
        <v>240</v>
      </c>
      <c r="G14" s="626">
        <v>200</v>
      </c>
      <c r="H14" s="626">
        <v>180</v>
      </c>
      <c r="I14" s="626">
        <v>330</v>
      </c>
      <c r="J14" s="626">
        <v>40</v>
      </c>
      <c r="K14" s="626">
        <v>0</v>
      </c>
      <c r="L14" s="626">
        <v>0</v>
      </c>
      <c r="M14" s="626">
        <v>180</v>
      </c>
      <c r="N14" s="626">
        <v>350</v>
      </c>
    </row>
    <row r="15" spans="1:14" x14ac:dyDescent="0.2">
      <c r="A15" s="1130" t="s">
        <v>12</v>
      </c>
      <c r="B15" s="622">
        <f t="shared" si="1"/>
        <v>3228</v>
      </c>
      <c r="C15" s="626">
        <v>480</v>
      </c>
      <c r="D15" s="626">
        <v>160</v>
      </c>
      <c r="E15" s="626">
        <v>170</v>
      </c>
      <c r="F15" s="626">
        <v>410</v>
      </c>
      <c r="G15" s="626">
        <v>90</v>
      </c>
      <c r="H15" s="626">
        <v>220</v>
      </c>
      <c r="I15" s="626">
        <v>180</v>
      </c>
      <c r="J15" s="626">
        <v>40</v>
      </c>
      <c r="K15" s="626">
        <v>565</v>
      </c>
      <c r="L15" s="626">
        <v>105</v>
      </c>
      <c r="M15" s="626">
        <v>780</v>
      </c>
      <c r="N15" s="626">
        <v>28</v>
      </c>
    </row>
    <row r="16" spans="1:14" x14ac:dyDescent="0.2">
      <c r="A16" s="1130" t="s">
        <v>13</v>
      </c>
      <c r="B16" s="622">
        <f t="shared" si="1"/>
        <v>3935</v>
      </c>
      <c r="C16" s="626">
        <v>150</v>
      </c>
      <c r="D16" s="626">
        <v>31</v>
      </c>
      <c r="E16" s="626">
        <v>165</v>
      </c>
      <c r="F16" s="626">
        <v>115</v>
      </c>
      <c r="G16" s="626">
        <v>200</v>
      </c>
      <c r="H16" s="626">
        <v>363</v>
      </c>
      <c r="I16" s="626">
        <v>150</v>
      </c>
      <c r="J16" s="626">
        <v>561</v>
      </c>
      <c r="K16" s="626">
        <v>1030</v>
      </c>
      <c r="L16" s="626">
        <v>220</v>
      </c>
      <c r="M16" s="626">
        <v>120</v>
      </c>
      <c r="N16" s="626">
        <v>830</v>
      </c>
    </row>
    <row r="17" spans="1:14" x14ac:dyDescent="0.2">
      <c r="A17" s="1130" t="s">
        <v>47</v>
      </c>
      <c r="B17" s="622">
        <f t="shared" si="1"/>
        <v>785</v>
      </c>
      <c r="C17" s="626">
        <v>0</v>
      </c>
      <c r="D17" s="626">
        <v>0</v>
      </c>
      <c r="E17" s="626">
        <v>50</v>
      </c>
      <c r="F17" s="626">
        <v>225</v>
      </c>
      <c r="G17" s="626">
        <v>80</v>
      </c>
      <c r="H17" s="626">
        <v>0</v>
      </c>
      <c r="I17" s="626">
        <v>60</v>
      </c>
      <c r="J17" s="626">
        <v>0</v>
      </c>
      <c r="K17" s="626">
        <v>120</v>
      </c>
      <c r="L17" s="626">
        <v>170</v>
      </c>
      <c r="M17" s="626">
        <v>0</v>
      </c>
      <c r="N17" s="626">
        <v>80</v>
      </c>
    </row>
    <row r="18" spans="1:14" x14ac:dyDescent="0.2">
      <c r="A18" s="1130" t="s">
        <v>135</v>
      </c>
      <c r="B18" s="622">
        <f t="shared" si="1"/>
        <v>50</v>
      </c>
      <c r="C18" s="626">
        <v>0</v>
      </c>
      <c r="D18" s="626">
        <v>0</v>
      </c>
      <c r="E18" s="626">
        <v>0</v>
      </c>
      <c r="F18" s="626">
        <v>0</v>
      </c>
      <c r="G18" s="626">
        <v>0</v>
      </c>
      <c r="H18" s="626">
        <v>0</v>
      </c>
      <c r="I18" s="626">
        <v>0</v>
      </c>
      <c r="J18" s="626">
        <v>20</v>
      </c>
      <c r="K18" s="626">
        <v>30</v>
      </c>
      <c r="L18" s="626">
        <v>0</v>
      </c>
      <c r="M18" s="626">
        <v>0</v>
      </c>
      <c r="N18" s="626">
        <v>0</v>
      </c>
    </row>
    <row r="19" spans="1:14" x14ac:dyDescent="0.2">
      <c r="A19" s="1130" t="s">
        <v>136</v>
      </c>
      <c r="B19" s="622">
        <f t="shared" si="1"/>
        <v>720</v>
      </c>
      <c r="C19" s="626">
        <v>0</v>
      </c>
      <c r="D19" s="626">
        <v>0</v>
      </c>
      <c r="E19" s="626">
        <v>0</v>
      </c>
      <c r="F19" s="626">
        <v>130</v>
      </c>
      <c r="G19" s="626">
        <v>270</v>
      </c>
      <c r="H19" s="626">
        <v>70</v>
      </c>
      <c r="I19" s="626">
        <v>0</v>
      </c>
      <c r="J19" s="626">
        <v>0</v>
      </c>
      <c r="K19" s="626">
        <v>250</v>
      </c>
      <c r="L19" s="626">
        <v>0</v>
      </c>
      <c r="M19" s="626">
        <v>0</v>
      </c>
      <c r="N19" s="626">
        <v>0</v>
      </c>
    </row>
    <row r="20" spans="1:14" x14ac:dyDescent="0.2">
      <c r="A20" s="1130" t="s">
        <v>17</v>
      </c>
      <c r="B20" s="622">
        <f t="shared" si="1"/>
        <v>200</v>
      </c>
      <c r="C20" s="626">
        <v>0</v>
      </c>
      <c r="D20" s="626">
        <v>0</v>
      </c>
      <c r="E20" s="626">
        <v>200</v>
      </c>
      <c r="F20" s="626">
        <v>0</v>
      </c>
      <c r="G20" s="626">
        <v>0</v>
      </c>
      <c r="H20" s="626">
        <v>0</v>
      </c>
      <c r="I20" s="626">
        <v>0</v>
      </c>
      <c r="J20" s="626">
        <v>0</v>
      </c>
      <c r="K20" s="626">
        <v>0</v>
      </c>
      <c r="L20" s="626">
        <v>0</v>
      </c>
      <c r="M20" s="626">
        <v>0</v>
      </c>
      <c r="N20" s="626">
        <v>0</v>
      </c>
    </row>
    <row r="21" spans="1:14" x14ac:dyDescent="0.2">
      <c r="A21" s="1130" t="s">
        <v>18</v>
      </c>
      <c r="B21" s="622">
        <f t="shared" si="1"/>
        <v>0</v>
      </c>
      <c r="C21" s="626">
        <v>0</v>
      </c>
      <c r="D21" s="626">
        <v>0</v>
      </c>
      <c r="E21" s="626">
        <v>0</v>
      </c>
      <c r="F21" s="626">
        <v>0</v>
      </c>
      <c r="G21" s="626">
        <v>0</v>
      </c>
      <c r="H21" s="626">
        <v>0</v>
      </c>
      <c r="I21" s="626">
        <v>0</v>
      </c>
      <c r="J21" s="626">
        <v>0</v>
      </c>
      <c r="K21" s="626">
        <v>0</v>
      </c>
      <c r="L21" s="626">
        <v>0</v>
      </c>
      <c r="M21" s="626">
        <v>0</v>
      </c>
      <c r="N21" s="626">
        <v>0</v>
      </c>
    </row>
    <row r="22" spans="1:14" x14ac:dyDescent="0.2">
      <c r="A22" s="288"/>
      <c r="B22" s="655"/>
      <c r="C22" s="650"/>
      <c r="D22" s="650"/>
      <c r="E22" s="650"/>
      <c r="F22" s="650"/>
      <c r="G22" s="650"/>
      <c r="H22" s="650"/>
      <c r="I22" s="650"/>
      <c r="J22" s="650"/>
      <c r="K22" s="650"/>
      <c r="L22" s="650"/>
      <c r="M22" s="650"/>
      <c r="N22" s="650"/>
    </row>
    <row r="23" spans="1:14" ht="24" customHeight="1" x14ac:dyDescent="0.25">
      <c r="A23" s="982" t="s">
        <v>2212</v>
      </c>
      <c r="B23" s="982"/>
      <c r="C23" s="982"/>
      <c r="D23" s="982"/>
      <c r="E23" s="982"/>
      <c r="F23" s="982"/>
      <c r="G23" s="982"/>
      <c r="H23" s="982"/>
      <c r="I23" s="991"/>
      <c r="J23" s="991"/>
      <c r="K23" s="991"/>
      <c r="L23" s="991"/>
      <c r="M23" s="991"/>
      <c r="N23" s="991"/>
    </row>
    <row r="24" spans="1:14" ht="12.6" x14ac:dyDescent="0.2">
      <c r="A24" s="336" t="s">
        <v>2853</v>
      </c>
      <c r="B24" s="667"/>
      <c r="C24" s="667"/>
      <c r="D24" s="667"/>
      <c r="E24" s="667"/>
      <c r="F24" s="667"/>
      <c r="G24" s="667"/>
      <c r="H24" s="667"/>
      <c r="I24" s="667"/>
      <c r="J24" s="667"/>
      <c r="K24" s="667"/>
      <c r="L24" s="667"/>
      <c r="M24" s="667"/>
      <c r="N24" s="667"/>
    </row>
  </sheetData>
  <mergeCells count="4">
    <mergeCell ref="A2:G2"/>
    <mergeCell ref="A4:A5"/>
    <mergeCell ref="B4:N4"/>
    <mergeCell ref="A23:N23"/>
  </mergeCells>
  <pageMargins left="0.7" right="0.7" top="0.75" bottom="0.75" header="0.3" footer="0.3"/>
  <pageSetup paperSize="14" orientation="landscape" r:id="rId1"/>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0D6827-FE68-4370-BA63-F8B436161478}">
  <sheetPr codeName="Hoja226">
    <tabColor theme="8"/>
  </sheetPr>
  <dimension ref="A2:A6"/>
  <sheetViews>
    <sheetView workbookViewId="0">
      <selection activeCell="A6" sqref="A6"/>
    </sheetView>
  </sheetViews>
  <sheetFormatPr baseColWidth="10" defaultColWidth="11.44140625" defaultRowHeight="10.199999999999999" x14ac:dyDescent="0.2"/>
  <cols>
    <col min="1" max="16384" width="11.44140625" style="24"/>
  </cols>
  <sheetData>
    <row r="2" spans="1:1" x14ac:dyDescent="0.2">
      <c r="A2" s="24" t="s">
        <v>2546</v>
      </c>
    </row>
    <row r="4" spans="1:1" x14ac:dyDescent="0.2">
      <c r="A4" s="182" t="s">
        <v>2547</v>
      </c>
    </row>
    <row r="5" spans="1:1" x14ac:dyDescent="0.2">
      <c r="A5" s="182" t="s">
        <v>2548</v>
      </c>
    </row>
    <row r="6" spans="1:1" x14ac:dyDescent="0.2">
      <c r="A6" s="182" t="s">
        <v>2549</v>
      </c>
    </row>
  </sheetData>
  <hyperlinks>
    <hyperlink ref="A4" location="'3.6.3-01'!A1" display="CUADRO 3.6.3-01: NÚMERO DE SOCIOS DE LA ASOCIACIÓN NACIONAL DE LA PRENSA (ANP), POR SOPORTE DE PUBLICACIÓN (DIARIO, PERIÓDICO, REVISTAS Y OTROS), SEGÚN REGIÓN DE CASA MATRIZ. 2013" xr:uid="{E473CF19-E0BA-496D-8536-AEAC2C6749D2}"/>
    <hyperlink ref="A5" location="'3.6.3-02'!A1" display="CUADRO 3.6.3-02: CONCURSO DE LECTORES INFANTILES: NÚMERO DE POSTULANTES Y NÚMERO DE GANADORES, SEGÚN REGIÓN, SEXO Y GRUPO DE EDAD. 2012-2013" xr:uid="{F75AB8B8-89E5-436C-A307-DB003C539A8A}"/>
    <hyperlink ref="A6" location="'3.6.3-03'!A1" display="CUADRO 3.6.3-03: OLIMPIADAS DE ACTUALIDAD POR NÚMERO DE COLEGIOS Y DE REGIONES PARTICIPANTES. 2010-2013" xr:uid="{26A35DF0-84C8-4B33-AA10-3AE34F9CC4DF}"/>
  </hyperlinks>
  <pageMargins left="0.7" right="0.7" top="0.75" bottom="0.75" header="0.3" footer="0.3"/>
  <pageSetup paperSize="14" orientation="landscape" r:id="rId1"/>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4079C-706C-4D90-8FC9-451D843CA2B8}">
  <sheetPr codeName="Hoja227"/>
  <dimension ref="A1:J24"/>
  <sheetViews>
    <sheetView workbookViewId="0">
      <selection activeCell="A53" sqref="A53"/>
    </sheetView>
  </sheetViews>
  <sheetFormatPr baseColWidth="10" defaultRowHeight="13.2" x14ac:dyDescent="0.25"/>
  <cols>
    <col min="1" max="1" width="22.33203125" customWidth="1"/>
  </cols>
  <sheetData>
    <row r="1" spans="1:10" s="2" customFormat="1" ht="10.199999999999999" x14ac:dyDescent="0.2">
      <c r="A1" s="691"/>
    </row>
    <row r="2" spans="1:10" s="2" customFormat="1" ht="61.5" customHeight="1" x14ac:dyDescent="0.2">
      <c r="A2" s="308" t="s">
        <v>2547</v>
      </c>
      <c r="B2" s="308"/>
      <c r="C2" s="308"/>
      <c r="D2" s="624"/>
      <c r="E2" s="1164"/>
      <c r="J2" s="624"/>
    </row>
    <row r="3" spans="1:10" s="2" customFormat="1" ht="10.199999999999999" x14ac:dyDescent="0.2">
      <c r="I3" s="624"/>
    </row>
    <row r="4" spans="1:10" s="2" customFormat="1" ht="10.199999999999999" x14ac:dyDescent="0.2">
      <c r="A4" s="653" t="s">
        <v>2854</v>
      </c>
      <c r="B4" s="685">
        <v>2013</v>
      </c>
      <c r="C4" s="685"/>
    </row>
    <row r="5" spans="1:10" s="2" customFormat="1" ht="10.199999999999999" x14ac:dyDescent="0.2">
      <c r="A5" s="654"/>
      <c r="B5" s="1033" t="s">
        <v>2855</v>
      </c>
      <c r="C5" s="1033" t="s">
        <v>2856</v>
      </c>
      <c r="F5" s="624"/>
    </row>
    <row r="6" spans="1:10" s="2" customFormat="1" ht="10.199999999999999" x14ac:dyDescent="0.2">
      <c r="A6" s="24" t="s">
        <v>42</v>
      </c>
      <c r="B6" s="24">
        <f>SUM(B7:B21)</f>
        <v>55</v>
      </c>
      <c r="C6" s="24">
        <f>SUM(C7:C21)</f>
        <v>63</v>
      </c>
      <c r="E6" s="1136"/>
      <c r="G6" s="624"/>
    </row>
    <row r="7" spans="1:10" s="2" customFormat="1" ht="10.199999999999999" x14ac:dyDescent="0.2">
      <c r="A7" s="1165" t="s">
        <v>4</v>
      </c>
      <c r="B7" s="2">
        <v>1</v>
      </c>
      <c r="C7" s="1166">
        <v>0</v>
      </c>
      <c r="E7" s="288"/>
    </row>
    <row r="8" spans="1:10" s="2" customFormat="1" ht="10.199999999999999" x14ac:dyDescent="0.2">
      <c r="A8" s="1165" t="s">
        <v>5</v>
      </c>
      <c r="B8" s="2">
        <v>4</v>
      </c>
      <c r="C8" s="1166">
        <v>0</v>
      </c>
      <c r="E8" s="288"/>
    </row>
    <row r="9" spans="1:10" s="2" customFormat="1" ht="10.199999999999999" x14ac:dyDescent="0.2">
      <c r="A9" s="1165" t="s">
        <v>6</v>
      </c>
      <c r="B9" s="2">
        <v>5</v>
      </c>
      <c r="C9" s="1166">
        <v>0</v>
      </c>
      <c r="E9" s="288"/>
    </row>
    <row r="10" spans="1:10" s="2" customFormat="1" ht="10.199999999999999" x14ac:dyDescent="0.2">
      <c r="A10" s="1165" t="s">
        <v>7</v>
      </c>
      <c r="B10" s="2">
        <v>2</v>
      </c>
      <c r="C10" s="1166">
        <v>0</v>
      </c>
      <c r="E10" s="288"/>
    </row>
    <row r="11" spans="1:10" s="2" customFormat="1" ht="10.199999999999999" x14ac:dyDescent="0.2">
      <c r="A11" s="1165" t="s">
        <v>8</v>
      </c>
      <c r="B11" s="2">
        <v>2</v>
      </c>
      <c r="C11" s="1166">
        <v>0</v>
      </c>
      <c r="E11" s="288"/>
    </row>
    <row r="12" spans="1:10" s="2" customFormat="1" ht="10.199999999999999" x14ac:dyDescent="0.2">
      <c r="A12" s="1165" t="s">
        <v>9</v>
      </c>
      <c r="B12" s="2">
        <v>5</v>
      </c>
      <c r="C12" s="1166">
        <v>0</v>
      </c>
      <c r="E12" s="288"/>
    </row>
    <row r="13" spans="1:10" s="2" customFormat="1" ht="10.199999999999999" x14ac:dyDescent="0.2">
      <c r="A13" s="1165" t="s">
        <v>134</v>
      </c>
      <c r="B13" s="2">
        <v>1</v>
      </c>
      <c r="C13" s="1166">
        <v>0</v>
      </c>
      <c r="E13" s="288"/>
    </row>
    <row r="14" spans="1:10" s="2" customFormat="1" ht="10.199999999999999" x14ac:dyDescent="0.2">
      <c r="A14" s="1165" t="s">
        <v>12</v>
      </c>
      <c r="B14" s="2">
        <v>3</v>
      </c>
      <c r="C14" s="1166">
        <v>0</v>
      </c>
      <c r="E14" s="288"/>
    </row>
    <row r="15" spans="1:10" s="2" customFormat="1" ht="10.199999999999999" x14ac:dyDescent="0.2">
      <c r="A15" s="1165" t="s">
        <v>13</v>
      </c>
      <c r="B15" s="2">
        <v>7</v>
      </c>
      <c r="C15" s="1166">
        <v>0</v>
      </c>
      <c r="E15" s="288"/>
    </row>
    <row r="16" spans="1:10" s="2" customFormat="1" ht="10.199999999999999" x14ac:dyDescent="0.2">
      <c r="A16" s="1165" t="s">
        <v>47</v>
      </c>
      <c r="B16" s="2">
        <v>1</v>
      </c>
      <c r="C16" s="1166">
        <v>0</v>
      </c>
      <c r="E16" s="288"/>
    </row>
    <row r="17" spans="1:5" s="2" customFormat="1" ht="10.199999999999999" x14ac:dyDescent="0.2">
      <c r="A17" s="1165" t="s">
        <v>135</v>
      </c>
      <c r="B17" s="2">
        <v>1</v>
      </c>
      <c r="C17" s="1166">
        <v>0</v>
      </c>
      <c r="E17" s="288"/>
    </row>
    <row r="18" spans="1:5" s="2" customFormat="1" ht="10.199999999999999" x14ac:dyDescent="0.2">
      <c r="A18" s="1165" t="s">
        <v>136</v>
      </c>
      <c r="B18" s="2">
        <v>3</v>
      </c>
      <c r="C18" s="1166">
        <v>0</v>
      </c>
      <c r="E18" s="288"/>
    </row>
    <row r="19" spans="1:5" s="2" customFormat="1" ht="10.199999999999999" x14ac:dyDescent="0.2">
      <c r="A19" s="1165" t="s">
        <v>17</v>
      </c>
      <c r="B19" s="2">
        <v>2</v>
      </c>
      <c r="C19" s="1166">
        <v>0</v>
      </c>
      <c r="E19" s="288"/>
    </row>
    <row r="20" spans="1:5" s="2" customFormat="1" ht="10.199999999999999" x14ac:dyDescent="0.2">
      <c r="A20" s="1165" t="s">
        <v>18</v>
      </c>
      <c r="B20" s="2">
        <v>3</v>
      </c>
      <c r="C20" s="1166">
        <v>0</v>
      </c>
      <c r="E20" s="288"/>
    </row>
    <row r="21" spans="1:5" s="2" customFormat="1" ht="10.199999999999999" x14ac:dyDescent="0.2">
      <c r="A21" s="1165" t="s">
        <v>10</v>
      </c>
      <c r="B21" s="2">
        <v>15</v>
      </c>
      <c r="C21" s="2">
        <v>63</v>
      </c>
      <c r="E21" s="288"/>
    </row>
    <row r="22" spans="1:5" s="2" customFormat="1" ht="7.5" customHeight="1" x14ac:dyDescent="0.2">
      <c r="A22" s="288"/>
      <c r="E22" s="288"/>
    </row>
    <row r="23" spans="1:5" s="2" customFormat="1" ht="21" customHeight="1" x14ac:dyDescent="0.2">
      <c r="A23" s="1167" t="s">
        <v>2857</v>
      </c>
      <c r="B23" s="1167"/>
      <c r="C23" s="1167"/>
      <c r="E23" s="288"/>
    </row>
    <row r="24" spans="1:5" s="2" customFormat="1" ht="10.199999999999999" x14ac:dyDescent="0.2">
      <c r="A24" s="336" t="s">
        <v>2858</v>
      </c>
    </row>
  </sheetData>
  <mergeCells count="4">
    <mergeCell ref="A2:C2"/>
    <mergeCell ref="A4:A5"/>
    <mergeCell ref="B4:C4"/>
    <mergeCell ref="A23:C23"/>
  </mergeCells>
  <pageMargins left="0.7" right="0.7" top="0.75" bottom="0.75" header="0.3" footer="0.3"/>
  <pageSetup paperSize="14" orientation="portrait" r:id="rId1"/>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897C23-80BE-4BBD-B867-361B637124F2}">
  <sheetPr codeName="Hoja228"/>
  <dimension ref="A1:AF31"/>
  <sheetViews>
    <sheetView workbookViewId="0">
      <selection activeCell="A53" sqref="A53"/>
    </sheetView>
  </sheetViews>
  <sheetFormatPr baseColWidth="10" defaultRowHeight="13.2" x14ac:dyDescent="0.25"/>
  <cols>
    <col min="1" max="1" width="25" customWidth="1"/>
    <col min="2" max="5" width="12.88671875" customWidth="1"/>
  </cols>
  <sheetData>
    <row r="1" spans="1:24" s="2" customFormat="1" ht="10.199999999999999" x14ac:dyDescent="0.2">
      <c r="A1" s="691"/>
    </row>
    <row r="2" spans="1:24" s="309" customFormat="1" ht="36" customHeight="1" x14ac:dyDescent="0.2">
      <c r="A2" s="234" t="s">
        <v>2548</v>
      </c>
      <c r="B2" s="234"/>
      <c r="C2" s="234"/>
      <c r="D2" s="234"/>
      <c r="E2" s="234"/>
      <c r="F2" s="624"/>
      <c r="G2" s="1164"/>
      <c r="H2" s="624"/>
      <c r="I2" s="624"/>
      <c r="J2" s="624"/>
    </row>
    <row r="3" spans="1:24" s="309" customFormat="1" ht="10.199999999999999" x14ac:dyDescent="0.2">
      <c r="A3" s="882"/>
      <c r="B3" s="882"/>
      <c r="C3" s="882"/>
      <c r="D3" s="882"/>
      <c r="E3" s="882"/>
      <c r="F3" s="882"/>
      <c r="G3" s="882"/>
      <c r="H3" s="882"/>
      <c r="I3" s="882"/>
      <c r="J3" s="882"/>
      <c r="K3" s="882"/>
      <c r="L3" s="882"/>
      <c r="M3" s="882"/>
      <c r="N3" s="882"/>
      <c r="O3" s="882"/>
      <c r="X3" s="882"/>
    </row>
    <row r="4" spans="1:24" s="2" customFormat="1" ht="15.75" customHeight="1" x14ac:dyDescent="0.2">
      <c r="A4" s="298" t="s">
        <v>2859</v>
      </c>
      <c r="B4" s="298">
        <v>2012</v>
      </c>
      <c r="C4" s="298"/>
      <c r="D4" s="298">
        <v>2013</v>
      </c>
      <c r="E4" s="298"/>
      <c r="F4" s="1110"/>
      <c r="G4" s="1110"/>
      <c r="H4" s="1110"/>
      <c r="I4" s="1110"/>
      <c r="J4" s="1110"/>
      <c r="K4" s="1110"/>
      <c r="L4" s="1110"/>
      <c r="M4" s="1110"/>
      <c r="N4" s="1110"/>
      <c r="O4" s="1110"/>
      <c r="X4" s="882"/>
    </row>
    <row r="5" spans="1:24" s="2" customFormat="1" ht="20.25" customHeight="1" x14ac:dyDescent="0.2">
      <c r="A5" s="298"/>
      <c r="B5" s="644" t="s">
        <v>2860</v>
      </c>
      <c r="C5" s="644" t="s">
        <v>2861</v>
      </c>
      <c r="D5" s="644" t="s">
        <v>2860</v>
      </c>
      <c r="E5" s="644" t="s">
        <v>2861</v>
      </c>
      <c r="F5" s="1110"/>
      <c r="G5" s="1110"/>
      <c r="H5" s="1110"/>
      <c r="I5" s="1110"/>
      <c r="J5" s="1110"/>
      <c r="K5" s="1110"/>
      <c r="L5" s="1110"/>
      <c r="M5" s="1110"/>
      <c r="N5" s="1110"/>
      <c r="O5" s="1110"/>
      <c r="X5" s="882"/>
    </row>
    <row r="6" spans="1:24" s="2" customFormat="1" ht="10.199999999999999" x14ac:dyDescent="0.2">
      <c r="A6" s="24" t="s">
        <v>3</v>
      </c>
      <c r="B6" s="1168">
        <f>SUM(B7:B21)</f>
        <v>5614</v>
      </c>
      <c r="C6" s="1168">
        <f>SUM(C7:C21)</f>
        <v>25</v>
      </c>
      <c r="D6" s="1168">
        <f>SUM(D7:D21)</f>
        <v>2967</v>
      </c>
      <c r="E6" s="1168">
        <f>SUM(E7:E21)</f>
        <v>14</v>
      </c>
      <c r="F6" s="1110"/>
      <c r="G6" s="1110"/>
      <c r="H6" s="1110"/>
      <c r="I6" s="1110"/>
      <c r="J6" s="1110"/>
      <c r="K6" s="1110"/>
      <c r="L6" s="1110"/>
      <c r="M6" s="1110"/>
      <c r="N6" s="1110"/>
      <c r="O6" s="1110"/>
      <c r="X6" s="882"/>
    </row>
    <row r="7" spans="1:24" s="2" customFormat="1" ht="10.199999999999999" x14ac:dyDescent="0.2">
      <c r="A7" s="1169" t="s">
        <v>4</v>
      </c>
      <c r="B7" s="1170">
        <v>62</v>
      </c>
      <c r="C7" s="1170">
        <v>0</v>
      </c>
      <c r="D7" s="1170">
        <v>41</v>
      </c>
      <c r="E7" s="1170">
        <v>0</v>
      </c>
      <c r="F7" s="1110"/>
      <c r="G7" s="1110"/>
      <c r="H7" s="1110"/>
      <c r="I7" s="1110"/>
      <c r="J7" s="1110"/>
      <c r="K7" s="1110"/>
      <c r="L7" s="1110"/>
      <c r="M7" s="1110"/>
      <c r="N7" s="1110"/>
      <c r="O7" s="1110"/>
      <c r="X7" s="882"/>
    </row>
    <row r="8" spans="1:24" s="2" customFormat="1" ht="10.199999999999999" x14ac:dyDescent="0.2">
      <c r="A8" s="1169" t="s">
        <v>5</v>
      </c>
      <c r="B8" s="1171">
        <v>186</v>
      </c>
      <c r="C8" s="1170">
        <v>0</v>
      </c>
      <c r="D8" s="1172">
        <v>153</v>
      </c>
      <c r="E8" s="1170">
        <v>0</v>
      </c>
      <c r="F8" s="1110"/>
      <c r="G8" s="1110"/>
      <c r="H8" s="1110"/>
      <c r="I8" s="1110"/>
      <c r="J8" s="1110"/>
      <c r="K8" s="1110"/>
      <c r="L8" s="1110"/>
      <c r="M8" s="1110"/>
      <c r="N8" s="1110"/>
      <c r="O8" s="1110"/>
      <c r="X8" s="882"/>
    </row>
    <row r="9" spans="1:24" s="2" customFormat="1" ht="10.199999999999999" x14ac:dyDescent="0.2">
      <c r="A9" s="1169" t="s">
        <v>6</v>
      </c>
      <c r="B9" s="1172">
        <v>55</v>
      </c>
      <c r="C9" s="1170">
        <v>0</v>
      </c>
      <c r="D9" s="1172">
        <v>352</v>
      </c>
      <c r="E9" s="1171">
        <v>1</v>
      </c>
      <c r="F9" s="1110"/>
      <c r="G9" s="1110"/>
      <c r="H9" s="1110"/>
      <c r="I9" s="1110"/>
      <c r="J9" s="1110"/>
      <c r="K9" s="1110"/>
      <c r="L9" s="1110"/>
      <c r="M9" s="1110"/>
      <c r="N9" s="1110"/>
      <c r="O9" s="1110"/>
      <c r="X9" s="882"/>
    </row>
    <row r="10" spans="1:24" s="2" customFormat="1" ht="10.199999999999999" x14ac:dyDescent="0.2">
      <c r="A10" s="1169" t="s">
        <v>7</v>
      </c>
      <c r="B10" s="1171">
        <v>13</v>
      </c>
      <c r="C10" s="1170">
        <v>0</v>
      </c>
      <c r="D10" s="1172">
        <v>16</v>
      </c>
      <c r="E10" s="1170">
        <v>0</v>
      </c>
      <c r="F10" s="1110"/>
      <c r="G10" s="1110"/>
      <c r="H10" s="1110"/>
      <c r="I10" s="1110"/>
      <c r="J10" s="1110"/>
      <c r="K10" s="1110"/>
      <c r="L10" s="1110"/>
      <c r="M10" s="1110"/>
      <c r="N10" s="1110"/>
      <c r="O10" s="1110"/>
      <c r="X10" s="882"/>
    </row>
    <row r="11" spans="1:24" s="2" customFormat="1" ht="10.199999999999999" x14ac:dyDescent="0.2">
      <c r="A11" s="1169" t="s">
        <v>8</v>
      </c>
      <c r="B11" s="1171">
        <v>708</v>
      </c>
      <c r="C11" s="1170">
        <v>0</v>
      </c>
      <c r="D11" s="1172">
        <v>82</v>
      </c>
      <c r="E11" s="1170">
        <v>0</v>
      </c>
      <c r="F11" s="1110"/>
      <c r="G11" s="1110"/>
      <c r="H11" s="1110"/>
      <c r="I11" s="1110"/>
      <c r="J11" s="1110"/>
      <c r="K11" s="1110"/>
      <c r="L11" s="1110"/>
      <c r="M11" s="1110"/>
      <c r="N11" s="1110"/>
      <c r="O11" s="1110"/>
      <c r="X11" s="882"/>
    </row>
    <row r="12" spans="1:24" s="2" customFormat="1" ht="10.199999999999999" x14ac:dyDescent="0.2">
      <c r="A12" s="1169" t="s">
        <v>9</v>
      </c>
      <c r="B12" s="1171">
        <v>570</v>
      </c>
      <c r="C12" s="1171">
        <v>2</v>
      </c>
      <c r="D12" s="1172">
        <v>206</v>
      </c>
      <c r="E12" s="1171">
        <v>2</v>
      </c>
      <c r="F12" s="1110"/>
      <c r="G12" s="1110"/>
      <c r="H12" s="1110"/>
      <c r="I12" s="1110"/>
      <c r="J12" s="1110"/>
      <c r="K12" s="1110"/>
      <c r="L12" s="1110"/>
      <c r="M12" s="1110"/>
      <c r="N12" s="1110"/>
      <c r="O12" s="1110"/>
      <c r="X12" s="882"/>
    </row>
    <row r="13" spans="1:24" s="2" customFormat="1" ht="10.199999999999999" x14ac:dyDescent="0.2">
      <c r="A13" s="1169" t="s">
        <v>134</v>
      </c>
      <c r="B13" s="1172">
        <v>252</v>
      </c>
      <c r="C13" s="1171">
        <v>5</v>
      </c>
      <c r="D13" s="1172">
        <v>107</v>
      </c>
      <c r="E13" s="1171">
        <v>2</v>
      </c>
      <c r="F13" s="1110"/>
      <c r="G13" s="1110"/>
      <c r="H13" s="1110"/>
      <c r="I13" s="1110"/>
      <c r="J13" s="1110"/>
      <c r="K13" s="1110"/>
      <c r="L13" s="1110"/>
      <c r="M13" s="1110"/>
      <c r="N13" s="1110"/>
      <c r="O13" s="1110"/>
      <c r="X13" s="882"/>
    </row>
    <row r="14" spans="1:24" s="2" customFormat="1" ht="10.199999999999999" x14ac:dyDescent="0.2">
      <c r="A14" s="1169" t="s">
        <v>12</v>
      </c>
      <c r="B14" s="1172">
        <v>371</v>
      </c>
      <c r="C14" s="1170">
        <v>0</v>
      </c>
      <c r="D14" s="1172">
        <v>87</v>
      </c>
      <c r="E14" s="1171">
        <v>1</v>
      </c>
      <c r="F14" s="1110"/>
      <c r="G14" s="1110"/>
      <c r="H14" s="1110"/>
      <c r="I14" s="1110"/>
      <c r="J14" s="1110"/>
      <c r="K14" s="1110"/>
      <c r="L14" s="1110"/>
      <c r="M14" s="1110"/>
      <c r="N14" s="1110"/>
      <c r="O14" s="1110"/>
      <c r="X14" s="882"/>
    </row>
    <row r="15" spans="1:24" s="2" customFormat="1" ht="10.199999999999999" x14ac:dyDescent="0.2">
      <c r="A15" s="1169" t="s">
        <v>13</v>
      </c>
      <c r="B15" s="1172">
        <v>598</v>
      </c>
      <c r="C15" s="1171">
        <v>4</v>
      </c>
      <c r="D15" s="1172">
        <v>620</v>
      </c>
      <c r="E15" s="1171">
        <v>2</v>
      </c>
      <c r="F15" s="1110"/>
      <c r="G15" s="1110"/>
      <c r="H15" s="1110"/>
      <c r="I15" s="1110"/>
      <c r="J15" s="1110"/>
      <c r="K15" s="1110"/>
      <c r="L15" s="1110"/>
      <c r="M15" s="1110"/>
      <c r="N15" s="1110"/>
      <c r="O15" s="1110"/>
      <c r="X15" s="882"/>
    </row>
    <row r="16" spans="1:24" s="2" customFormat="1" ht="10.199999999999999" x14ac:dyDescent="0.2">
      <c r="A16" s="1169" t="s">
        <v>47</v>
      </c>
      <c r="B16" s="1172">
        <v>109</v>
      </c>
      <c r="C16" s="1170">
        <v>0</v>
      </c>
      <c r="D16" s="1172">
        <v>130</v>
      </c>
      <c r="E16" s="1172">
        <v>1</v>
      </c>
      <c r="F16" s="1110"/>
      <c r="G16" s="1110"/>
      <c r="H16" s="1110"/>
      <c r="I16" s="1110"/>
      <c r="J16" s="1110"/>
      <c r="K16" s="1110"/>
      <c r="L16" s="1110"/>
      <c r="M16" s="1110"/>
      <c r="N16" s="1110"/>
      <c r="O16" s="1110"/>
      <c r="X16" s="882"/>
    </row>
    <row r="17" spans="1:32" s="2" customFormat="1" ht="10.199999999999999" x14ac:dyDescent="0.2">
      <c r="A17" s="1169" t="s">
        <v>135</v>
      </c>
      <c r="B17" s="1172">
        <v>113</v>
      </c>
      <c r="C17" s="1171">
        <v>1</v>
      </c>
      <c r="D17" s="1172">
        <v>19</v>
      </c>
      <c r="E17" s="1170">
        <v>0</v>
      </c>
      <c r="F17" s="1110"/>
      <c r="G17" s="1110"/>
      <c r="H17" s="1110"/>
      <c r="I17" s="1110"/>
      <c r="J17" s="1110"/>
      <c r="K17" s="1110"/>
      <c r="L17" s="1110"/>
      <c r="M17" s="1110"/>
      <c r="N17" s="1110"/>
      <c r="O17" s="1110"/>
      <c r="X17" s="882"/>
    </row>
    <row r="18" spans="1:32" s="2" customFormat="1" ht="10.199999999999999" x14ac:dyDescent="0.2">
      <c r="A18" s="1169" t="s">
        <v>136</v>
      </c>
      <c r="B18" s="1171">
        <v>281</v>
      </c>
      <c r="C18" s="1171">
        <v>3</v>
      </c>
      <c r="D18" s="1172">
        <v>191</v>
      </c>
      <c r="E18" s="1171">
        <v>1</v>
      </c>
      <c r="F18" s="1110"/>
      <c r="G18" s="1110"/>
      <c r="H18" s="1110"/>
      <c r="I18" s="1110"/>
      <c r="J18" s="1110"/>
      <c r="K18" s="1110"/>
      <c r="L18" s="1110"/>
      <c r="M18" s="1110"/>
      <c r="N18" s="1110"/>
      <c r="O18" s="1110"/>
      <c r="X18" s="882"/>
      <c r="Y18" s="1141"/>
      <c r="Z18" s="1141"/>
      <c r="AA18" s="1141"/>
      <c r="AB18" s="1141"/>
    </row>
    <row r="19" spans="1:32" s="2" customFormat="1" ht="10.199999999999999" x14ac:dyDescent="0.2">
      <c r="A19" s="1169" t="s">
        <v>17</v>
      </c>
      <c r="B19" s="1171">
        <v>64</v>
      </c>
      <c r="C19" s="1170">
        <v>0</v>
      </c>
      <c r="D19" s="1172">
        <v>11</v>
      </c>
      <c r="E19" s="1170">
        <v>0</v>
      </c>
      <c r="F19" s="1110"/>
      <c r="G19" s="1110"/>
      <c r="H19" s="1110"/>
      <c r="I19" s="1110"/>
      <c r="J19" s="1110"/>
      <c r="K19" s="1110"/>
      <c r="L19" s="1110"/>
      <c r="M19" s="1110"/>
      <c r="N19" s="1110"/>
      <c r="O19" s="1110"/>
      <c r="X19" s="882"/>
      <c r="Y19" s="1141"/>
      <c r="Z19" s="1141"/>
      <c r="AA19" s="1141"/>
      <c r="AB19" s="1141"/>
    </row>
    <row r="20" spans="1:32" s="2" customFormat="1" ht="10.5" customHeight="1" x14ac:dyDescent="0.2">
      <c r="A20" s="1169" t="s">
        <v>18</v>
      </c>
      <c r="B20" s="1171">
        <v>80</v>
      </c>
      <c r="C20" s="1170">
        <v>0</v>
      </c>
      <c r="D20" s="1172">
        <v>25</v>
      </c>
      <c r="E20" s="1170">
        <v>0</v>
      </c>
      <c r="F20" s="1110"/>
      <c r="G20" s="1110"/>
      <c r="H20" s="1110"/>
      <c r="I20" s="1110"/>
      <c r="J20" s="1110"/>
      <c r="K20" s="1110"/>
      <c r="L20" s="1110"/>
      <c r="M20" s="1110"/>
      <c r="N20" s="1110"/>
      <c r="O20" s="1110"/>
      <c r="X20" s="882"/>
      <c r="Y20" s="1141"/>
      <c r="Z20" s="1141"/>
      <c r="AA20" s="1141"/>
      <c r="AB20" s="1141"/>
    </row>
    <row r="21" spans="1:32" s="2" customFormat="1" ht="10.199999999999999" x14ac:dyDescent="0.2">
      <c r="A21" s="1169" t="s">
        <v>10</v>
      </c>
      <c r="B21" s="1172">
        <v>2152</v>
      </c>
      <c r="C21" s="1173">
        <v>10</v>
      </c>
      <c r="D21" s="1173">
        <v>927</v>
      </c>
      <c r="E21" s="1173">
        <v>4</v>
      </c>
      <c r="F21" s="1110"/>
      <c r="G21" s="1110"/>
      <c r="H21" s="1110"/>
      <c r="I21" s="1110"/>
      <c r="J21" s="1110"/>
      <c r="K21" s="1110"/>
      <c r="L21" s="1110"/>
      <c r="M21" s="1110"/>
      <c r="N21" s="1110"/>
      <c r="O21" s="1110"/>
      <c r="X21" s="882"/>
      <c r="Y21" s="1141"/>
      <c r="Z21" s="1141"/>
      <c r="AA21" s="1141"/>
      <c r="AB21" s="1141"/>
    </row>
    <row r="22" spans="1:32" s="2" customFormat="1" ht="10.199999999999999" x14ac:dyDescent="0.2">
      <c r="A22" s="24" t="s">
        <v>2065</v>
      </c>
      <c r="B22" s="1174">
        <f>SUM(B23:B24)</f>
        <v>5614</v>
      </c>
      <c r="C22" s="1174">
        <f>SUM(C23:C24)</f>
        <v>25</v>
      </c>
      <c r="D22" s="1174">
        <f>SUM(D23:D24)</f>
        <v>2967</v>
      </c>
      <c r="E22" s="1174">
        <f>SUM(E23:E24)</f>
        <v>14</v>
      </c>
      <c r="F22" s="1110"/>
      <c r="G22" s="1110"/>
      <c r="H22" s="1110"/>
      <c r="I22" s="1110"/>
      <c r="J22" s="1110"/>
      <c r="K22" s="1110"/>
      <c r="L22" s="1110"/>
      <c r="M22" s="1110"/>
      <c r="N22" s="1110"/>
      <c r="O22" s="1110"/>
      <c r="X22" s="882"/>
      <c r="Y22" s="1141"/>
      <c r="Z22" s="1141"/>
      <c r="AA22" s="1141"/>
      <c r="AB22" s="1141"/>
    </row>
    <row r="23" spans="1:32" s="2" customFormat="1" ht="10.199999999999999" x14ac:dyDescent="0.2">
      <c r="A23" s="882" t="s">
        <v>122</v>
      </c>
      <c r="B23" s="1171">
        <v>2339</v>
      </c>
      <c r="C23" s="1171">
        <v>12</v>
      </c>
      <c r="D23" s="1172">
        <v>1412</v>
      </c>
      <c r="E23" s="1171">
        <v>5</v>
      </c>
      <c r="F23" s="1110"/>
      <c r="G23" s="1110"/>
      <c r="H23" s="1110"/>
      <c r="I23" s="1110"/>
      <c r="J23" s="1110"/>
      <c r="K23" s="1110"/>
      <c r="L23" s="1110"/>
      <c r="M23" s="1110"/>
      <c r="N23" s="1110"/>
      <c r="O23" s="1110"/>
      <c r="X23" s="882"/>
      <c r="Y23" s="1141"/>
      <c r="Z23" s="1141"/>
      <c r="AA23" s="1141"/>
      <c r="AB23" s="1141"/>
    </row>
    <row r="24" spans="1:32" s="2" customFormat="1" ht="10.199999999999999" x14ac:dyDescent="0.2">
      <c r="A24" s="882" t="s">
        <v>123</v>
      </c>
      <c r="B24" s="1171">
        <v>3275</v>
      </c>
      <c r="C24" s="1171">
        <v>13</v>
      </c>
      <c r="D24" s="1172">
        <v>1555</v>
      </c>
      <c r="E24" s="1171">
        <v>9</v>
      </c>
      <c r="F24" s="1110"/>
      <c r="G24" s="1110"/>
      <c r="H24" s="1110"/>
      <c r="I24" s="1110"/>
      <c r="J24" s="1110"/>
      <c r="K24" s="1110"/>
      <c r="L24" s="1110"/>
      <c r="M24" s="1110"/>
      <c r="N24" s="1110"/>
      <c r="O24" s="1110"/>
      <c r="X24" s="882"/>
      <c r="Y24" s="1141"/>
      <c r="Z24" s="1141"/>
      <c r="AA24" s="1141"/>
      <c r="AB24" s="1141"/>
    </row>
    <row r="25" spans="1:32" s="2" customFormat="1" ht="10.199999999999999" x14ac:dyDescent="0.2">
      <c r="A25" s="24" t="s">
        <v>2862</v>
      </c>
      <c r="B25" s="1174">
        <f>SUM(B26:B27)</f>
        <v>5614</v>
      </c>
      <c r="C25" s="1174">
        <f>SUM(C26:C27)</f>
        <v>25</v>
      </c>
      <c r="D25" s="1174">
        <f>SUM(D26:D27)</f>
        <v>2967</v>
      </c>
      <c r="E25" s="1174">
        <f>SUM(E26:E27)</f>
        <v>14</v>
      </c>
      <c r="F25" s="1110"/>
      <c r="G25" s="1110"/>
      <c r="H25" s="1110"/>
      <c r="I25" s="1110"/>
      <c r="J25" s="1110"/>
      <c r="K25" s="1110"/>
      <c r="L25" s="1110"/>
      <c r="M25" s="1110"/>
      <c r="N25" s="1110"/>
      <c r="O25" s="1110"/>
    </row>
    <row r="26" spans="1:32" s="2" customFormat="1" ht="10.199999999999999" x14ac:dyDescent="0.2">
      <c r="A26" s="882" t="s">
        <v>2863</v>
      </c>
      <c r="B26" s="1171">
        <v>2303</v>
      </c>
      <c r="C26" s="1171">
        <v>14</v>
      </c>
      <c r="D26" s="1172">
        <v>1132</v>
      </c>
      <c r="E26" s="1172">
        <v>7</v>
      </c>
      <c r="F26" s="1110"/>
      <c r="G26" s="1110"/>
      <c r="H26" s="1110"/>
      <c r="I26" s="1110"/>
      <c r="J26" s="1110"/>
      <c r="K26" s="1110"/>
      <c r="L26" s="1007"/>
      <c r="M26" s="1007"/>
      <c r="N26" s="1007"/>
      <c r="O26" s="1007"/>
      <c r="AD26" s="882"/>
      <c r="AE26" s="1066"/>
      <c r="AF26" s="1066"/>
    </row>
    <row r="27" spans="1:32" s="2" customFormat="1" ht="10.199999999999999" x14ac:dyDescent="0.2">
      <c r="A27" s="882" t="s">
        <v>2864</v>
      </c>
      <c r="B27" s="1172">
        <v>3311</v>
      </c>
      <c r="C27" s="1171">
        <v>11</v>
      </c>
      <c r="D27" s="1172">
        <v>1835</v>
      </c>
      <c r="E27" s="1172">
        <v>7</v>
      </c>
      <c r="F27" s="1110"/>
      <c r="G27" s="1110"/>
      <c r="H27" s="1110"/>
      <c r="I27" s="1110"/>
      <c r="J27" s="1110"/>
      <c r="K27" s="1110"/>
      <c r="L27" s="1110"/>
      <c r="M27" s="1110"/>
      <c r="N27" s="1110"/>
      <c r="O27" s="1110"/>
      <c r="AC27" s="882"/>
      <c r="AD27" s="882"/>
      <c r="AE27" s="1170"/>
      <c r="AF27" s="1170"/>
    </row>
    <row r="28" spans="1:32" s="2" customFormat="1" ht="6.75" customHeight="1" x14ac:dyDescent="0.2">
      <c r="A28" s="882"/>
      <c r="B28" s="1172"/>
      <c r="C28" s="1171"/>
      <c r="D28" s="1172"/>
      <c r="E28" s="1172"/>
      <c r="F28" s="1110"/>
      <c r="G28" s="1110"/>
      <c r="H28" s="1110"/>
      <c r="I28" s="1110"/>
      <c r="J28" s="1110"/>
      <c r="K28" s="1110"/>
      <c r="L28" s="1110"/>
      <c r="M28" s="1110"/>
      <c r="N28" s="1110"/>
      <c r="O28" s="1110"/>
      <c r="AC28" s="882"/>
      <c r="AD28" s="882"/>
      <c r="AE28" s="1170"/>
      <c r="AF28" s="1170"/>
    </row>
    <row r="29" spans="1:32" s="2" customFormat="1" ht="12" customHeight="1" x14ac:dyDescent="0.2">
      <c r="A29" s="491" t="s">
        <v>19</v>
      </c>
      <c r="B29" s="491"/>
      <c r="C29" s="491"/>
      <c r="D29" s="491"/>
      <c r="E29" s="491"/>
      <c r="F29" s="1110"/>
      <c r="G29" s="1110"/>
      <c r="H29" s="1110"/>
      <c r="I29" s="1110"/>
      <c r="J29" s="1110"/>
      <c r="K29" s="1110"/>
      <c r="L29" s="1110"/>
      <c r="M29" s="1110"/>
      <c r="N29" s="1110"/>
      <c r="O29" s="1110"/>
      <c r="AC29" s="882"/>
      <c r="AD29" s="882"/>
      <c r="AE29" s="1170"/>
      <c r="AF29" s="1170"/>
    </row>
    <row r="30" spans="1:32" s="2" customFormat="1" ht="10.199999999999999" x14ac:dyDescent="0.2">
      <c r="A30" s="336" t="s">
        <v>2858</v>
      </c>
      <c r="B30" s="1110"/>
      <c r="C30" s="1110"/>
      <c r="D30" s="1110"/>
      <c r="E30" s="1110"/>
      <c r="F30" s="1110"/>
      <c r="G30" s="1110"/>
      <c r="H30" s="1110"/>
      <c r="I30" s="1110"/>
      <c r="J30" s="1110"/>
      <c r="K30" s="1110"/>
      <c r="L30" s="1110"/>
      <c r="M30" s="1110"/>
      <c r="N30" s="1110"/>
      <c r="O30" s="1110"/>
      <c r="AC30" s="882"/>
      <c r="AD30" s="882"/>
      <c r="AE30" s="1175"/>
      <c r="AF30" s="1170"/>
    </row>
    <row r="31" spans="1:32" s="2" customFormat="1" ht="10.199999999999999" x14ac:dyDescent="0.2">
      <c r="A31" s="1110"/>
      <c r="B31" s="1176"/>
      <c r="C31" s="1176"/>
      <c r="D31" s="1176"/>
      <c r="E31" s="1176"/>
      <c r="F31" s="1110"/>
      <c r="G31" s="1110"/>
      <c r="H31" s="1110"/>
      <c r="I31" s="1110"/>
      <c r="J31" s="1110"/>
      <c r="K31" s="1110"/>
      <c r="L31" s="1110"/>
      <c r="M31" s="1110"/>
      <c r="N31" s="1110"/>
      <c r="O31" s="1110"/>
      <c r="AC31" s="882"/>
      <c r="AD31" s="882"/>
      <c r="AE31" s="1170"/>
      <c r="AF31" s="1170"/>
    </row>
  </sheetData>
  <mergeCells count="5">
    <mergeCell ref="A2:E2"/>
    <mergeCell ref="A4:A5"/>
    <mergeCell ref="B4:C4"/>
    <mergeCell ref="D4:E4"/>
    <mergeCell ref="A29:E29"/>
  </mergeCells>
  <pageMargins left="0.7" right="0.7" top="0.75" bottom="0.75" header="0.3" footer="0.3"/>
  <pageSetup paperSize="14" orientation="landscape" r:id="rId1"/>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1687D7-86C9-473D-916D-7B43B57A4BA0}">
  <sheetPr codeName="Hoja229"/>
  <dimension ref="A1:AF13"/>
  <sheetViews>
    <sheetView workbookViewId="0"/>
  </sheetViews>
  <sheetFormatPr baseColWidth="10" defaultRowHeight="13.2" x14ac:dyDescent="0.25"/>
  <cols>
    <col min="3" max="3" width="15.44140625" customWidth="1"/>
  </cols>
  <sheetData>
    <row r="1" spans="1:32" s="2" customFormat="1" ht="10.199999999999999" x14ac:dyDescent="0.2">
      <c r="A1" s="691"/>
      <c r="B1" s="1110"/>
      <c r="C1" s="1110"/>
      <c r="D1" s="1110"/>
      <c r="E1" s="1110"/>
      <c r="F1" s="1110"/>
      <c r="G1" s="1110"/>
      <c r="H1" s="1110"/>
      <c r="I1" s="1110"/>
      <c r="J1" s="1110"/>
      <c r="K1" s="1110"/>
      <c r="L1" s="1110"/>
      <c r="M1" s="1110"/>
      <c r="N1" s="1110"/>
      <c r="O1" s="1110"/>
      <c r="AC1" s="882"/>
      <c r="AD1" s="882"/>
      <c r="AE1" s="1175"/>
      <c r="AF1" s="1170"/>
    </row>
    <row r="2" spans="1:32" s="324" customFormat="1" ht="45" customHeight="1" x14ac:dyDescent="0.25">
      <c r="A2" s="234" t="s">
        <v>2549</v>
      </c>
      <c r="B2" s="234"/>
      <c r="C2" s="234"/>
      <c r="D2" s="988"/>
      <c r="E2" s="988"/>
      <c r="F2" s="988"/>
      <c r="G2" s="1177"/>
      <c r="H2" s="988"/>
      <c r="I2" s="988"/>
      <c r="J2" s="988"/>
      <c r="AC2" s="682"/>
      <c r="AD2" s="682"/>
      <c r="AE2" s="1178"/>
      <c r="AF2" s="1178"/>
    </row>
    <row r="3" spans="1:32" s="2" customFormat="1" ht="10.199999999999999" x14ac:dyDescent="0.2">
      <c r="A3" s="720"/>
      <c r="B3" s="720"/>
      <c r="C3" s="720"/>
      <c r="D3" s="720"/>
      <c r="E3" s="624"/>
      <c r="F3" s="624"/>
      <c r="G3" s="1164"/>
      <c r="H3" s="624"/>
      <c r="I3" s="624"/>
      <c r="J3" s="624"/>
      <c r="AC3" s="882"/>
      <c r="AD3" s="882"/>
      <c r="AE3" s="1175"/>
      <c r="AF3" s="1175"/>
    </row>
    <row r="4" spans="1:32" s="2" customFormat="1" ht="30.6" x14ac:dyDescent="0.2">
      <c r="A4" s="644" t="s">
        <v>825</v>
      </c>
      <c r="B4" s="644" t="s">
        <v>2865</v>
      </c>
      <c r="C4" s="644" t="s">
        <v>2866</v>
      </c>
      <c r="D4" s="720"/>
      <c r="E4" s="624"/>
      <c r="F4" s="624"/>
      <c r="G4" s="1164"/>
      <c r="H4" s="624"/>
      <c r="I4" s="624"/>
      <c r="J4" s="624"/>
      <c r="AC4" s="882"/>
      <c r="AD4" s="882"/>
      <c r="AE4" s="1175"/>
      <c r="AF4" s="1175"/>
    </row>
    <row r="5" spans="1:32" s="2" customFormat="1" ht="10.199999999999999" x14ac:dyDescent="0.2">
      <c r="A5" s="665">
        <v>2010</v>
      </c>
      <c r="B5" s="665">
        <v>120</v>
      </c>
      <c r="C5" s="665">
        <v>6</v>
      </c>
      <c r="D5" s="309"/>
      <c r="E5" s="309"/>
      <c r="F5" s="720"/>
      <c r="G5" s="720"/>
      <c r="H5" s="720"/>
      <c r="I5" s="720"/>
      <c r="J5" s="720"/>
      <c r="AC5" s="882"/>
      <c r="AD5" s="882"/>
      <c r="AE5" s="1175"/>
      <c r="AF5" s="1170"/>
    </row>
    <row r="6" spans="1:32" s="2" customFormat="1" ht="10.199999999999999" x14ac:dyDescent="0.2">
      <c r="A6" s="665">
        <v>2011</v>
      </c>
      <c r="B6" s="665">
        <v>180</v>
      </c>
      <c r="C6" s="665">
        <v>8</v>
      </c>
      <c r="D6" s="335"/>
      <c r="E6" s="720"/>
      <c r="F6" s="720"/>
      <c r="G6" s="720"/>
      <c r="H6" s="720"/>
      <c r="I6" s="720"/>
      <c r="J6" s="720"/>
    </row>
    <row r="7" spans="1:32" s="2" customFormat="1" ht="10.199999999999999" x14ac:dyDescent="0.2">
      <c r="A7" s="665">
        <v>2012</v>
      </c>
      <c r="B7" s="665">
        <v>211</v>
      </c>
      <c r="C7" s="665">
        <v>10</v>
      </c>
      <c r="D7" s="335"/>
      <c r="E7" s="720"/>
      <c r="F7" s="720"/>
      <c r="G7" s="720"/>
      <c r="H7" s="720"/>
      <c r="I7" s="720"/>
      <c r="J7" s="720"/>
    </row>
    <row r="8" spans="1:32" s="2" customFormat="1" ht="10.199999999999999" x14ac:dyDescent="0.2">
      <c r="A8" s="665">
        <v>2013</v>
      </c>
      <c r="B8" s="665">
        <v>225</v>
      </c>
      <c r="C8" s="665">
        <v>11</v>
      </c>
      <c r="D8" s="335"/>
      <c r="E8" s="720"/>
      <c r="F8" s="720"/>
      <c r="G8" s="720"/>
      <c r="H8" s="720"/>
      <c r="I8" s="720"/>
      <c r="J8" s="720"/>
      <c r="T8" s="882"/>
      <c r="U8" s="1175"/>
      <c r="V8" s="1170"/>
    </row>
    <row r="9" spans="1:32" s="2" customFormat="1" ht="10.199999999999999" x14ac:dyDescent="0.2">
      <c r="A9" s="665">
        <v>2014</v>
      </c>
      <c r="B9" s="665">
        <v>278</v>
      </c>
      <c r="C9" s="665">
        <v>12</v>
      </c>
      <c r="D9" s="335"/>
      <c r="E9" s="720"/>
      <c r="F9" s="720"/>
      <c r="G9" s="720"/>
      <c r="H9" s="720"/>
      <c r="I9" s="720"/>
      <c r="J9" s="720"/>
      <c r="T9" s="882"/>
      <c r="U9" s="1175"/>
      <c r="V9" s="1170"/>
    </row>
    <row r="10" spans="1:32" s="2" customFormat="1" ht="10.199999999999999" x14ac:dyDescent="0.2">
      <c r="A10" s="665"/>
      <c r="B10" s="665"/>
      <c r="C10" s="665"/>
      <c r="D10" s="335"/>
      <c r="E10" s="720"/>
      <c r="F10" s="720"/>
      <c r="G10" s="720"/>
      <c r="H10" s="720"/>
      <c r="I10" s="720"/>
      <c r="J10" s="720"/>
      <c r="T10" s="882"/>
      <c r="U10" s="1175"/>
      <c r="V10" s="1170"/>
    </row>
    <row r="11" spans="1:32" s="2" customFormat="1" ht="21" customHeight="1" x14ac:dyDescent="0.2">
      <c r="A11" s="652" t="s">
        <v>2867</v>
      </c>
      <c r="B11" s="652"/>
      <c r="C11" s="652"/>
      <c r="D11" s="720"/>
      <c r="E11" s="720"/>
      <c r="F11" s="720"/>
      <c r="G11" s="720"/>
      <c r="H11" s="720"/>
      <c r="I11" s="720"/>
      <c r="J11" s="720"/>
      <c r="T11" s="882"/>
      <c r="U11" s="1175"/>
      <c r="V11" s="1170"/>
    </row>
    <row r="12" spans="1:32" s="2" customFormat="1" ht="10.199999999999999" x14ac:dyDescent="0.2">
      <c r="A12" s="336" t="s">
        <v>2858</v>
      </c>
      <c r="T12" s="882"/>
      <c r="U12" s="1170"/>
      <c r="V12" s="1170"/>
    </row>
    <row r="13" spans="1:32" s="2" customFormat="1" ht="10.199999999999999" x14ac:dyDescent="0.2">
      <c r="A13" s="336"/>
      <c r="T13" s="882"/>
      <c r="U13" s="1170"/>
      <c r="V13" s="1170"/>
    </row>
  </sheetData>
  <mergeCells count="2">
    <mergeCell ref="A2:C2"/>
    <mergeCell ref="A11:C11"/>
  </mergeCells>
  <pageMargins left="0.7" right="0.7" top="0.75" bottom="0.75" header="0.3" footer="0.3"/>
  <pageSetup paperSize="14"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723C6A-B755-48BA-926D-83F1778C1014}">
  <sheetPr codeName="Hoja23"/>
  <dimension ref="A2:Q59"/>
  <sheetViews>
    <sheetView workbookViewId="0">
      <selection activeCell="E20" sqref="E20"/>
    </sheetView>
  </sheetViews>
  <sheetFormatPr baseColWidth="10" defaultColWidth="11.44140625" defaultRowHeight="10.199999999999999" x14ac:dyDescent="0.2"/>
  <cols>
    <col min="1" max="1" width="40.5546875" style="62" customWidth="1"/>
    <col min="2" max="2" width="25.109375" style="62" customWidth="1"/>
    <col min="3" max="3" width="13" style="62" bestFit="1" customWidth="1"/>
    <col min="4" max="4" width="14.109375" style="62" bestFit="1" customWidth="1"/>
    <col min="5" max="5" width="13" style="62" bestFit="1" customWidth="1"/>
    <col min="6" max="7" width="14.109375" style="62" bestFit="1" customWidth="1"/>
    <col min="8" max="9" width="13" style="62" bestFit="1" customWidth="1"/>
    <col min="10" max="10" width="16.44140625" style="62" bestFit="1" customWidth="1"/>
    <col min="11" max="11" width="15.88671875" style="62" bestFit="1" customWidth="1"/>
    <col min="12" max="12" width="14.109375" style="62" bestFit="1" customWidth="1"/>
    <col min="13" max="13" width="11.88671875" style="62" bestFit="1" customWidth="1"/>
    <col min="14" max="14" width="12" style="62" bestFit="1" customWidth="1"/>
    <col min="15" max="15" width="14.109375" style="62" bestFit="1" customWidth="1"/>
    <col min="16" max="16" width="15.88671875" style="62" customWidth="1"/>
    <col min="17" max="16384" width="11.44140625" style="62"/>
  </cols>
  <sheetData>
    <row r="2" spans="1:16" ht="12" x14ac:dyDescent="0.2">
      <c r="A2" s="63" t="s">
        <v>451</v>
      </c>
      <c r="B2" s="63"/>
    </row>
    <row r="3" spans="1:16" x14ac:dyDescent="0.2">
      <c r="A3" s="63"/>
      <c r="B3" s="63"/>
    </row>
    <row r="4" spans="1:16" s="217" customFormat="1" ht="19.5" customHeight="1" x14ac:dyDescent="0.25">
      <c r="A4" s="96" t="s">
        <v>76</v>
      </c>
      <c r="B4" s="96" t="s">
        <v>42</v>
      </c>
      <c r="C4" s="82" t="s">
        <v>434</v>
      </c>
      <c r="D4" s="83"/>
      <c r="E4" s="83"/>
      <c r="F4" s="83"/>
      <c r="G4" s="83"/>
      <c r="H4" s="83"/>
      <c r="I4" s="83"/>
      <c r="J4" s="83"/>
      <c r="K4" s="83"/>
      <c r="L4" s="83"/>
      <c r="M4" s="83"/>
      <c r="N4" s="83"/>
      <c r="O4" s="84"/>
    </row>
    <row r="5" spans="1:16" s="217" customFormat="1" ht="19.5" customHeight="1" x14ac:dyDescent="0.25">
      <c r="A5" s="96"/>
      <c r="B5" s="96"/>
      <c r="C5" s="207" t="s">
        <v>435</v>
      </c>
      <c r="D5" s="207" t="s">
        <v>436</v>
      </c>
      <c r="E5" s="207" t="s">
        <v>437</v>
      </c>
      <c r="F5" s="207" t="s">
        <v>438</v>
      </c>
      <c r="G5" s="207" t="s">
        <v>439</v>
      </c>
      <c r="H5" s="207" t="s">
        <v>440</v>
      </c>
      <c r="I5" s="207" t="s">
        <v>441</v>
      </c>
      <c r="J5" s="207" t="s">
        <v>442</v>
      </c>
      <c r="K5" s="207" t="s">
        <v>444</v>
      </c>
      <c r="L5" s="207" t="s">
        <v>445</v>
      </c>
      <c r="M5" s="207" t="s">
        <v>443</v>
      </c>
      <c r="N5" s="207" t="s">
        <v>446</v>
      </c>
      <c r="O5" s="207" t="s">
        <v>452</v>
      </c>
      <c r="P5" s="208"/>
    </row>
    <row r="6" spans="1:16" x14ac:dyDescent="0.2">
      <c r="A6" s="63" t="s">
        <v>3</v>
      </c>
      <c r="B6" s="117">
        <f t="shared" ref="B6:B30" si="0">SUM(C6:O6)</f>
        <v>3871384304.6500001</v>
      </c>
      <c r="C6" s="218">
        <f t="shared" ref="C6:O6" si="1">SUM(C7+C9+C11+C14+C16+C18+C21+C25+C29)</f>
        <v>41056625.590000004</v>
      </c>
      <c r="D6" s="218">
        <f t="shared" si="1"/>
        <v>121549802.10999998</v>
      </c>
      <c r="E6" s="218">
        <f t="shared" si="1"/>
        <v>12811076.040000001</v>
      </c>
      <c r="F6" s="218">
        <f t="shared" si="1"/>
        <v>575729358.68999994</v>
      </c>
      <c r="G6" s="218">
        <f t="shared" si="1"/>
        <v>411562943.55999982</v>
      </c>
      <c r="H6" s="218">
        <f t="shared" si="1"/>
        <v>37285471.640000001</v>
      </c>
      <c r="I6" s="218">
        <f t="shared" si="1"/>
        <v>56074240.560000002</v>
      </c>
      <c r="J6" s="218">
        <f t="shared" si="1"/>
        <v>347962518.5399999</v>
      </c>
      <c r="K6" s="218">
        <f t="shared" si="1"/>
        <v>1764257587.6700001</v>
      </c>
      <c r="L6" s="218">
        <f t="shared" si="1"/>
        <v>338237450.96000004</v>
      </c>
      <c r="M6" s="218">
        <f t="shared" si="1"/>
        <v>6576366.1899999995</v>
      </c>
      <c r="N6" s="218">
        <f t="shared" si="1"/>
        <v>1762907.78</v>
      </c>
      <c r="O6" s="218">
        <f t="shared" si="1"/>
        <v>156517955.32000005</v>
      </c>
      <c r="P6" s="218"/>
    </row>
    <row r="7" spans="1:16" x14ac:dyDescent="0.2">
      <c r="A7" s="211" t="s">
        <v>21</v>
      </c>
      <c r="B7" s="117">
        <f t="shared" si="0"/>
        <v>12655472.76</v>
      </c>
      <c r="C7" s="117">
        <f t="shared" ref="C7:O7" si="2">SUM(C8)</f>
        <v>277497.23000000004</v>
      </c>
      <c r="D7" s="117">
        <f t="shared" si="2"/>
        <v>10691.130000000001</v>
      </c>
      <c r="E7" s="117">
        <f t="shared" si="2"/>
        <v>115886.79</v>
      </c>
      <c r="F7" s="117">
        <f t="shared" si="2"/>
        <v>63720.92</v>
      </c>
      <c r="G7" s="117">
        <f t="shared" si="2"/>
        <v>299817.02999999997</v>
      </c>
      <c r="H7" s="117">
        <f t="shared" si="2"/>
        <v>21107.709999999995</v>
      </c>
      <c r="I7" s="117">
        <f t="shared" si="2"/>
        <v>217120.28999999998</v>
      </c>
      <c r="J7" s="117">
        <f t="shared" si="2"/>
        <v>929080.67999999982</v>
      </c>
      <c r="K7" s="117">
        <f t="shared" si="2"/>
        <v>10310850.1</v>
      </c>
      <c r="L7" s="117">
        <f t="shared" si="2"/>
        <v>103475.22000000002</v>
      </c>
      <c r="M7" s="117">
        <f t="shared" si="2"/>
        <v>5721.51</v>
      </c>
      <c r="N7" s="117">
        <f t="shared" si="2"/>
        <v>94901.42</v>
      </c>
      <c r="O7" s="117">
        <f t="shared" si="2"/>
        <v>205602.73</v>
      </c>
      <c r="P7" s="117"/>
    </row>
    <row r="8" spans="1:16" x14ac:dyDescent="0.2">
      <c r="A8" s="213" t="s">
        <v>21</v>
      </c>
      <c r="B8" s="117">
        <f t="shared" si="0"/>
        <v>12655472.76</v>
      </c>
      <c r="C8" s="121">
        <v>277497.23000000004</v>
      </c>
      <c r="D8" s="121">
        <v>10691.130000000001</v>
      </c>
      <c r="E8" s="121">
        <v>115886.79</v>
      </c>
      <c r="F8" s="121">
        <v>63720.92</v>
      </c>
      <c r="G8" s="121">
        <v>299817.02999999997</v>
      </c>
      <c r="H8" s="121">
        <v>21107.709999999995</v>
      </c>
      <c r="I8" s="121">
        <v>217120.28999999998</v>
      </c>
      <c r="J8" s="121">
        <v>929080.67999999982</v>
      </c>
      <c r="K8" s="121">
        <v>10310850.1</v>
      </c>
      <c r="L8" s="121">
        <v>103475.22000000002</v>
      </c>
      <c r="M8" s="121">
        <v>5721.51</v>
      </c>
      <c r="N8" s="121">
        <v>94901.42</v>
      </c>
      <c r="O8" s="121">
        <v>205602.73</v>
      </c>
      <c r="P8" s="121"/>
    </row>
    <row r="9" spans="1:16" x14ac:dyDescent="0.2">
      <c r="A9" s="211" t="s">
        <v>24</v>
      </c>
      <c r="B9" s="117">
        <f t="shared" si="0"/>
        <v>130667787.17999998</v>
      </c>
      <c r="C9" s="117">
        <f t="shared" ref="C9:O9" si="3">SUM(C10)</f>
        <v>6180629.7900000019</v>
      </c>
      <c r="D9" s="117">
        <f t="shared" si="3"/>
        <v>1928019.8900000001</v>
      </c>
      <c r="E9" s="117">
        <f t="shared" si="3"/>
        <v>3769028.6499999994</v>
      </c>
      <c r="F9" s="117">
        <f t="shared" si="3"/>
        <v>2017923.1300000001</v>
      </c>
      <c r="G9" s="117">
        <f t="shared" si="3"/>
        <v>6553152.79</v>
      </c>
      <c r="H9" s="117">
        <f t="shared" si="3"/>
        <v>5437664.2899999982</v>
      </c>
      <c r="I9" s="117">
        <f t="shared" si="3"/>
        <v>6053545.3799999999</v>
      </c>
      <c r="J9" s="117">
        <f t="shared" si="3"/>
        <v>22447028.689999979</v>
      </c>
      <c r="K9" s="117">
        <f t="shared" si="3"/>
        <v>54459864.370000012</v>
      </c>
      <c r="L9" s="117">
        <f t="shared" si="3"/>
        <v>19516107.289999988</v>
      </c>
      <c r="M9" s="117">
        <f t="shared" si="3"/>
        <v>345469.92</v>
      </c>
      <c r="N9" s="117">
        <f t="shared" si="3"/>
        <v>671203.52</v>
      </c>
      <c r="O9" s="117">
        <f t="shared" si="3"/>
        <v>1288149.4699999995</v>
      </c>
      <c r="P9" s="117"/>
    </row>
    <row r="10" spans="1:16" x14ac:dyDescent="0.2">
      <c r="A10" s="213" t="s">
        <v>24</v>
      </c>
      <c r="B10" s="117">
        <f t="shared" si="0"/>
        <v>130667787.17999998</v>
      </c>
      <c r="C10" s="121">
        <v>6180629.7900000019</v>
      </c>
      <c r="D10" s="121">
        <v>1928019.8900000001</v>
      </c>
      <c r="E10" s="121">
        <v>3769028.6499999994</v>
      </c>
      <c r="F10" s="121">
        <v>2017923.1300000001</v>
      </c>
      <c r="G10" s="121">
        <v>6553152.79</v>
      </c>
      <c r="H10" s="121">
        <v>5437664.2899999982</v>
      </c>
      <c r="I10" s="121">
        <v>6053545.3799999999</v>
      </c>
      <c r="J10" s="121">
        <v>22447028.689999979</v>
      </c>
      <c r="K10" s="121">
        <v>54459864.370000012</v>
      </c>
      <c r="L10" s="121">
        <v>19516107.289999988</v>
      </c>
      <c r="M10" s="121">
        <v>345469.92</v>
      </c>
      <c r="N10" s="121">
        <v>671203.52</v>
      </c>
      <c r="O10" s="121">
        <v>1288149.4699999995</v>
      </c>
      <c r="P10" s="121"/>
    </row>
    <row r="11" spans="1:16" x14ac:dyDescent="0.2">
      <c r="A11" s="211" t="s">
        <v>310</v>
      </c>
      <c r="B11" s="117">
        <f t="shared" si="0"/>
        <v>195644362.46000001</v>
      </c>
      <c r="C11" s="117">
        <f t="shared" ref="C11:O11" si="4">SUM(C12:C13)</f>
        <v>1030738.5</v>
      </c>
      <c r="D11" s="117">
        <f t="shared" si="4"/>
        <v>4124549.1200000006</v>
      </c>
      <c r="E11" s="117">
        <f t="shared" si="4"/>
        <v>441462.93000000005</v>
      </c>
      <c r="F11" s="117">
        <f t="shared" si="4"/>
        <v>657054.8899999999</v>
      </c>
      <c r="G11" s="117">
        <f t="shared" si="4"/>
        <v>23018086.480000008</v>
      </c>
      <c r="H11" s="117">
        <f t="shared" si="4"/>
        <v>1572463.7299999997</v>
      </c>
      <c r="I11" s="117">
        <f t="shared" si="4"/>
        <v>2451827.38</v>
      </c>
      <c r="J11" s="117">
        <f t="shared" si="4"/>
        <v>19224224.229999997</v>
      </c>
      <c r="K11" s="117">
        <f t="shared" si="4"/>
        <v>85885027.840000018</v>
      </c>
      <c r="L11" s="117">
        <f t="shared" si="4"/>
        <v>38936779.479999989</v>
      </c>
      <c r="M11" s="117">
        <f t="shared" si="4"/>
        <v>1164608.1500000001</v>
      </c>
      <c r="N11" s="117">
        <f t="shared" si="4"/>
        <v>82361.22</v>
      </c>
      <c r="O11" s="117">
        <f t="shared" si="4"/>
        <v>17055178.510000002</v>
      </c>
      <c r="P11" s="117"/>
    </row>
    <row r="12" spans="1:16" x14ac:dyDescent="0.2">
      <c r="A12" s="213" t="s">
        <v>453</v>
      </c>
      <c r="B12" s="117">
        <f t="shared" si="0"/>
        <v>23461141.120000001</v>
      </c>
      <c r="C12" s="121">
        <v>625516.52999999991</v>
      </c>
      <c r="D12" s="121">
        <v>3114788.3100000005</v>
      </c>
      <c r="E12" s="121">
        <v>320659.23000000004</v>
      </c>
      <c r="F12" s="121">
        <v>332945.39999999997</v>
      </c>
      <c r="G12" s="121">
        <v>1122062.3500000001</v>
      </c>
      <c r="H12" s="121">
        <v>391635.98000000004</v>
      </c>
      <c r="I12" s="121">
        <v>374406.19000000006</v>
      </c>
      <c r="J12" s="121">
        <v>3004715.5400000005</v>
      </c>
      <c r="K12" s="121">
        <v>13044135.610000003</v>
      </c>
      <c r="L12" s="121">
        <v>739356.98</v>
      </c>
      <c r="M12" s="121">
        <v>39923.360000000001</v>
      </c>
      <c r="N12" s="121">
        <v>17116.309999999998</v>
      </c>
      <c r="O12" s="121">
        <v>333879.3299999999</v>
      </c>
      <c r="P12" s="121"/>
    </row>
    <row r="13" spans="1:16" x14ac:dyDescent="0.2">
      <c r="A13" s="213" t="s">
        <v>25</v>
      </c>
      <c r="B13" s="117">
        <f t="shared" si="0"/>
        <v>172183221.34</v>
      </c>
      <c r="C13" s="121">
        <v>405221.97000000003</v>
      </c>
      <c r="D13" s="121">
        <v>1009760.81</v>
      </c>
      <c r="E13" s="121">
        <v>120803.7</v>
      </c>
      <c r="F13" s="121">
        <v>324109.49</v>
      </c>
      <c r="G13" s="121">
        <v>21896024.130000006</v>
      </c>
      <c r="H13" s="121">
        <v>1180827.7499999998</v>
      </c>
      <c r="I13" s="121">
        <v>2077421.1899999997</v>
      </c>
      <c r="J13" s="121">
        <v>16219508.689999996</v>
      </c>
      <c r="K13" s="121">
        <v>72840892.230000019</v>
      </c>
      <c r="L13" s="121">
        <v>38197422.499999993</v>
      </c>
      <c r="M13" s="121">
        <v>1124684.79</v>
      </c>
      <c r="N13" s="121">
        <v>65244.909999999996</v>
      </c>
      <c r="O13" s="121">
        <v>16721299.180000003</v>
      </c>
      <c r="P13" s="121"/>
    </row>
    <row r="14" spans="1:16" x14ac:dyDescent="0.2">
      <c r="A14" s="211" t="s">
        <v>26</v>
      </c>
      <c r="B14" s="117">
        <f t="shared" si="0"/>
        <v>115576.68</v>
      </c>
      <c r="C14" s="117">
        <f t="shared" ref="C14:O14" si="5">SUM(C15)</f>
        <v>0</v>
      </c>
      <c r="D14" s="117">
        <f t="shared" si="5"/>
        <v>0</v>
      </c>
      <c r="E14" s="117">
        <f t="shared" si="5"/>
        <v>0</v>
      </c>
      <c r="F14" s="117">
        <f t="shared" si="5"/>
        <v>78781.98</v>
      </c>
      <c r="G14" s="117">
        <f t="shared" si="5"/>
        <v>30182.7</v>
      </c>
      <c r="H14" s="117">
        <f t="shared" si="5"/>
        <v>0</v>
      </c>
      <c r="I14" s="117">
        <f t="shared" si="5"/>
        <v>0</v>
      </c>
      <c r="J14" s="117">
        <f t="shared" si="5"/>
        <v>0</v>
      </c>
      <c r="K14" s="117">
        <f t="shared" si="5"/>
        <v>0</v>
      </c>
      <c r="L14" s="117">
        <f t="shared" si="5"/>
        <v>0</v>
      </c>
      <c r="M14" s="117">
        <f t="shared" si="5"/>
        <v>0</v>
      </c>
      <c r="N14" s="117">
        <f t="shared" si="5"/>
        <v>0</v>
      </c>
      <c r="O14" s="117">
        <f t="shared" si="5"/>
        <v>6612</v>
      </c>
      <c r="P14" s="117"/>
    </row>
    <row r="15" spans="1:16" x14ac:dyDescent="0.2">
      <c r="A15" s="213" t="s">
        <v>409</v>
      </c>
      <c r="B15" s="117">
        <f t="shared" si="0"/>
        <v>115576.68</v>
      </c>
      <c r="C15" s="121">
        <v>0</v>
      </c>
      <c r="D15" s="121">
        <v>0</v>
      </c>
      <c r="E15" s="121">
        <v>0</v>
      </c>
      <c r="F15" s="121">
        <v>78781.98</v>
      </c>
      <c r="G15" s="121">
        <v>30182.7</v>
      </c>
      <c r="H15" s="121">
        <v>0</v>
      </c>
      <c r="I15" s="121">
        <v>0</v>
      </c>
      <c r="J15" s="121">
        <v>0</v>
      </c>
      <c r="K15" s="121">
        <v>0</v>
      </c>
      <c r="L15" s="121">
        <v>0</v>
      </c>
      <c r="M15" s="121">
        <v>0</v>
      </c>
      <c r="N15" s="121">
        <v>0</v>
      </c>
      <c r="O15" s="121">
        <v>6612</v>
      </c>
      <c r="P15" s="121"/>
    </row>
    <row r="16" spans="1:16" x14ac:dyDescent="0.2">
      <c r="A16" s="211" t="s">
        <v>29</v>
      </c>
      <c r="B16" s="117">
        <f t="shared" si="0"/>
        <v>145503361.35999998</v>
      </c>
      <c r="C16" s="117">
        <f t="shared" ref="C16:O16" si="6">SUM(C17)</f>
        <v>2270755.2000000002</v>
      </c>
      <c r="D16" s="117">
        <f t="shared" si="6"/>
        <v>271675.40000000002</v>
      </c>
      <c r="E16" s="117">
        <f t="shared" si="6"/>
        <v>157406.49000000005</v>
      </c>
      <c r="F16" s="117">
        <f t="shared" si="6"/>
        <v>1517392.44</v>
      </c>
      <c r="G16" s="117">
        <f t="shared" si="6"/>
        <v>17164470.319999993</v>
      </c>
      <c r="H16" s="117">
        <f t="shared" si="6"/>
        <v>1070652.3400000001</v>
      </c>
      <c r="I16" s="117">
        <f t="shared" si="6"/>
        <v>1352628.21</v>
      </c>
      <c r="J16" s="117">
        <f t="shared" si="6"/>
        <v>6894675.8199999975</v>
      </c>
      <c r="K16" s="117">
        <f t="shared" si="6"/>
        <v>97368120.309999987</v>
      </c>
      <c r="L16" s="117">
        <f t="shared" si="6"/>
        <v>13290205.830000008</v>
      </c>
      <c r="M16" s="117">
        <f t="shared" si="6"/>
        <v>325082.20999999996</v>
      </c>
      <c r="N16" s="117">
        <f t="shared" si="6"/>
        <v>18023.23</v>
      </c>
      <c r="O16" s="117">
        <f t="shared" si="6"/>
        <v>3802273.5600000005</v>
      </c>
      <c r="P16" s="117"/>
    </row>
    <row r="17" spans="1:16" x14ac:dyDescent="0.2">
      <c r="A17" s="213" t="s">
        <v>30</v>
      </c>
      <c r="B17" s="117">
        <f t="shared" si="0"/>
        <v>145503361.35999998</v>
      </c>
      <c r="C17" s="121">
        <v>2270755.2000000002</v>
      </c>
      <c r="D17" s="121">
        <v>271675.40000000002</v>
      </c>
      <c r="E17" s="121">
        <v>157406.49000000005</v>
      </c>
      <c r="F17" s="121">
        <v>1517392.44</v>
      </c>
      <c r="G17" s="121">
        <v>17164470.319999993</v>
      </c>
      <c r="H17" s="121">
        <v>1070652.3400000001</v>
      </c>
      <c r="I17" s="121">
        <v>1352628.21</v>
      </c>
      <c r="J17" s="121">
        <v>6894675.8199999975</v>
      </c>
      <c r="K17" s="121">
        <v>97368120.309999987</v>
      </c>
      <c r="L17" s="121">
        <v>13290205.830000008</v>
      </c>
      <c r="M17" s="121">
        <v>325082.20999999996</v>
      </c>
      <c r="N17" s="121">
        <v>18023.23</v>
      </c>
      <c r="O17" s="121">
        <v>3802273.5600000005</v>
      </c>
      <c r="P17" s="121"/>
    </row>
    <row r="18" spans="1:16" x14ac:dyDescent="0.2">
      <c r="A18" s="211" t="s">
        <v>70</v>
      </c>
      <c r="B18" s="117">
        <f t="shared" si="0"/>
        <v>501583258.14000005</v>
      </c>
      <c r="C18" s="117">
        <f t="shared" ref="C18:O18" si="7">SUM(C19:C20)</f>
        <v>24386110.900000006</v>
      </c>
      <c r="D18" s="117">
        <f t="shared" si="7"/>
        <v>102286541.76999997</v>
      </c>
      <c r="E18" s="117">
        <f t="shared" si="7"/>
        <v>1924463.4600000004</v>
      </c>
      <c r="F18" s="117">
        <f t="shared" si="7"/>
        <v>4749087.0000000009</v>
      </c>
      <c r="G18" s="117">
        <f t="shared" si="7"/>
        <v>60203776.540000007</v>
      </c>
      <c r="H18" s="117">
        <f t="shared" si="7"/>
        <v>14045381.199999999</v>
      </c>
      <c r="I18" s="117">
        <f t="shared" si="7"/>
        <v>38948721.780000001</v>
      </c>
      <c r="J18" s="117">
        <f t="shared" si="7"/>
        <v>190585569.28999999</v>
      </c>
      <c r="K18" s="117">
        <f t="shared" si="7"/>
        <v>30195384.210000012</v>
      </c>
      <c r="L18" s="117">
        <f t="shared" si="7"/>
        <v>24738199.849999994</v>
      </c>
      <c r="M18" s="117">
        <f t="shared" si="7"/>
        <v>2419401.41</v>
      </c>
      <c r="N18" s="117">
        <f t="shared" si="7"/>
        <v>498894.88</v>
      </c>
      <c r="O18" s="117">
        <f t="shared" si="7"/>
        <v>6601725.8499999959</v>
      </c>
      <c r="P18" s="117"/>
    </row>
    <row r="19" spans="1:16" x14ac:dyDescent="0.2">
      <c r="A19" s="213" t="s">
        <v>454</v>
      </c>
      <c r="B19" s="117">
        <f t="shared" si="0"/>
        <v>7397846.5099999998</v>
      </c>
      <c r="C19" s="121">
        <v>843795.35</v>
      </c>
      <c r="D19" s="121">
        <v>14314.24</v>
      </c>
      <c r="E19" s="121">
        <v>515042.09</v>
      </c>
      <c r="F19" s="121">
        <v>390345.66000000003</v>
      </c>
      <c r="G19" s="121">
        <v>987664.66000000015</v>
      </c>
      <c r="H19" s="121">
        <v>3308924.3600000003</v>
      </c>
      <c r="I19" s="121">
        <v>934485.24</v>
      </c>
      <c r="J19" s="121">
        <v>255561.30999999994</v>
      </c>
      <c r="K19" s="121">
        <v>94419.010000000009</v>
      </c>
      <c r="L19" s="121">
        <v>28074.710000000003</v>
      </c>
      <c r="M19" s="121">
        <v>3869.26</v>
      </c>
      <c r="N19" s="121">
        <v>2787.08</v>
      </c>
      <c r="O19" s="121">
        <v>18563.54</v>
      </c>
      <c r="P19" s="121"/>
    </row>
    <row r="20" spans="1:16" x14ac:dyDescent="0.2">
      <c r="A20" s="213" t="s">
        <v>31</v>
      </c>
      <c r="B20" s="117">
        <f t="shared" si="0"/>
        <v>494185411.62999994</v>
      </c>
      <c r="C20" s="121">
        <v>23542315.550000004</v>
      </c>
      <c r="D20" s="121">
        <v>102272227.52999997</v>
      </c>
      <c r="E20" s="121">
        <v>1409421.3700000003</v>
      </c>
      <c r="F20" s="121">
        <v>4358741.3400000008</v>
      </c>
      <c r="G20" s="121">
        <v>59216111.88000001</v>
      </c>
      <c r="H20" s="121">
        <v>10736456.839999998</v>
      </c>
      <c r="I20" s="121">
        <v>38014236.539999999</v>
      </c>
      <c r="J20" s="121">
        <v>190330007.97999999</v>
      </c>
      <c r="K20" s="121">
        <v>30100965.20000001</v>
      </c>
      <c r="L20" s="121">
        <v>24710125.139999993</v>
      </c>
      <c r="M20" s="121">
        <v>2415532.1500000004</v>
      </c>
      <c r="N20" s="121">
        <v>496107.8</v>
      </c>
      <c r="O20" s="121">
        <v>6583162.3099999959</v>
      </c>
      <c r="P20" s="121"/>
    </row>
    <row r="21" spans="1:16" x14ac:dyDescent="0.2">
      <c r="A21" s="211" t="s">
        <v>33</v>
      </c>
      <c r="B21" s="117">
        <f t="shared" si="0"/>
        <v>1009747159.34</v>
      </c>
      <c r="C21" s="117">
        <f t="shared" ref="C21:O21" si="8">SUM(C22:C24)</f>
        <v>2307686.59</v>
      </c>
      <c r="D21" s="117">
        <f t="shared" si="8"/>
        <v>794833.73</v>
      </c>
      <c r="E21" s="117">
        <f t="shared" si="8"/>
        <v>204308.16999999998</v>
      </c>
      <c r="F21" s="117">
        <f t="shared" si="8"/>
        <v>463344560.97999996</v>
      </c>
      <c r="G21" s="117">
        <f t="shared" si="8"/>
        <v>35625463.200000003</v>
      </c>
      <c r="H21" s="117">
        <f t="shared" si="8"/>
        <v>3945089.1599999992</v>
      </c>
      <c r="I21" s="117">
        <f t="shared" si="8"/>
        <v>955475.47999999986</v>
      </c>
      <c r="J21" s="117">
        <f t="shared" si="8"/>
        <v>34556574.879999988</v>
      </c>
      <c r="K21" s="117">
        <f t="shared" si="8"/>
        <v>367931604.20000005</v>
      </c>
      <c r="L21" s="117">
        <f t="shared" si="8"/>
        <v>83769254.700000018</v>
      </c>
      <c r="M21" s="117">
        <f t="shared" si="8"/>
        <v>371817.81000000006</v>
      </c>
      <c r="N21" s="117">
        <f t="shared" si="8"/>
        <v>19731.11</v>
      </c>
      <c r="O21" s="117">
        <f t="shared" si="8"/>
        <v>15920759.33</v>
      </c>
      <c r="P21" s="117"/>
    </row>
    <row r="22" spans="1:16" x14ac:dyDescent="0.2">
      <c r="A22" s="213" t="s">
        <v>34</v>
      </c>
      <c r="B22" s="117">
        <f t="shared" si="0"/>
        <v>77665065.50999999</v>
      </c>
      <c r="C22" s="121">
        <v>1938762.3199999998</v>
      </c>
      <c r="D22" s="121">
        <v>43929.770000000004</v>
      </c>
      <c r="E22" s="121">
        <v>36540.530000000006</v>
      </c>
      <c r="F22" s="121">
        <v>2735908.8799999994</v>
      </c>
      <c r="G22" s="121">
        <v>8960959.3699999992</v>
      </c>
      <c r="H22" s="121">
        <v>667938.81000000006</v>
      </c>
      <c r="I22" s="121">
        <v>426162.87000000005</v>
      </c>
      <c r="J22" s="121">
        <v>3294315.0599999996</v>
      </c>
      <c r="K22" s="121">
        <v>44024546.739999995</v>
      </c>
      <c r="L22" s="121">
        <v>14238529.359999999</v>
      </c>
      <c r="M22" s="121">
        <v>27269.309999999998</v>
      </c>
      <c r="N22" s="121">
        <v>0</v>
      </c>
      <c r="O22" s="121">
        <v>1270202.49</v>
      </c>
      <c r="P22" s="121"/>
    </row>
    <row r="23" spans="1:16" x14ac:dyDescent="0.2">
      <c r="A23" s="213" t="s">
        <v>374</v>
      </c>
      <c r="B23" s="117">
        <f t="shared" si="0"/>
        <v>853080997.6099999</v>
      </c>
      <c r="C23" s="121">
        <v>368924.2699999999</v>
      </c>
      <c r="D23" s="121">
        <v>750624.85</v>
      </c>
      <c r="E23" s="121">
        <v>157625.56999999998</v>
      </c>
      <c r="F23" s="121">
        <v>460167279.06999999</v>
      </c>
      <c r="G23" s="121">
        <v>19817146.419999998</v>
      </c>
      <c r="H23" s="121">
        <v>3270699.4099999992</v>
      </c>
      <c r="I23" s="121">
        <v>528267.28999999992</v>
      </c>
      <c r="J23" s="121">
        <v>31241141.109999985</v>
      </c>
      <c r="K23" s="121">
        <v>257857954.87</v>
      </c>
      <c r="L23" s="121">
        <v>68692340.660000011</v>
      </c>
      <c r="M23" s="121">
        <v>344133.80000000005</v>
      </c>
      <c r="N23" s="121">
        <v>19731.11</v>
      </c>
      <c r="O23" s="121">
        <v>9865129.1799999997</v>
      </c>
      <c r="P23" s="121"/>
    </row>
    <row r="24" spans="1:16" x14ac:dyDescent="0.2">
      <c r="A24" s="213" t="s">
        <v>376</v>
      </c>
      <c r="B24" s="117">
        <f t="shared" si="0"/>
        <v>79001096.220000014</v>
      </c>
      <c r="C24" s="121"/>
      <c r="D24" s="121">
        <v>279.11</v>
      </c>
      <c r="E24" s="121">
        <v>10142.07</v>
      </c>
      <c r="F24" s="121">
        <v>441373.03</v>
      </c>
      <c r="G24" s="121">
        <v>6847357.4100000001</v>
      </c>
      <c r="H24" s="121">
        <v>6450.9400000000005</v>
      </c>
      <c r="I24" s="121">
        <v>1045.32</v>
      </c>
      <c r="J24" s="121">
        <v>21118.710000000003</v>
      </c>
      <c r="K24" s="121">
        <v>66049102.590000004</v>
      </c>
      <c r="L24" s="121">
        <v>838384.68</v>
      </c>
      <c r="M24" s="121">
        <v>414.7</v>
      </c>
      <c r="N24" s="121">
        <v>0</v>
      </c>
      <c r="O24" s="121">
        <v>4785427.66</v>
      </c>
      <c r="P24" s="121"/>
    </row>
    <row r="25" spans="1:16" x14ac:dyDescent="0.2">
      <c r="A25" s="211" t="s">
        <v>64</v>
      </c>
      <c r="B25" s="117">
        <f t="shared" si="0"/>
        <v>28604690.240000006</v>
      </c>
      <c r="C25" s="117">
        <f t="shared" ref="C25:O25" si="9">SUM(C26:C28)</f>
        <v>2052929.4000000001</v>
      </c>
      <c r="D25" s="117">
        <f t="shared" si="9"/>
        <v>267092.97000000003</v>
      </c>
      <c r="E25" s="117">
        <f t="shared" si="9"/>
        <v>5808497.79</v>
      </c>
      <c r="F25" s="117">
        <f t="shared" si="9"/>
        <v>1146360.75</v>
      </c>
      <c r="G25" s="117">
        <f t="shared" si="9"/>
        <v>6914080.1200000001</v>
      </c>
      <c r="H25" s="117">
        <f t="shared" si="9"/>
        <v>1048388.7999999999</v>
      </c>
      <c r="I25" s="117">
        <f t="shared" si="9"/>
        <v>1365538.43</v>
      </c>
      <c r="J25" s="117">
        <f t="shared" si="9"/>
        <v>4629510.8899999997</v>
      </c>
      <c r="K25" s="117">
        <f t="shared" si="9"/>
        <v>3279916.73</v>
      </c>
      <c r="L25" s="117">
        <f t="shared" si="9"/>
        <v>1639450.3300000003</v>
      </c>
      <c r="M25" s="117">
        <f t="shared" si="9"/>
        <v>65698.350000000006</v>
      </c>
      <c r="N25" s="117">
        <f t="shared" si="9"/>
        <v>49316.79</v>
      </c>
      <c r="O25" s="117">
        <f t="shared" si="9"/>
        <v>337908.88999999996</v>
      </c>
      <c r="P25" s="117"/>
    </row>
    <row r="26" spans="1:16" x14ac:dyDescent="0.2">
      <c r="A26" s="213" t="s">
        <v>36</v>
      </c>
      <c r="B26" s="117">
        <f t="shared" si="0"/>
        <v>79491.709999999992</v>
      </c>
      <c r="C26" s="121">
        <v>0</v>
      </c>
      <c r="D26" s="121">
        <v>0</v>
      </c>
      <c r="E26" s="121">
        <v>0</v>
      </c>
      <c r="F26" s="121">
        <v>0</v>
      </c>
      <c r="G26" s="121">
        <v>16314.59</v>
      </c>
      <c r="H26" s="121">
        <v>11372.62</v>
      </c>
      <c r="I26" s="121">
        <v>17157.169999999998</v>
      </c>
      <c r="J26" s="121">
        <v>18224.219999999998</v>
      </c>
      <c r="K26" s="121">
        <v>879.65</v>
      </c>
      <c r="L26" s="121">
        <v>13147.44</v>
      </c>
      <c r="M26" s="121">
        <v>0</v>
      </c>
      <c r="N26" s="121">
        <v>0</v>
      </c>
      <c r="O26" s="121">
        <v>2396.02</v>
      </c>
      <c r="P26" s="121"/>
    </row>
    <row r="27" spans="1:16" x14ac:dyDescent="0.2">
      <c r="A27" s="213" t="s">
        <v>37</v>
      </c>
      <c r="B27" s="117">
        <f t="shared" si="0"/>
        <v>2432588.27</v>
      </c>
      <c r="C27" s="121">
        <v>136774.78</v>
      </c>
      <c r="D27" s="121">
        <v>12719.28</v>
      </c>
      <c r="E27" s="121">
        <v>0</v>
      </c>
      <c r="F27" s="121">
        <v>0</v>
      </c>
      <c r="G27" s="121">
        <v>523992.89999999997</v>
      </c>
      <c r="H27" s="121">
        <v>3445.51</v>
      </c>
      <c r="I27" s="121">
        <v>169141.58000000002</v>
      </c>
      <c r="J27" s="121">
        <v>978478.35</v>
      </c>
      <c r="K27" s="121">
        <v>389618.97</v>
      </c>
      <c r="L27" s="121">
        <v>168837.30000000002</v>
      </c>
      <c r="M27" s="121">
        <v>0</v>
      </c>
      <c r="N27" s="121">
        <v>35958.44</v>
      </c>
      <c r="O27" s="121">
        <v>13621.16</v>
      </c>
      <c r="P27" s="121"/>
    </row>
    <row r="28" spans="1:16" x14ac:dyDescent="0.2">
      <c r="A28" s="213" t="s">
        <v>38</v>
      </c>
      <c r="B28" s="117">
        <f t="shared" si="0"/>
        <v>26092610.260000005</v>
      </c>
      <c r="C28" s="121">
        <v>1916154.62</v>
      </c>
      <c r="D28" s="121">
        <v>254373.69</v>
      </c>
      <c r="E28" s="121">
        <v>5808497.79</v>
      </c>
      <c r="F28" s="121">
        <v>1146360.75</v>
      </c>
      <c r="G28" s="121">
        <v>6373772.6299999999</v>
      </c>
      <c r="H28" s="121">
        <v>1033570.6699999999</v>
      </c>
      <c r="I28" s="121">
        <v>1179239.68</v>
      </c>
      <c r="J28" s="121">
        <v>3632808.32</v>
      </c>
      <c r="K28" s="121">
        <v>2889418.11</v>
      </c>
      <c r="L28" s="121">
        <v>1457465.5900000003</v>
      </c>
      <c r="M28" s="121">
        <v>65698.350000000006</v>
      </c>
      <c r="N28" s="121">
        <v>13358.349999999999</v>
      </c>
      <c r="O28" s="121">
        <v>321891.70999999996</v>
      </c>
      <c r="P28" s="121"/>
    </row>
    <row r="29" spans="1:16" x14ac:dyDescent="0.2">
      <c r="A29" s="211" t="s">
        <v>65</v>
      </c>
      <c r="B29" s="117">
        <f t="shared" si="0"/>
        <v>1846862636.4899998</v>
      </c>
      <c r="C29" s="117">
        <f t="shared" ref="C29:O29" si="10">SUM(C30)</f>
        <v>2550277.9799999995</v>
      </c>
      <c r="D29" s="117">
        <f t="shared" si="10"/>
        <v>11866398.100000001</v>
      </c>
      <c r="E29" s="117">
        <f t="shared" si="10"/>
        <v>390021.76000000013</v>
      </c>
      <c r="F29" s="117">
        <f t="shared" si="10"/>
        <v>102154476.59999998</v>
      </c>
      <c r="G29" s="117">
        <f t="shared" si="10"/>
        <v>261753914.37999982</v>
      </c>
      <c r="H29" s="117">
        <f t="shared" si="10"/>
        <v>10144724.41</v>
      </c>
      <c r="I29" s="117">
        <f t="shared" si="10"/>
        <v>4729383.6099999994</v>
      </c>
      <c r="J29" s="117">
        <f t="shared" si="10"/>
        <v>68695854.059999943</v>
      </c>
      <c r="K29" s="117">
        <f t="shared" si="10"/>
        <v>1114826819.9100001</v>
      </c>
      <c r="L29" s="117">
        <f t="shared" si="10"/>
        <v>156243978.26000002</v>
      </c>
      <c r="M29" s="117">
        <f t="shared" si="10"/>
        <v>1878566.8300000005</v>
      </c>
      <c r="N29" s="117">
        <f t="shared" si="10"/>
        <v>328475.60999999993</v>
      </c>
      <c r="O29" s="117">
        <f t="shared" si="10"/>
        <v>111299744.98000005</v>
      </c>
      <c r="P29" s="117"/>
    </row>
    <row r="30" spans="1:16" x14ac:dyDescent="0.2">
      <c r="A30" s="213" t="s">
        <v>365</v>
      </c>
      <c r="B30" s="117">
        <f t="shared" si="0"/>
        <v>1846862636.4899998</v>
      </c>
      <c r="C30" s="121">
        <v>2550277.9799999995</v>
      </c>
      <c r="D30" s="121">
        <v>11866398.100000001</v>
      </c>
      <c r="E30" s="121">
        <v>390021.76000000013</v>
      </c>
      <c r="F30" s="121">
        <v>102154476.59999998</v>
      </c>
      <c r="G30" s="121">
        <v>261753914.37999982</v>
      </c>
      <c r="H30" s="121">
        <v>10144724.41</v>
      </c>
      <c r="I30" s="121">
        <v>4729383.6099999994</v>
      </c>
      <c r="J30" s="121">
        <v>68695854.059999943</v>
      </c>
      <c r="K30" s="121">
        <v>1114826819.9100001</v>
      </c>
      <c r="L30" s="121">
        <v>156243978.26000002</v>
      </c>
      <c r="M30" s="121">
        <v>1878566.8300000005</v>
      </c>
      <c r="N30" s="121">
        <v>328475.60999999993</v>
      </c>
      <c r="O30" s="121">
        <v>111299744.98000005</v>
      </c>
      <c r="P30" s="121"/>
    </row>
    <row r="31" spans="1:16" x14ac:dyDescent="0.2">
      <c r="A31" s="211"/>
      <c r="B31" s="211"/>
      <c r="C31" s="212"/>
      <c r="D31" s="212"/>
      <c r="E31" s="212"/>
      <c r="F31" s="212"/>
      <c r="G31" s="212"/>
      <c r="H31" s="212"/>
      <c r="I31" s="212"/>
      <c r="J31" s="212"/>
      <c r="K31" s="212"/>
      <c r="L31" s="212"/>
      <c r="M31" s="212"/>
      <c r="N31" s="212"/>
      <c r="O31" s="212"/>
      <c r="P31" s="212"/>
    </row>
    <row r="32" spans="1:16" x14ac:dyDescent="0.2">
      <c r="A32" s="214" t="s">
        <v>455</v>
      </c>
      <c r="B32" s="211"/>
      <c r="C32" s="212"/>
      <c r="D32" s="212"/>
      <c r="E32" s="212"/>
      <c r="F32" s="212"/>
      <c r="G32" s="212"/>
      <c r="H32" s="212"/>
      <c r="I32" s="212"/>
      <c r="J32" s="212"/>
      <c r="K32" s="212"/>
      <c r="L32" s="212"/>
      <c r="M32" s="212"/>
      <c r="N32" s="212"/>
      <c r="O32" s="212"/>
      <c r="P32" s="212"/>
    </row>
    <row r="33" spans="1:17" x14ac:dyDescent="0.2">
      <c r="A33" s="109" t="s">
        <v>449</v>
      </c>
      <c r="B33" s="211"/>
      <c r="C33" s="212"/>
      <c r="D33" s="212"/>
      <c r="E33" s="212"/>
      <c r="F33" s="212"/>
      <c r="G33" s="212"/>
      <c r="H33" s="212"/>
      <c r="I33" s="212"/>
      <c r="J33" s="212"/>
      <c r="K33" s="212"/>
      <c r="L33" s="212"/>
      <c r="M33" s="212"/>
      <c r="N33" s="212"/>
      <c r="O33" s="212"/>
      <c r="P33" s="212"/>
    </row>
    <row r="34" spans="1:17" x14ac:dyDescent="0.2">
      <c r="A34" s="140" t="s">
        <v>19</v>
      </c>
      <c r="B34" s="140"/>
      <c r="C34" s="140"/>
      <c r="D34" s="140"/>
      <c r="E34" s="140"/>
      <c r="F34" s="140"/>
      <c r="G34" s="140"/>
      <c r="H34" s="140"/>
      <c r="I34" s="140"/>
      <c r="J34" s="140"/>
      <c r="K34" s="140"/>
      <c r="L34" s="140"/>
      <c r="M34" s="140"/>
      <c r="N34" s="140"/>
      <c r="O34" s="140"/>
      <c r="P34" s="140"/>
      <c r="Q34" s="140"/>
    </row>
    <row r="35" spans="1:17" x14ac:dyDescent="0.2">
      <c r="A35" s="62" t="s">
        <v>456</v>
      </c>
    </row>
    <row r="44" spans="1:17" x14ac:dyDescent="0.2">
      <c r="A44" s="78"/>
    </row>
    <row r="45" spans="1:17" x14ac:dyDescent="0.2">
      <c r="A45" s="78"/>
    </row>
    <row r="46" spans="1:17" x14ac:dyDescent="0.2">
      <c r="A46" s="78"/>
    </row>
    <row r="47" spans="1:17" x14ac:dyDescent="0.2">
      <c r="A47" s="78"/>
    </row>
    <row r="48" spans="1:17" x14ac:dyDescent="0.2">
      <c r="A48" s="78"/>
    </row>
    <row r="49" spans="1:1" x14ac:dyDescent="0.2">
      <c r="A49" s="78"/>
    </row>
    <row r="50" spans="1:1" x14ac:dyDescent="0.2">
      <c r="A50" s="78"/>
    </row>
    <row r="51" spans="1:1" x14ac:dyDescent="0.2">
      <c r="A51" s="78"/>
    </row>
    <row r="53" spans="1:1" x14ac:dyDescent="0.2">
      <c r="A53" s="78"/>
    </row>
    <row r="54" spans="1:1" x14ac:dyDescent="0.2">
      <c r="A54" s="78"/>
    </row>
    <row r="55" spans="1:1" x14ac:dyDescent="0.2">
      <c r="A55" s="78"/>
    </row>
    <row r="56" spans="1:1" x14ac:dyDescent="0.2">
      <c r="A56" s="78"/>
    </row>
    <row r="57" spans="1:1" x14ac:dyDescent="0.2">
      <c r="A57" s="78"/>
    </row>
    <row r="58" spans="1:1" x14ac:dyDescent="0.2">
      <c r="A58" s="78"/>
    </row>
    <row r="59" spans="1:1" x14ac:dyDescent="0.2">
      <c r="A59" s="78"/>
    </row>
  </sheetData>
  <mergeCells count="3">
    <mergeCell ref="A4:A5"/>
    <mergeCell ref="B4:B5"/>
    <mergeCell ref="C4:O4"/>
  </mergeCells>
  <pageMargins left="0.23622047244094491" right="0.23622047244094491" top="0.74803149606299213" bottom="0.74803149606299213" header="0.31496062992125984" footer="0.31496062992125984"/>
  <pageSetup paperSize="14" scale="65" orientation="landscape" verticalDpi="599" r:id="rId1"/>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AB1D4-9112-4B97-8F7D-177E337F1C5A}">
  <sheetPr codeName="Hoja230">
    <tabColor theme="8"/>
  </sheetPr>
  <dimension ref="A2:A20"/>
  <sheetViews>
    <sheetView workbookViewId="0">
      <selection activeCell="A20" sqref="A20"/>
    </sheetView>
  </sheetViews>
  <sheetFormatPr baseColWidth="10" defaultColWidth="11.44140625" defaultRowHeight="10.199999999999999" x14ac:dyDescent="0.2"/>
  <cols>
    <col min="1" max="16384" width="11.44140625" style="24"/>
  </cols>
  <sheetData>
    <row r="2" spans="1:1" x14ac:dyDescent="0.2">
      <c r="A2" s="24" t="s">
        <v>2868</v>
      </c>
    </row>
    <row r="4" spans="1:1" x14ac:dyDescent="0.2">
      <c r="A4" s="24" t="s">
        <v>2869</v>
      </c>
    </row>
    <row r="6" spans="1:1" x14ac:dyDescent="0.2">
      <c r="A6" s="182" t="s">
        <v>2870</v>
      </c>
    </row>
    <row r="7" spans="1:1" x14ac:dyDescent="0.2">
      <c r="A7" s="182" t="s">
        <v>2871</v>
      </c>
    </row>
    <row r="8" spans="1:1" x14ac:dyDescent="0.2">
      <c r="A8" s="182" t="s">
        <v>2872</v>
      </c>
    </row>
    <row r="9" spans="1:1" x14ac:dyDescent="0.2">
      <c r="A9" s="182" t="s">
        <v>2873</v>
      </c>
    </row>
    <row r="10" spans="1:1" x14ac:dyDescent="0.2">
      <c r="A10" s="182" t="s">
        <v>2874</v>
      </c>
    </row>
    <row r="11" spans="1:1" x14ac:dyDescent="0.2">
      <c r="A11" s="182" t="s">
        <v>2875</v>
      </c>
    </row>
    <row r="12" spans="1:1" x14ac:dyDescent="0.2">
      <c r="A12" s="182" t="s">
        <v>2876</v>
      </c>
    </row>
    <row r="13" spans="1:1" x14ac:dyDescent="0.2">
      <c r="A13" s="182" t="s">
        <v>2877</v>
      </c>
    </row>
    <row r="14" spans="1:1" x14ac:dyDescent="0.2">
      <c r="A14" s="182" t="s">
        <v>2878</v>
      </c>
    </row>
    <row r="15" spans="1:1" x14ac:dyDescent="0.2">
      <c r="A15" s="182" t="s">
        <v>2879</v>
      </c>
    </row>
    <row r="16" spans="1:1" x14ac:dyDescent="0.2">
      <c r="A16" s="182" t="s">
        <v>2880</v>
      </c>
    </row>
    <row r="17" spans="1:1" x14ac:dyDescent="0.2">
      <c r="A17" s="182" t="s">
        <v>2881</v>
      </c>
    </row>
    <row r="18" spans="1:1" x14ac:dyDescent="0.2">
      <c r="A18" s="182" t="s">
        <v>2882</v>
      </c>
    </row>
    <row r="19" spans="1:1" x14ac:dyDescent="0.2">
      <c r="A19" s="182" t="s">
        <v>2883</v>
      </c>
    </row>
    <row r="20" spans="1:1" x14ac:dyDescent="0.2">
      <c r="A20" s="182" t="s">
        <v>2884</v>
      </c>
    </row>
  </sheetData>
  <hyperlinks>
    <hyperlink ref="A6" location="'3.7.1-01'!A1" display="CUADRO 3.7.1-01: NÚMERO DE CONCESIONES/1  DE RADIODIFUSIÓN POR TIPO DE TRANSMISIÓN, SEGÚN BANDA EN QUE TRANSMITEN Y REGIÓN. 2013/a" xr:uid="{B87E8257-F66C-485E-8221-F02E474D3F76}"/>
    <hyperlink ref="A7" location="'3.7.1-02'!A1" display="CUADRO 3.7.1-02: NÚMERO DE CONCESIONES/1 DE RADIODIFUSIÓN POR POTENCIA DE SUS TRANSMISIONES, SEGÚN BANDA DE TRANSMISIÓN Y REGIÓN. 2013/a" xr:uid="{5CB90408-48C0-4B2D-8D38-E36ACC9C0C83}"/>
    <hyperlink ref="A8" location="'3.7.1-03'!A1" display="CUADRO 3.7.1-03: NÚMERO DE CONCESIONES/1 DE RADIODIFUSIÓN QUE EFECTUARON TRANSMISIONES POR INTERVALOS DE HORAS DE TRANSMISIÓN, SEGÚN DÍAS DE LA SEMANA Y REGIÓN. 2013" xr:uid="{A3FA4319-2396-4A37-A79A-D4442866DC98}"/>
    <hyperlink ref="A9" location="'3.7.1-04'!A1" display="CUADRO 3.7.1-04: NÚMERO DE CONCESIONES/1 DE RADIODIFUSIÓN, POR INTERVALOS DE HORAS DE TRANSMISIÓN DIARIA, SEGÚN BANDA DE TRANSMISIÓN Y DÍAS DE LA SEMANA. 2013/a" xr:uid="{D77747EE-6FCB-47DF-853D-5284FC21C5D1}"/>
    <hyperlink ref="A10" location="'3.7.1-05'!A1" display="CUADRO 3.7.1-05: PORCENTAJES DE CONCESIONES/1 DE RADIODIFUSIÓN, POR INTERVALOS DE HORAS DE TRANSMISIÓN DIARIA, SEGÚN BANDA DE TRANSMISIÓN Y DÍAS DE LA SEMANA. 2013/a/b/c" xr:uid="{C0215332-C8C3-44E0-8369-EE148C2018F2}"/>
    <hyperlink ref="A11" location="'3.7.1-06'!A1" display="CUADRO 3.7.1-06: NÚMERO DE RADIOEMISORAS, POR BANDA DE TRANSMISIÓN, SEGÚN TIPO DE PROGRAMA AL QUE LE ASIGNAN PRIMERA PRIORIDAD. 2013/a/b" xr:uid="{500EE5D7-251F-4301-BC71-05156AF43573}"/>
    <hyperlink ref="A12" location="'3.7.1-07'!A1" display="CUADRO 3.7.1-07: NÚMERO DE RADIOEMISORAS, POR BANDA DE TRANSMISIÓN, SEGÚN GRUPO DE EDAD DEL PÚBLICO AL QUE LE DAN PRIMERA PRIORIDAD. 2013/a/b" xr:uid="{833F696D-FC02-405C-B4D9-84695ADB3EFE}"/>
    <hyperlink ref="A13" location="'3.7.1-08'!A1" display="CUADRO 3.7.1-08: NÚMERO DE CONCESIONES/1 DE RADIODIFUSIÓN, SEGÚN TRANSMISIÓN VIA INTERNET. 2013/a/b" xr:uid="{A60ED498-2108-458C-B3AC-00EF26AFD1F1}"/>
    <hyperlink ref="A14" location="'3.7.1-09'!A1" display="CUADRO 3.7.1-09: NÚMERO DE EMISORAS DE FRECUENCIA MODULADA (FM), AMPLITUD MODULADA (AM) Y MÍNIMA COBERTURA (MC) REGISTRADAS EN LA SUBSECRETARÍA DE TELECOMUNICACIONES (SUBTEL). 2011-2013" xr:uid="{2F76FF96-D914-43E3-9BB6-3EEB016BA89A}"/>
    <hyperlink ref="A15" location="'3.7.1-10'!A1" display="CUADRO 3.7.1-10: SOPORTE PARA DIFUSIÓN Y COMERCIALIZACIÓN SEGÚN REGISTROS DE LA SOCIEDAD CHILENA DEL DERECHO DE AUTOR (SCD). 2013" xr:uid="{401C4981-F284-4903-9FE2-F3E3F66F3406}"/>
    <hyperlink ref="A16" location="'3.7.1-11'!A1" display="CUADRO 3.7.1-11: PERSONAL DE LAS RADIOEMISORAS, POR TIPO DE JORNADA, SEGÚN SEXO Y TIPO DE PERSONAL. 2013/a/b" xr:uid="{BD588384-539D-4A2D-AFDD-B0F1F37D12F5}"/>
    <hyperlink ref="A17" location="'3.7.1-12'!A1" display="CUADRO 3.7.1-12: INGRESOS DE LAS RADIOEMISORAS, SEGÚN FUENTE. 2013/a/b" xr:uid="{EF47547C-9321-471D-880A-0BD970D6BC95}"/>
    <hyperlink ref="A18" location="'3.7.1-13'!A1" display="CUADRO 3.7.1-13: GASTOS DE LAS RADIOEMISORAS, SEGÚN ORIGEN. 2013/a/b" xr:uid="{CFDBEE0B-B0AB-4A21-8355-A8615BA12632}"/>
    <hyperlink ref="A19" location="'3.7.1-14'!A1" display="CUADRO 3.7.1-14: INGRESOS Y GASTOS DE LAS RADIOEMISORAS, SEGÚN TAMAÑO DE LA EMPRESA. 2013/a" xr:uid="{C3F12A35-7555-49F7-A326-1CCF849D46B5}"/>
    <hyperlink ref="A20" location="'3.7.1-15'!A1" display="CUADRO 3.7.1-15: HORAS ANUALES Y PORCENTAJES DE TRANSMISIÓN DE LAS RADIOEMISORAS, SEGÚN TIPO DE PROGRAMA. 2013/a/b" xr:uid="{470124AD-812C-4B6F-A7D1-188F16FF43A6}"/>
  </hyperlinks>
  <pageMargins left="0.7" right="0.7" top="0.75" bottom="0.75" header="0.3" footer="0.3"/>
  <pageSetup paperSize="14" scale="90" orientation="landscape" r:id="rId1"/>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66120F-2E58-40F0-BBA6-01E0CE98D1A7}">
  <sheetPr codeName="Hoja231"/>
  <dimension ref="A2:Y43"/>
  <sheetViews>
    <sheetView zoomScaleNormal="100" workbookViewId="0">
      <selection activeCell="A4" sqref="A4:A6"/>
    </sheetView>
  </sheetViews>
  <sheetFormatPr baseColWidth="10" defaultRowHeight="13.2" x14ac:dyDescent="0.25"/>
  <cols>
    <col min="1" max="1" width="17.88671875" customWidth="1"/>
    <col min="2" max="2" width="15" customWidth="1"/>
    <col min="3" max="3" width="16.5546875" customWidth="1"/>
    <col min="5" max="5" width="14.6640625" customWidth="1"/>
    <col min="7" max="7" width="16.33203125" customWidth="1"/>
    <col min="8" max="8" width="14.44140625" customWidth="1"/>
    <col min="11" max="11" width="16" customWidth="1"/>
    <col min="15" max="15" width="15.88671875" customWidth="1"/>
  </cols>
  <sheetData>
    <row r="2" spans="1:25" x14ac:dyDescent="0.25">
      <c r="A2" s="337" t="s">
        <v>2921</v>
      </c>
    </row>
    <row r="3" spans="1:25" s="953" customFormat="1" ht="10.199999999999999" x14ac:dyDescent="0.2">
      <c r="A3" s="706"/>
      <c r="B3" s="706"/>
      <c r="C3" s="706"/>
      <c r="D3" s="706"/>
      <c r="E3" s="706"/>
      <c r="F3" s="141"/>
      <c r="G3" s="141"/>
      <c r="H3" s="141"/>
      <c r="I3" s="141"/>
      <c r="J3" s="141"/>
      <c r="K3" s="141"/>
      <c r="L3" s="141"/>
      <c r="M3" s="141"/>
    </row>
    <row r="4" spans="1:25" s="953" customFormat="1" ht="12.75" customHeight="1" x14ac:dyDescent="0.2">
      <c r="A4" s="275" t="s">
        <v>0</v>
      </c>
      <c r="B4" s="895" t="s">
        <v>2922</v>
      </c>
      <c r="C4" s="896"/>
      <c r="D4" s="896"/>
      <c r="E4" s="896"/>
      <c r="F4" s="896"/>
      <c r="G4" s="896"/>
      <c r="H4" s="896"/>
      <c r="I4" s="896"/>
      <c r="J4" s="896"/>
      <c r="K4" s="896"/>
      <c r="L4" s="896"/>
      <c r="M4" s="896"/>
      <c r="N4" s="896"/>
      <c r="O4" s="896"/>
      <c r="P4" s="896"/>
      <c r="Q4" s="897"/>
    </row>
    <row r="5" spans="1:25" s="953" customFormat="1" ht="12.75" customHeight="1" x14ac:dyDescent="0.2">
      <c r="A5" s="1179"/>
      <c r="B5" s="114" t="s">
        <v>3</v>
      </c>
      <c r="C5" s="895" t="s">
        <v>2923</v>
      </c>
      <c r="D5" s="896"/>
      <c r="E5" s="897"/>
      <c r="F5" s="749" t="s">
        <v>2924</v>
      </c>
      <c r="G5" s="749"/>
      <c r="H5" s="749"/>
      <c r="I5" s="749"/>
      <c r="J5" s="749" t="s">
        <v>2925</v>
      </c>
      <c r="K5" s="749"/>
      <c r="L5" s="749"/>
      <c r="M5" s="749"/>
      <c r="N5" s="749" t="s">
        <v>2926</v>
      </c>
      <c r="O5" s="749"/>
      <c r="P5" s="749"/>
      <c r="Q5" s="749"/>
    </row>
    <row r="6" spans="1:25" s="953" customFormat="1" ht="47.25" customHeight="1" x14ac:dyDescent="0.2">
      <c r="A6" s="277"/>
      <c r="B6" s="115"/>
      <c r="C6" s="454" t="s">
        <v>2927</v>
      </c>
      <c r="D6" s="454" t="s">
        <v>2928</v>
      </c>
      <c r="E6" s="453" t="s">
        <v>2929</v>
      </c>
      <c r="F6" s="453" t="s">
        <v>3</v>
      </c>
      <c r="G6" s="454" t="s">
        <v>2927</v>
      </c>
      <c r="H6" s="454" t="s">
        <v>2928</v>
      </c>
      <c r="I6" s="453" t="s">
        <v>2929</v>
      </c>
      <c r="J6" s="453" t="s">
        <v>3</v>
      </c>
      <c r="K6" s="454" t="s">
        <v>2927</v>
      </c>
      <c r="L6" s="454" t="s">
        <v>2928</v>
      </c>
      <c r="M6" s="453" t="s">
        <v>2929</v>
      </c>
      <c r="N6" s="453" t="s">
        <v>3</v>
      </c>
      <c r="O6" s="454" t="s">
        <v>2927</v>
      </c>
      <c r="P6" s="454" t="s">
        <v>2928</v>
      </c>
      <c r="Q6" s="453" t="s">
        <v>2929</v>
      </c>
    </row>
    <row r="7" spans="1:25" s="953" customFormat="1" ht="10.199999999999999" x14ac:dyDescent="0.2">
      <c r="A7" s="706" t="s">
        <v>3</v>
      </c>
      <c r="B7" s="811">
        <v>1497</v>
      </c>
      <c r="C7" s="811">
        <v>743</v>
      </c>
      <c r="D7" s="811">
        <v>576</v>
      </c>
      <c r="E7" s="811">
        <v>178</v>
      </c>
      <c r="F7" s="811">
        <v>119</v>
      </c>
      <c r="G7" s="811">
        <v>71</v>
      </c>
      <c r="H7" s="811">
        <v>23</v>
      </c>
      <c r="I7" s="811">
        <v>25</v>
      </c>
      <c r="J7" s="811">
        <v>1201</v>
      </c>
      <c r="K7" s="811">
        <v>526</v>
      </c>
      <c r="L7" s="811">
        <v>532</v>
      </c>
      <c r="M7" s="811">
        <v>143</v>
      </c>
      <c r="N7" s="811">
        <v>177</v>
      </c>
      <c r="O7" s="811">
        <v>146</v>
      </c>
      <c r="P7" s="811">
        <v>21</v>
      </c>
      <c r="Q7" s="811">
        <v>10</v>
      </c>
    </row>
    <row r="8" spans="1:25" s="953" customFormat="1" ht="10.199999999999999" x14ac:dyDescent="0.2">
      <c r="A8" s="1180" t="s">
        <v>4</v>
      </c>
      <c r="B8" s="811">
        <v>38</v>
      </c>
      <c r="C8" s="131">
        <v>12</v>
      </c>
      <c r="D8" s="131">
        <v>20</v>
      </c>
      <c r="E8" s="131">
        <v>6</v>
      </c>
      <c r="F8" s="811">
        <v>1</v>
      </c>
      <c r="G8" s="131">
        <v>0</v>
      </c>
      <c r="H8" s="131">
        <v>1</v>
      </c>
      <c r="I8" s="131">
        <v>0</v>
      </c>
      <c r="J8" s="811">
        <v>37</v>
      </c>
      <c r="K8" s="131">
        <v>12</v>
      </c>
      <c r="L8" s="131">
        <v>19</v>
      </c>
      <c r="M8" s="131">
        <v>6</v>
      </c>
      <c r="N8" s="811">
        <v>0</v>
      </c>
      <c r="O8" s="131">
        <v>0</v>
      </c>
      <c r="P8" s="131">
        <v>0</v>
      </c>
      <c r="Q8" s="131">
        <v>0</v>
      </c>
      <c r="S8" s="1181"/>
      <c r="U8" s="1181"/>
      <c r="W8" s="1181"/>
      <c r="Y8" s="1181"/>
    </row>
    <row r="9" spans="1:25" s="953" customFormat="1" ht="10.199999999999999" x14ac:dyDescent="0.2">
      <c r="A9" s="1180" t="s">
        <v>5</v>
      </c>
      <c r="B9" s="811">
        <v>39</v>
      </c>
      <c r="C9" s="131">
        <v>12</v>
      </c>
      <c r="D9" s="131">
        <v>22</v>
      </c>
      <c r="E9" s="131">
        <v>5</v>
      </c>
      <c r="F9" s="811">
        <v>1</v>
      </c>
      <c r="G9" s="131">
        <v>0</v>
      </c>
      <c r="H9" s="131">
        <v>0</v>
      </c>
      <c r="I9" s="131">
        <v>1</v>
      </c>
      <c r="J9" s="811">
        <v>36</v>
      </c>
      <c r="K9" s="131">
        <v>10</v>
      </c>
      <c r="L9" s="131">
        <v>22</v>
      </c>
      <c r="M9" s="131">
        <v>4</v>
      </c>
      <c r="N9" s="811">
        <v>2</v>
      </c>
      <c r="O9" s="131">
        <v>2</v>
      </c>
      <c r="P9" s="131">
        <v>0</v>
      </c>
      <c r="Q9" s="131">
        <v>0</v>
      </c>
      <c r="S9" s="1181"/>
      <c r="U9" s="1181"/>
      <c r="W9" s="1181"/>
      <c r="Y9" s="1181"/>
    </row>
    <row r="10" spans="1:25" s="953" customFormat="1" ht="10.199999999999999" x14ac:dyDescent="0.2">
      <c r="A10" s="1180" t="s">
        <v>6</v>
      </c>
      <c r="B10" s="811">
        <v>94</v>
      </c>
      <c r="C10" s="131">
        <v>36</v>
      </c>
      <c r="D10" s="131">
        <v>44</v>
      </c>
      <c r="E10" s="131">
        <v>14</v>
      </c>
      <c r="F10" s="811">
        <v>1</v>
      </c>
      <c r="G10" s="131">
        <v>0</v>
      </c>
      <c r="H10" s="131">
        <v>1</v>
      </c>
      <c r="I10" s="131">
        <v>0</v>
      </c>
      <c r="J10" s="811">
        <v>91</v>
      </c>
      <c r="K10" s="131">
        <v>34</v>
      </c>
      <c r="L10" s="131">
        <v>43</v>
      </c>
      <c r="M10" s="131">
        <v>14</v>
      </c>
      <c r="N10" s="811">
        <v>2</v>
      </c>
      <c r="O10" s="131">
        <v>2</v>
      </c>
      <c r="P10" s="131">
        <v>0</v>
      </c>
      <c r="Q10" s="131">
        <v>0</v>
      </c>
      <c r="S10" s="1181"/>
      <c r="U10" s="1181"/>
      <c r="W10" s="1181"/>
      <c r="Y10" s="1181"/>
    </row>
    <row r="11" spans="1:25" s="953" customFormat="1" ht="10.199999999999999" x14ac:dyDescent="0.2">
      <c r="A11" s="1180" t="s">
        <v>7</v>
      </c>
      <c r="B11" s="811">
        <v>92</v>
      </c>
      <c r="C11" s="131">
        <v>52</v>
      </c>
      <c r="D11" s="131">
        <v>32</v>
      </c>
      <c r="E11" s="131">
        <v>8</v>
      </c>
      <c r="F11" s="811">
        <v>1</v>
      </c>
      <c r="G11" s="131">
        <v>0</v>
      </c>
      <c r="H11" s="131">
        <v>0</v>
      </c>
      <c r="I11" s="131">
        <v>1</v>
      </c>
      <c r="J11" s="811">
        <v>86</v>
      </c>
      <c r="K11" s="131">
        <v>47</v>
      </c>
      <c r="L11" s="131">
        <v>32</v>
      </c>
      <c r="M11" s="131">
        <v>7</v>
      </c>
      <c r="N11" s="811">
        <v>5</v>
      </c>
      <c r="O11" s="131">
        <v>5</v>
      </c>
      <c r="P11" s="131">
        <v>0</v>
      </c>
      <c r="Q11" s="131">
        <v>0</v>
      </c>
      <c r="S11" s="1181"/>
      <c r="U11" s="1181"/>
      <c r="W11" s="1181"/>
      <c r="Y11" s="1181"/>
    </row>
    <row r="12" spans="1:25" s="953" customFormat="1" ht="10.5" customHeight="1" x14ac:dyDescent="0.2">
      <c r="A12" s="1180" t="s">
        <v>8</v>
      </c>
      <c r="B12" s="811">
        <v>107</v>
      </c>
      <c r="C12" s="131">
        <v>37</v>
      </c>
      <c r="D12" s="131">
        <v>50</v>
      </c>
      <c r="E12" s="131">
        <v>20</v>
      </c>
      <c r="F12" s="811">
        <v>7</v>
      </c>
      <c r="G12" s="131">
        <v>3</v>
      </c>
      <c r="H12" s="131">
        <v>2</v>
      </c>
      <c r="I12" s="131">
        <v>2</v>
      </c>
      <c r="J12" s="811">
        <v>94</v>
      </c>
      <c r="K12" s="131">
        <v>32</v>
      </c>
      <c r="L12" s="131">
        <v>45</v>
      </c>
      <c r="M12" s="131">
        <v>17</v>
      </c>
      <c r="N12" s="811">
        <v>6</v>
      </c>
      <c r="O12" s="131">
        <v>2</v>
      </c>
      <c r="P12" s="131">
        <v>3</v>
      </c>
      <c r="Q12" s="131">
        <v>1</v>
      </c>
      <c r="S12" s="1181"/>
      <c r="U12" s="1181"/>
      <c r="W12" s="1181"/>
      <c r="Y12" s="1181"/>
    </row>
    <row r="13" spans="1:25" s="953" customFormat="1" ht="10.5" customHeight="1" x14ac:dyDescent="0.2">
      <c r="A13" s="1180" t="s">
        <v>9</v>
      </c>
      <c r="B13" s="811">
        <v>155</v>
      </c>
      <c r="C13" s="131">
        <v>84</v>
      </c>
      <c r="D13" s="131">
        <v>59</v>
      </c>
      <c r="E13" s="131">
        <v>12</v>
      </c>
      <c r="F13" s="811">
        <v>15</v>
      </c>
      <c r="G13" s="131">
        <v>9</v>
      </c>
      <c r="H13" s="131">
        <v>4</v>
      </c>
      <c r="I13" s="131">
        <v>2</v>
      </c>
      <c r="J13" s="811">
        <v>109</v>
      </c>
      <c r="K13" s="131">
        <v>50</v>
      </c>
      <c r="L13" s="131">
        <v>52</v>
      </c>
      <c r="M13" s="131">
        <v>7</v>
      </c>
      <c r="N13" s="811">
        <v>31</v>
      </c>
      <c r="O13" s="131">
        <v>25</v>
      </c>
      <c r="P13" s="131">
        <v>3</v>
      </c>
      <c r="Q13" s="131">
        <v>3</v>
      </c>
      <c r="S13" s="1181"/>
      <c r="U13" s="1181"/>
      <c r="W13" s="1181"/>
      <c r="Y13" s="1181"/>
    </row>
    <row r="14" spans="1:25" s="953" customFormat="1" ht="10.199999999999999" x14ac:dyDescent="0.2">
      <c r="A14" s="1180" t="s">
        <v>10</v>
      </c>
      <c r="B14" s="811">
        <v>110</v>
      </c>
      <c r="C14" s="131">
        <v>89</v>
      </c>
      <c r="D14" s="131">
        <v>18</v>
      </c>
      <c r="E14" s="131">
        <v>3</v>
      </c>
      <c r="F14" s="811">
        <v>20</v>
      </c>
      <c r="G14" s="131">
        <v>16</v>
      </c>
      <c r="H14" s="131">
        <v>3</v>
      </c>
      <c r="I14" s="131">
        <v>1</v>
      </c>
      <c r="J14" s="811">
        <v>46</v>
      </c>
      <c r="K14" s="131">
        <v>35</v>
      </c>
      <c r="L14" s="131">
        <v>9</v>
      </c>
      <c r="M14" s="131">
        <v>2</v>
      </c>
      <c r="N14" s="811">
        <v>44</v>
      </c>
      <c r="O14" s="131">
        <v>38</v>
      </c>
      <c r="P14" s="131">
        <v>6</v>
      </c>
      <c r="Q14" s="131">
        <v>0</v>
      </c>
      <c r="S14" s="1181"/>
      <c r="U14" s="1181"/>
      <c r="W14" s="1181"/>
      <c r="Y14" s="1181"/>
    </row>
    <row r="15" spans="1:25" s="953" customFormat="1" ht="10.199999999999999" x14ac:dyDescent="0.2">
      <c r="A15" s="1180" t="s">
        <v>134</v>
      </c>
      <c r="B15" s="811">
        <v>98</v>
      </c>
      <c r="C15" s="131">
        <v>63</v>
      </c>
      <c r="D15" s="131">
        <v>28</v>
      </c>
      <c r="E15" s="131">
        <v>7</v>
      </c>
      <c r="F15" s="811">
        <v>5</v>
      </c>
      <c r="G15" s="131">
        <v>4</v>
      </c>
      <c r="H15" s="131">
        <v>1</v>
      </c>
      <c r="I15" s="131">
        <v>0</v>
      </c>
      <c r="J15" s="811">
        <v>75</v>
      </c>
      <c r="K15" s="131">
        <v>42</v>
      </c>
      <c r="L15" s="131">
        <v>27</v>
      </c>
      <c r="M15" s="131">
        <v>6</v>
      </c>
      <c r="N15" s="811">
        <v>18</v>
      </c>
      <c r="O15" s="131">
        <v>17</v>
      </c>
      <c r="P15" s="131">
        <v>0</v>
      </c>
      <c r="Q15" s="131">
        <v>1</v>
      </c>
      <c r="S15" s="1181"/>
      <c r="U15" s="1181"/>
      <c r="W15" s="1181"/>
      <c r="Y15" s="1181"/>
    </row>
    <row r="16" spans="1:25" s="953" customFormat="1" ht="10.199999999999999" x14ac:dyDescent="0.2">
      <c r="A16" s="1180" t="s">
        <v>12</v>
      </c>
      <c r="B16" s="811">
        <v>124</v>
      </c>
      <c r="C16" s="131">
        <v>64</v>
      </c>
      <c r="D16" s="131">
        <v>48</v>
      </c>
      <c r="E16" s="131">
        <v>12</v>
      </c>
      <c r="F16" s="811">
        <v>10</v>
      </c>
      <c r="G16" s="131">
        <v>6</v>
      </c>
      <c r="H16" s="131">
        <v>1</v>
      </c>
      <c r="I16" s="131">
        <v>3</v>
      </c>
      <c r="J16" s="811">
        <v>99</v>
      </c>
      <c r="K16" s="131">
        <v>45</v>
      </c>
      <c r="L16" s="131">
        <v>46</v>
      </c>
      <c r="M16" s="131">
        <v>8</v>
      </c>
      <c r="N16" s="811">
        <v>15</v>
      </c>
      <c r="O16" s="131">
        <v>13</v>
      </c>
      <c r="P16" s="131">
        <v>1</v>
      </c>
      <c r="Q16" s="131">
        <v>1</v>
      </c>
      <c r="S16" s="1181"/>
      <c r="U16" s="1181"/>
      <c r="W16" s="1181"/>
      <c r="Y16" s="1181"/>
    </row>
    <row r="17" spans="1:25" s="953" customFormat="1" ht="10.199999999999999" x14ac:dyDescent="0.2">
      <c r="A17" s="1180" t="s">
        <v>13</v>
      </c>
      <c r="B17" s="811">
        <v>170</v>
      </c>
      <c r="C17" s="131">
        <v>104</v>
      </c>
      <c r="D17" s="131">
        <v>46</v>
      </c>
      <c r="E17" s="131">
        <v>20</v>
      </c>
      <c r="F17" s="811">
        <v>19</v>
      </c>
      <c r="G17" s="131">
        <v>12</v>
      </c>
      <c r="H17" s="131">
        <v>3</v>
      </c>
      <c r="I17" s="131">
        <v>4</v>
      </c>
      <c r="J17" s="811">
        <v>127</v>
      </c>
      <c r="K17" s="131">
        <v>71</v>
      </c>
      <c r="L17" s="131">
        <v>41</v>
      </c>
      <c r="M17" s="131">
        <v>15</v>
      </c>
      <c r="N17" s="811">
        <v>24</v>
      </c>
      <c r="O17" s="131">
        <v>21</v>
      </c>
      <c r="P17" s="131">
        <v>2</v>
      </c>
      <c r="Q17" s="131">
        <v>1</v>
      </c>
      <c r="S17" s="1181"/>
      <c r="U17" s="1181"/>
      <c r="W17" s="1181"/>
      <c r="Y17" s="1181"/>
    </row>
    <row r="18" spans="1:25" s="953" customFormat="1" ht="10.199999999999999" x14ac:dyDescent="0.2">
      <c r="A18" s="1180" t="s">
        <v>47</v>
      </c>
      <c r="B18" s="811">
        <v>149</v>
      </c>
      <c r="C18" s="131">
        <v>63</v>
      </c>
      <c r="D18" s="131">
        <v>72</v>
      </c>
      <c r="E18" s="131">
        <v>14</v>
      </c>
      <c r="F18" s="811">
        <v>13</v>
      </c>
      <c r="G18" s="131">
        <v>9</v>
      </c>
      <c r="H18" s="131">
        <v>3</v>
      </c>
      <c r="I18" s="131">
        <v>1</v>
      </c>
      <c r="J18" s="811">
        <v>118</v>
      </c>
      <c r="K18" s="131">
        <v>42</v>
      </c>
      <c r="L18" s="131">
        <v>64</v>
      </c>
      <c r="M18" s="131">
        <v>12</v>
      </c>
      <c r="N18" s="811">
        <v>18</v>
      </c>
      <c r="O18" s="131">
        <v>12</v>
      </c>
      <c r="P18" s="131">
        <v>5</v>
      </c>
      <c r="Q18" s="131">
        <v>1</v>
      </c>
      <c r="S18" s="1181"/>
      <c r="U18" s="1181"/>
      <c r="W18" s="1181"/>
      <c r="Y18" s="1181"/>
    </row>
    <row r="19" spans="1:25" s="953" customFormat="1" ht="10.5" customHeight="1" x14ac:dyDescent="0.2">
      <c r="A19" s="1180" t="s">
        <v>135</v>
      </c>
      <c r="B19" s="811">
        <v>71</v>
      </c>
      <c r="C19" s="131">
        <v>36</v>
      </c>
      <c r="D19" s="131">
        <v>24</v>
      </c>
      <c r="E19" s="131">
        <v>11</v>
      </c>
      <c r="F19" s="811">
        <v>5</v>
      </c>
      <c r="G19" s="131">
        <v>2</v>
      </c>
      <c r="H19" s="131">
        <v>0</v>
      </c>
      <c r="I19" s="131">
        <v>3</v>
      </c>
      <c r="J19" s="811">
        <v>64</v>
      </c>
      <c r="K19" s="131">
        <v>32</v>
      </c>
      <c r="L19" s="131">
        <v>24</v>
      </c>
      <c r="M19" s="131">
        <v>8</v>
      </c>
      <c r="N19" s="811">
        <v>2</v>
      </c>
      <c r="O19" s="131">
        <v>2</v>
      </c>
      <c r="P19" s="131">
        <v>0</v>
      </c>
      <c r="Q19" s="131">
        <v>0</v>
      </c>
      <c r="S19" s="1181"/>
      <c r="U19" s="1181"/>
      <c r="W19" s="1181"/>
      <c r="Y19" s="1181"/>
    </row>
    <row r="20" spans="1:25" s="953" customFormat="1" ht="10.199999999999999" x14ac:dyDescent="0.2">
      <c r="A20" s="1180" t="s">
        <v>136</v>
      </c>
      <c r="B20" s="811">
        <v>145</v>
      </c>
      <c r="C20" s="131">
        <v>51</v>
      </c>
      <c r="D20" s="131">
        <v>68</v>
      </c>
      <c r="E20" s="131">
        <v>26</v>
      </c>
      <c r="F20" s="811">
        <v>12</v>
      </c>
      <c r="G20" s="131">
        <v>6</v>
      </c>
      <c r="H20" s="131">
        <v>3</v>
      </c>
      <c r="I20" s="131">
        <v>3</v>
      </c>
      <c r="J20" s="811">
        <v>129</v>
      </c>
      <c r="K20" s="131">
        <v>42</v>
      </c>
      <c r="L20" s="131">
        <v>65</v>
      </c>
      <c r="M20" s="131">
        <v>22</v>
      </c>
      <c r="N20" s="811">
        <v>4</v>
      </c>
      <c r="O20" s="131">
        <v>3</v>
      </c>
      <c r="P20" s="131">
        <v>0</v>
      </c>
      <c r="Q20" s="131">
        <v>1</v>
      </c>
      <c r="S20" s="1181"/>
      <c r="U20" s="1181"/>
      <c r="W20" s="1181"/>
      <c r="Y20" s="1181"/>
    </row>
    <row r="21" spans="1:25" s="953" customFormat="1" ht="10.199999999999999" x14ac:dyDescent="0.2">
      <c r="A21" s="1180" t="s">
        <v>17</v>
      </c>
      <c r="B21" s="811">
        <v>55</v>
      </c>
      <c r="C21" s="131">
        <v>21</v>
      </c>
      <c r="D21" s="131">
        <v>22</v>
      </c>
      <c r="E21" s="131">
        <v>12</v>
      </c>
      <c r="F21" s="811">
        <v>2</v>
      </c>
      <c r="G21" s="131">
        <v>1</v>
      </c>
      <c r="H21" s="131">
        <v>0</v>
      </c>
      <c r="I21" s="131">
        <v>1</v>
      </c>
      <c r="J21" s="811">
        <v>48</v>
      </c>
      <c r="K21" s="131">
        <v>16</v>
      </c>
      <c r="L21" s="131">
        <v>21</v>
      </c>
      <c r="M21" s="131">
        <v>11</v>
      </c>
      <c r="N21" s="811">
        <v>5</v>
      </c>
      <c r="O21" s="131">
        <v>4</v>
      </c>
      <c r="P21" s="131">
        <v>1</v>
      </c>
      <c r="Q21" s="131">
        <v>0</v>
      </c>
      <c r="S21" s="1181"/>
      <c r="U21" s="1181"/>
      <c r="W21" s="1181"/>
      <c r="Y21" s="1181"/>
    </row>
    <row r="22" spans="1:25" s="953" customFormat="1" ht="10.199999999999999" x14ac:dyDescent="0.2">
      <c r="A22" s="1180" t="s">
        <v>18</v>
      </c>
      <c r="B22" s="811">
        <v>50</v>
      </c>
      <c r="C22" s="131">
        <v>19</v>
      </c>
      <c r="D22" s="131">
        <v>23</v>
      </c>
      <c r="E22" s="131">
        <v>8</v>
      </c>
      <c r="F22" s="811">
        <v>7</v>
      </c>
      <c r="G22" s="131">
        <v>3</v>
      </c>
      <c r="H22" s="131">
        <v>1</v>
      </c>
      <c r="I22" s="131">
        <v>3</v>
      </c>
      <c r="J22" s="811">
        <v>42</v>
      </c>
      <c r="K22" s="131">
        <v>16</v>
      </c>
      <c r="L22" s="131">
        <v>22</v>
      </c>
      <c r="M22" s="131">
        <v>4</v>
      </c>
      <c r="N22" s="811">
        <v>1</v>
      </c>
      <c r="O22" s="131">
        <v>0</v>
      </c>
      <c r="P22" s="131">
        <v>0</v>
      </c>
      <c r="Q22" s="131">
        <v>1</v>
      </c>
      <c r="S22" s="1181"/>
      <c r="U22" s="1181"/>
      <c r="W22" s="1181"/>
      <c r="Y22" s="1181"/>
    </row>
    <row r="23" spans="1:25" s="141" customFormat="1" ht="10.199999999999999" x14ac:dyDescent="0.2"/>
    <row r="24" spans="1:25" s="141" customFormat="1" ht="10.199999999999999" x14ac:dyDescent="0.2">
      <c r="A24" s="1182" t="s">
        <v>2930</v>
      </c>
      <c r="B24" s="1182"/>
      <c r="C24" s="1182"/>
      <c r="D24" s="1182"/>
      <c r="E24" s="1182"/>
      <c r="F24" s="1182"/>
      <c r="G24" s="1182"/>
      <c r="H24" s="1182"/>
      <c r="I24" s="1182"/>
      <c r="J24" s="1182"/>
      <c r="K24" s="1182"/>
      <c r="L24" s="1182"/>
      <c r="M24" s="1182"/>
      <c r="N24" s="1182"/>
      <c r="O24" s="1182"/>
      <c r="P24" s="1182"/>
      <c r="Q24" s="1182"/>
    </row>
    <row r="25" spans="1:25" s="141" customFormat="1" ht="10.199999999999999" x14ac:dyDescent="0.2">
      <c r="A25" s="1182" t="s">
        <v>2931</v>
      </c>
      <c r="B25" s="1182"/>
      <c r="C25" s="1182"/>
      <c r="D25" s="1182"/>
      <c r="E25" s="1182"/>
      <c r="F25" s="1182"/>
      <c r="G25" s="1182"/>
      <c r="H25" s="1182"/>
      <c r="I25" s="1182"/>
      <c r="J25" s="1182"/>
      <c r="K25" s="1182"/>
      <c r="L25" s="1182"/>
      <c r="M25" s="1182"/>
      <c r="N25" s="1182"/>
      <c r="O25" s="1182"/>
      <c r="P25" s="1182"/>
      <c r="Q25" s="1182"/>
    </row>
    <row r="26" spans="1:25" s="141" customFormat="1" ht="10.5" customHeight="1" x14ac:dyDescent="0.2">
      <c r="A26" s="1183" t="s">
        <v>2932</v>
      </c>
      <c r="B26" s="1183"/>
      <c r="C26" s="1183"/>
      <c r="D26" s="1183"/>
      <c r="E26" s="1183"/>
      <c r="F26" s="1183"/>
      <c r="G26" s="1183"/>
      <c r="H26" s="1183"/>
      <c r="I26" s="1183"/>
      <c r="J26" s="1183"/>
      <c r="K26" s="1183"/>
      <c r="L26" s="1183"/>
      <c r="M26" s="1183"/>
      <c r="N26" s="1183"/>
      <c r="O26" s="1183"/>
      <c r="P26" s="1183"/>
      <c r="Q26" s="1183"/>
    </row>
    <row r="27" spans="1:25" s="953" customFormat="1" ht="28.5" customHeight="1" x14ac:dyDescent="0.2">
      <c r="A27" s="461" t="s">
        <v>2933</v>
      </c>
      <c r="B27" s="461"/>
      <c r="C27" s="461"/>
      <c r="D27" s="461"/>
      <c r="E27" s="461"/>
      <c r="F27" s="461"/>
      <c r="G27" s="461"/>
      <c r="H27" s="461"/>
      <c r="I27" s="461"/>
      <c r="J27" s="461"/>
      <c r="K27" s="461"/>
      <c r="L27" s="461"/>
      <c r="M27" s="461"/>
      <c r="N27" s="461"/>
      <c r="O27" s="461"/>
      <c r="P27" s="461"/>
      <c r="Q27" s="461"/>
    </row>
    <row r="28" spans="1:25" s="953" customFormat="1" ht="18" customHeight="1" x14ac:dyDescent="0.2">
      <c r="A28" s="461" t="s">
        <v>2934</v>
      </c>
      <c r="B28" s="461"/>
      <c r="C28" s="461"/>
      <c r="D28" s="461"/>
      <c r="E28" s="461"/>
      <c r="F28" s="461"/>
      <c r="G28" s="461"/>
      <c r="H28" s="461"/>
      <c r="I28" s="461"/>
      <c r="J28" s="461"/>
      <c r="K28" s="461"/>
      <c r="L28" s="461"/>
      <c r="M28" s="461"/>
      <c r="N28" s="461"/>
      <c r="O28" s="461"/>
      <c r="P28" s="461"/>
      <c r="Q28" s="461"/>
    </row>
    <row r="29" spans="1:25" s="953" customFormat="1" ht="10.5" customHeight="1" x14ac:dyDescent="0.2">
      <c r="A29" s="1184" t="s">
        <v>2935</v>
      </c>
      <c r="B29" s="1184"/>
      <c r="C29" s="1184"/>
      <c r="D29" s="1184"/>
      <c r="E29" s="1184"/>
      <c r="F29" s="1184"/>
      <c r="G29" s="1184"/>
      <c r="H29" s="1184"/>
      <c r="I29" s="1184"/>
      <c r="J29" s="1184"/>
      <c r="K29" s="1184"/>
      <c r="L29" s="1184"/>
      <c r="M29" s="1184"/>
      <c r="N29" s="1184"/>
      <c r="O29" s="1184"/>
      <c r="P29" s="1184"/>
      <c r="Q29" s="1184"/>
    </row>
    <row r="30" spans="1:25" s="953" customFormat="1" ht="10.5" customHeight="1" x14ac:dyDescent="0.2">
      <c r="A30" s="715" t="s">
        <v>2936</v>
      </c>
      <c r="B30" s="715"/>
      <c r="C30" s="715"/>
      <c r="D30" s="715"/>
      <c r="E30" s="715"/>
      <c r="F30" s="715"/>
      <c r="G30" s="715"/>
      <c r="H30" s="715"/>
      <c r="I30" s="715"/>
      <c r="J30" s="715"/>
      <c r="K30" s="715"/>
      <c r="L30" s="715"/>
      <c r="M30" s="715"/>
      <c r="N30" s="715"/>
      <c r="O30" s="715"/>
      <c r="P30" s="715"/>
      <c r="Q30" s="715"/>
    </row>
    <row r="31" spans="1:25" s="953" customFormat="1" ht="10.5" customHeight="1" x14ac:dyDescent="0.2">
      <c r="B31" s="1185"/>
      <c r="C31" s="1185"/>
      <c r="D31" s="1185"/>
      <c r="E31" s="1185"/>
      <c r="F31" s="1185"/>
    </row>
    <row r="32" spans="1:25" s="1186" customFormat="1" x14ac:dyDescent="0.25">
      <c r="A32" s="637"/>
      <c r="B32" s="1031"/>
      <c r="C32" s="1031"/>
      <c r="D32" s="1031"/>
      <c r="E32" s="1031"/>
      <c r="F32" s="1031"/>
      <c r="G32" s="1031"/>
      <c r="H32" s="1031"/>
      <c r="I32" s="1031"/>
      <c r="J32" s="1031"/>
      <c r="K32" s="1031"/>
      <c r="L32" s="1031"/>
      <c r="M32" s="1031"/>
    </row>
    <row r="33" spans="1:13" x14ac:dyDescent="0.25">
      <c r="A33" s="706" t="s">
        <v>547</v>
      </c>
      <c r="C33" s="953"/>
      <c r="D33" s="953"/>
      <c r="E33" s="953"/>
      <c r="F33" s="953"/>
      <c r="G33" s="953"/>
      <c r="H33" s="953"/>
      <c r="I33" s="953"/>
      <c r="J33" s="953"/>
      <c r="K33" s="953"/>
      <c r="L33" s="953"/>
      <c r="M33" s="134"/>
    </row>
    <row r="34" spans="1:13" x14ac:dyDescent="0.25">
      <c r="A34" s="706"/>
      <c r="C34" s="953"/>
      <c r="D34" s="953"/>
      <c r="E34" s="953"/>
      <c r="F34" s="953"/>
      <c r="G34" s="953"/>
      <c r="H34" s="953"/>
      <c r="I34" s="953"/>
      <c r="J34" s="953"/>
      <c r="K34" s="953"/>
      <c r="L34" s="953"/>
      <c r="M34" s="134"/>
    </row>
    <row r="35" spans="1:13" s="1191" customFormat="1" x14ac:dyDescent="0.25">
      <c r="A35" s="707" t="s">
        <v>825</v>
      </c>
      <c r="B35" s="1187" t="s">
        <v>2937</v>
      </c>
      <c r="C35" s="1188"/>
      <c r="D35" s="1189"/>
      <c r="E35" s="1187" t="s">
        <v>2938</v>
      </c>
      <c r="F35" s="1188"/>
      <c r="G35" s="1189"/>
      <c r="H35" s="1187" t="s">
        <v>2939</v>
      </c>
      <c r="I35" s="1188"/>
      <c r="J35" s="1189"/>
      <c r="K35" s="1031"/>
      <c r="L35" s="1031"/>
      <c r="M35" s="1190"/>
    </row>
    <row r="36" spans="1:13" s="1191" customFormat="1" x14ac:dyDescent="0.25">
      <c r="A36" s="710"/>
      <c r="B36" s="644" t="s">
        <v>2927</v>
      </c>
      <c r="C36" s="644" t="s">
        <v>2928</v>
      </c>
      <c r="D36" s="644" t="s">
        <v>2929</v>
      </c>
      <c r="E36" s="644" t="s">
        <v>2927</v>
      </c>
      <c r="F36" s="644" t="s">
        <v>2928</v>
      </c>
      <c r="G36" s="644" t="s">
        <v>2929</v>
      </c>
      <c r="H36" s="644" t="s">
        <v>2927</v>
      </c>
      <c r="I36" s="644" t="s">
        <v>2928</v>
      </c>
      <c r="J36" s="644" t="s">
        <v>2929</v>
      </c>
      <c r="K36" s="1031"/>
      <c r="L36" s="1031"/>
      <c r="M36" s="1190"/>
    </row>
    <row r="37" spans="1:13" x14ac:dyDescent="0.25">
      <c r="A37" s="641">
        <v>2009</v>
      </c>
      <c r="B37" s="1192">
        <v>75</v>
      </c>
      <c r="C37" s="1192">
        <v>36</v>
      </c>
      <c r="D37" s="1192">
        <v>35</v>
      </c>
      <c r="E37" s="1192">
        <v>499</v>
      </c>
      <c r="F37" s="1192">
        <v>665</v>
      </c>
      <c r="G37" s="1192">
        <v>204</v>
      </c>
      <c r="H37" s="1192">
        <v>150</v>
      </c>
      <c r="I37" s="1192">
        <v>81</v>
      </c>
      <c r="J37" s="1192">
        <v>27</v>
      </c>
      <c r="K37" s="134"/>
      <c r="L37" s="134"/>
      <c r="M37" s="134"/>
    </row>
    <row r="38" spans="1:13" x14ac:dyDescent="0.25">
      <c r="A38" s="641">
        <v>2010</v>
      </c>
      <c r="B38" s="1192">
        <v>84</v>
      </c>
      <c r="C38" s="1192">
        <v>31</v>
      </c>
      <c r="D38" s="1192">
        <v>30</v>
      </c>
      <c r="E38" s="1192">
        <v>486</v>
      </c>
      <c r="F38" s="1192">
        <v>610</v>
      </c>
      <c r="G38" s="1192">
        <v>260</v>
      </c>
      <c r="H38" s="1192">
        <v>206</v>
      </c>
      <c r="I38" s="1192">
        <v>77</v>
      </c>
      <c r="J38" s="1192">
        <v>34</v>
      </c>
      <c r="K38" s="134"/>
      <c r="L38" s="134"/>
      <c r="M38" s="459"/>
    </row>
    <row r="39" spans="1:13" x14ac:dyDescent="0.25">
      <c r="A39" s="641">
        <v>2011</v>
      </c>
      <c r="B39" s="1193">
        <v>82</v>
      </c>
      <c r="C39" s="1193">
        <v>21</v>
      </c>
      <c r="D39" s="1193">
        <v>29</v>
      </c>
      <c r="E39" s="1193">
        <v>560</v>
      </c>
      <c r="F39" s="1193">
        <v>533</v>
      </c>
      <c r="G39" s="1193">
        <v>253</v>
      </c>
      <c r="H39" s="1193">
        <v>181</v>
      </c>
      <c r="I39" s="1193">
        <v>62</v>
      </c>
      <c r="J39" s="1193">
        <v>17</v>
      </c>
      <c r="K39" s="626"/>
      <c r="L39" s="626"/>
      <c r="M39" s="953"/>
    </row>
    <row r="40" spans="1:13" x14ac:dyDescent="0.25">
      <c r="A40" s="641">
        <v>2012</v>
      </c>
      <c r="B40" s="1192">
        <v>76</v>
      </c>
      <c r="C40" s="1192">
        <v>23</v>
      </c>
      <c r="D40" s="1192">
        <v>19</v>
      </c>
      <c r="E40" s="1192">
        <v>573</v>
      </c>
      <c r="F40" s="1192">
        <v>515</v>
      </c>
      <c r="G40" s="1192">
        <v>142</v>
      </c>
      <c r="H40" s="1192">
        <v>182</v>
      </c>
      <c r="I40" s="1192">
        <v>30</v>
      </c>
      <c r="J40" s="1192">
        <v>21</v>
      </c>
      <c r="K40" s="134"/>
      <c r="L40" s="134"/>
      <c r="M40" s="953"/>
    </row>
    <row r="41" spans="1:13" x14ac:dyDescent="0.25">
      <c r="A41" s="957">
        <v>2013</v>
      </c>
      <c r="B41" s="1194">
        <v>71</v>
      </c>
      <c r="C41" s="1194">
        <v>23</v>
      </c>
      <c r="D41" s="1194">
        <v>25</v>
      </c>
      <c r="E41" s="1194">
        <v>526</v>
      </c>
      <c r="F41" s="1194">
        <v>532</v>
      </c>
      <c r="G41" s="1194">
        <v>143</v>
      </c>
      <c r="H41" s="1194">
        <v>146</v>
      </c>
      <c r="I41" s="1194">
        <v>21</v>
      </c>
      <c r="J41" s="1194">
        <v>10</v>
      </c>
      <c r="K41" s="141"/>
      <c r="L41" s="141"/>
      <c r="M41" s="953"/>
    </row>
    <row r="42" spans="1:13" x14ac:dyDescent="0.25">
      <c r="A42" s="953"/>
      <c r="B42" s="953"/>
      <c r="C42" s="953"/>
      <c r="D42" s="953"/>
      <c r="E42" s="953"/>
      <c r="F42" s="953"/>
      <c r="G42" s="953"/>
      <c r="H42" s="953"/>
      <c r="I42" s="953"/>
      <c r="J42" s="953"/>
      <c r="K42" s="953"/>
      <c r="L42" s="953"/>
    </row>
    <row r="43" spans="1:13" x14ac:dyDescent="0.25">
      <c r="A43" s="953"/>
      <c r="B43" s="953"/>
      <c r="C43" s="953"/>
      <c r="D43" s="953"/>
      <c r="E43" s="953"/>
      <c r="F43" s="953"/>
      <c r="G43" s="953"/>
      <c r="H43" s="953"/>
      <c r="I43" s="953"/>
      <c r="J43" s="953"/>
      <c r="K43" s="953"/>
      <c r="L43" s="953"/>
    </row>
  </sheetData>
  <mergeCells count="18">
    <mergeCell ref="A30:Q30"/>
    <mergeCell ref="A35:A36"/>
    <mergeCell ref="B35:D35"/>
    <mergeCell ref="E35:G35"/>
    <mergeCell ref="H35:J35"/>
    <mergeCell ref="A24:Q24"/>
    <mergeCell ref="A25:Q25"/>
    <mergeCell ref="A26:Q26"/>
    <mergeCell ref="A27:Q27"/>
    <mergeCell ref="A28:Q28"/>
    <mergeCell ref="A29:Q29"/>
    <mergeCell ref="A4:A6"/>
    <mergeCell ref="B4:Q4"/>
    <mergeCell ref="B5:B6"/>
    <mergeCell ref="C5:E5"/>
    <mergeCell ref="F5:I5"/>
    <mergeCell ref="J5:M5"/>
    <mergeCell ref="N5:Q5"/>
  </mergeCells>
  <pageMargins left="0.7" right="0.7" top="0.75" bottom="0.75" header="0.3" footer="0.3"/>
  <pageSetup paperSize="14" scale="54" orientation="landscape" r:id="rId1"/>
  <drawing r:id="rId2"/>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D7D3E-AAB2-4E8D-8FD1-4A13C4EC329A}">
  <sheetPr codeName="Hoja232"/>
  <dimension ref="A2:Q78"/>
  <sheetViews>
    <sheetView zoomScaleNormal="100" zoomScaleSheetLayoutView="100" workbookViewId="0">
      <selection activeCell="A4" sqref="A4:A6"/>
    </sheetView>
  </sheetViews>
  <sheetFormatPr baseColWidth="10" defaultRowHeight="13.2" x14ac:dyDescent="0.25"/>
  <cols>
    <col min="1" max="1" width="24.44140625" customWidth="1"/>
  </cols>
  <sheetData>
    <row r="2" spans="1:10" s="1195" customFormat="1" ht="29.25" customHeight="1" x14ac:dyDescent="0.25">
      <c r="A2" s="236" t="s">
        <v>2940</v>
      </c>
      <c r="B2" s="236"/>
      <c r="C2" s="236"/>
      <c r="D2" s="236"/>
      <c r="E2" s="236"/>
      <c r="F2" s="236"/>
      <c r="G2" s="236"/>
      <c r="H2" s="236"/>
      <c r="I2" s="236"/>
    </row>
    <row r="3" spans="1:10" x14ac:dyDescent="0.25">
      <c r="A3" s="736"/>
      <c r="B3" s="711"/>
      <c r="C3" s="706"/>
      <c r="D3" s="706"/>
      <c r="E3" s="706"/>
      <c r="F3" s="706"/>
      <c r="G3" s="706"/>
      <c r="H3" s="706"/>
      <c r="I3" s="706"/>
      <c r="J3" s="141"/>
    </row>
    <row r="4" spans="1:10" x14ac:dyDescent="0.25">
      <c r="A4" s="707" t="s">
        <v>2941</v>
      </c>
      <c r="B4" s="749" t="s">
        <v>2942</v>
      </c>
      <c r="C4" s="749"/>
      <c r="D4" s="749"/>
      <c r="E4" s="749"/>
      <c r="F4" s="749"/>
      <c r="G4" s="749"/>
      <c r="H4" s="749"/>
      <c r="I4" s="749"/>
      <c r="J4" s="717"/>
    </row>
    <row r="5" spans="1:10" x14ac:dyDescent="0.25">
      <c r="A5" s="709"/>
      <c r="B5" s="114" t="s">
        <v>3</v>
      </c>
      <c r="C5" s="749" t="s">
        <v>2943</v>
      </c>
      <c r="D5" s="749"/>
      <c r="E5" s="749"/>
      <c r="F5" s="749"/>
      <c r="G5" s="749"/>
      <c r="H5" s="749"/>
      <c r="I5" s="749"/>
      <c r="J5" s="706"/>
    </row>
    <row r="6" spans="1:10" ht="30.6" x14ac:dyDescent="0.25">
      <c r="A6" s="710"/>
      <c r="B6" s="115"/>
      <c r="C6" s="454" t="s">
        <v>2944</v>
      </c>
      <c r="D6" s="454" t="s">
        <v>2945</v>
      </c>
      <c r="E6" s="454" t="s">
        <v>2946</v>
      </c>
      <c r="F6" s="454" t="s">
        <v>2947</v>
      </c>
      <c r="G6" s="454" t="s">
        <v>2948</v>
      </c>
      <c r="H6" s="454" t="s">
        <v>2949</v>
      </c>
      <c r="I6" s="454" t="s">
        <v>2950</v>
      </c>
      <c r="J6" s="141"/>
    </row>
    <row r="7" spans="1:10" x14ac:dyDescent="0.25">
      <c r="A7" s="706" t="s">
        <v>3</v>
      </c>
      <c r="B7" s="1196">
        <v>1497</v>
      </c>
      <c r="C7" s="1196">
        <v>215</v>
      </c>
      <c r="D7" s="1196">
        <v>652</v>
      </c>
      <c r="E7" s="1196">
        <v>537</v>
      </c>
      <c r="F7" s="1196">
        <v>13</v>
      </c>
      <c r="G7" s="1196">
        <v>74</v>
      </c>
      <c r="H7" s="1196">
        <v>4</v>
      </c>
      <c r="I7" s="1196">
        <v>2</v>
      </c>
      <c r="J7" s="141"/>
    </row>
    <row r="8" spans="1:10" x14ac:dyDescent="0.25">
      <c r="A8" s="1197" t="s">
        <v>4</v>
      </c>
      <c r="B8" s="1196">
        <v>38</v>
      </c>
      <c r="C8" s="134">
        <v>0</v>
      </c>
      <c r="D8" s="134">
        <v>6</v>
      </c>
      <c r="E8" s="134">
        <v>32</v>
      </c>
      <c r="F8" s="134">
        <v>0</v>
      </c>
      <c r="G8" s="134">
        <v>0</v>
      </c>
      <c r="H8" s="134">
        <v>0</v>
      </c>
      <c r="I8" s="134">
        <v>0</v>
      </c>
      <c r="J8" s="141"/>
    </row>
    <row r="9" spans="1:10" x14ac:dyDescent="0.25">
      <c r="A9" s="1197" t="s">
        <v>5</v>
      </c>
      <c r="B9" s="1196">
        <v>39</v>
      </c>
      <c r="C9" s="134">
        <v>2</v>
      </c>
      <c r="D9" s="134">
        <v>7</v>
      </c>
      <c r="E9" s="134">
        <v>29</v>
      </c>
      <c r="F9" s="134">
        <v>0</v>
      </c>
      <c r="G9" s="134">
        <v>0</v>
      </c>
      <c r="H9" s="134">
        <v>0</v>
      </c>
      <c r="I9" s="134">
        <v>1</v>
      </c>
      <c r="J9" s="141"/>
    </row>
    <row r="10" spans="1:10" x14ac:dyDescent="0.25">
      <c r="A10" s="1197" t="s">
        <v>6</v>
      </c>
      <c r="B10" s="1196">
        <v>94</v>
      </c>
      <c r="C10" s="134">
        <v>2</v>
      </c>
      <c r="D10" s="134">
        <v>37</v>
      </c>
      <c r="E10" s="134">
        <v>54</v>
      </c>
      <c r="F10" s="134">
        <v>1</v>
      </c>
      <c r="G10" s="134">
        <v>0</v>
      </c>
      <c r="H10" s="134">
        <v>0</v>
      </c>
      <c r="I10" s="134">
        <v>0</v>
      </c>
      <c r="J10" s="141"/>
    </row>
    <row r="11" spans="1:10" x14ac:dyDescent="0.25">
      <c r="A11" s="1197" t="s">
        <v>7</v>
      </c>
      <c r="B11" s="1196">
        <v>92</v>
      </c>
      <c r="C11" s="134">
        <v>6</v>
      </c>
      <c r="D11" s="134">
        <v>58</v>
      </c>
      <c r="E11" s="134">
        <v>28</v>
      </c>
      <c r="F11" s="134">
        <v>0</v>
      </c>
      <c r="G11" s="134">
        <v>0</v>
      </c>
      <c r="H11" s="134">
        <v>0</v>
      </c>
      <c r="I11" s="134">
        <v>0</v>
      </c>
      <c r="J11" s="141"/>
    </row>
    <row r="12" spans="1:10" x14ac:dyDescent="0.25">
      <c r="A12" s="1197" t="s">
        <v>8</v>
      </c>
      <c r="B12" s="1196">
        <v>107</v>
      </c>
      <c r="C12" s="134">
        <v>9</v>
      </c>
      <c r="D12" s="134">
        <v>52</v>
      </c>
      <c r="E12" s="134">
        <v>45</v>
      </c>
      <c r="F12" s="134">
        <v>0</v>
      </c>
      <c r="G12" s="134">
        <v>1</v>
      </c>
      <c r="H12" s="134">
        <v>0</v>
      </c>
      <c r="I12" s="134">
        <v>0</v>
      </c>
      <c r="J12" s="141"/>
    </row>
    <row r="13" spans="1:10" x14ac:dyDescent="0.25">
      <c r="A13" s="1197" t="s">
        <v>9</v>
      </c>
      <c r="B13" s="1196">
        <v>155</v>
      </c>
      <c r="C13" s="134">
        <v>33</v>
      </c>
      <c r="D13" s="134">
        <v>62</v>
      </c>
      <c r="E13" s="134">
        <v>46</v>
      </c>
      <c r="F13" s="134">
        <v>1</v>
      </c>
      <c r="G13" s="134">
        <v>13</v>
      </c>
      <c r="H13" s="134">
        <v>0</v>
      </c>
      <c r="I13" s="134">
        <v>0</v>
      </c>
      <c r="J13" s="141"/>
    </row>
    <row r="14" spans="1:10" x14ac:dyDescent="0.25">
      <c r="A14" s="1197" t="s">
        <v>10</v>
      </c>
      <c r="B14" s="1196">
        <v>110</v>
      </c>
      <c r="C14" s="134">
        <v>46</v>
      </c>
      <c r="D14" s="134">
        <v>7</v>
      </c>
      <c r="E14" s="134">
        <v>17</v>
      </c>
      <c r="F14" s="134">
        <v>0</v>
      </c>
      <c r="G14" s="134">
        <v>35</v>
      </c>
      <c r="H14" s="134">
        <v>4</v>
      </c>
      <c r="I14" s="134">
        <v>1</v>
      </c>
      <c r="J14" s="141"/>
    </row>
    <row r="15" spans="1:10" x14ac:dyDescent="0.25">
      <c r="A15" s="1197" t="s">
        <v>134</v>
      </c>
      <c r="B15" s="1196">
        <v>98</v>
      </c>
      <c r="C15" s="134">
        <v>23</v>
      </c>
      <c r="D15" s="134">
        <v>38</v>
      </c>
      <c r="E15" s="134">
        <v>37</v>
      </c>
      <c r="F15" s="134">
        <v>0</v>
      </c>
      <c r="G15" s="134">
        <v>0</v>
      </c>
      <c r="H15" s="134">
        <v>0</v>
      </c>
      <c r="I15" s="134">
        <v>0</v>
      </c>
      <c r="J15" s="141"/>
    </row>
    <row r="16" spans="1:10" x14ac:dyDescent="0.25">
      <c r="A16" s="1197" t="s">
        <v>12</v>
      </c>
      <c r="B16" s="1196">
        <v>124</v>
      </c>
      <c r="C16" s="134">
        <v>19</v>
      </c>
      <c r="D16" s="134">
        <v>59</v>
      </c>
      <c r="E16" s="134">
        <v>41</v>
      </c>
      <c r="F16" s="134">
        <v>4</v>
      </c>
      <c r="G16" s="134">
        <v>1</v>
      </c>
      <c r="H16" s="134">
        <v>0</v>
      </c>
      <c r="I16" s="134">
        <v>0</v>
      </c>
      <c r="J16" s="141"/>
    </row>
    <row r="17" spans="1:10" x14ac:dyDescent="0.25">
      <c r="A17" s="1197" t="s">
        <v>13</v>
      </c>
      <c r="B17" s="1196">
        <v>170</v>
      </c>
      <c r="C17" s="134">
        <v>29</v>
      </c>
      <c r="D17" s="134">
        <v>83</v>
      </c>
      <c r="E17" s="134">
        <v>47</v>
      </c>
      <c r="F17" s="134">
        <v>3</v>
      </c>
      <c r="G17" s="134">
        <v>8</v>
      </c>
      <c r="H17" s="134">
        <v>0</v>
      </c>
      <c r="I17" s="134">
        <v>0</v>
      </c>
      <c r="J17" s="141"/>
    </row>
    <row r="18" spans="1:10" x14ac:dyDescent="0.25">
      <c r="A18" s="1197" t="s">
        <v>47</v>
      </c>
      <c r="B18" s="1196">
        <v>149</v>
      </c>
      <c r="C18" s="134">
        <v>26</v>
      </c>
      <c r="D18" s="134">
        <v>74</v>
      </c>
      <c r="E18" s="134">
        <v>39</v>
      </c>
      <c r="F18" s="134">
        <v>2</v>
      </c>
      <c r="G18" s="134">
        <v>8</v>
      </c>
      <c r="H18" s="134">
        <v>0</v>
      </c>
      <c r="I18" s="134">
        <v>0</v>
      </c>
      <c r="J18" s="141"/>
    </row>
    <row r="19" spans="1:10" x14ac:dyDescent="0.25">
      <c r="A19" s="1197" t="s">
        <v>135</v>
      </c>
      <c r="B19" s="1196">
        <v>71</v>
      </c>
      <c r="C19" s="134">
        <v>3</v>
      </c>
      <c r="D19" s="134">
        <v>40</v>
      </c>
      <c r="E19" s="134">
        <v>26</v>
      </c>
      <c r="F19" s="134">
        <v>0</v>
      </c>
      <c r="G19" s="134">
        <v>2</v>
      </c>
      <c r="H19" s="134">
        <v>0</v>
      </c>
      <c r="I19" s="134">
        <v>0</v>
      </c>
      <c r="J19" s="141"/>
    </row>
    <row r="20" spans="1:10" x14ac:dyDescent="0.25">
      <c r="A20" s="1197" t="s">
        <v>136</v>
      </c>
      <c r="B20" s="1196">
        <v>145</v>
      </c>
      <c r="C20" s="134">
        <v>10</v>
      </c>
      <c r="D20" s="134">
        <v>72</v>
      </c>
      <c r="E20" s="134">
        <v>59</v>
      </c>
      <c r="F20" s="134">
        <v>0</v>
      </c>
      <c r="G20" s="134">
        <v>4</v>
      </c>
      <c r="H20" s="134">
        <v>0</v>
      </c>
      <c r="I20" s="134">
        <v>0</v>
      </c>
      <c r="J20" s="706"/>
    </row>
    <row r="21" spans="1:10" x14ac:dyDescent="0.25">
      <c r="A21" s="1197" t="s">
        <v>17</v>
      </c>
      <c r="B21" s="1196">
        <v>55</v>
      </c>
      <c r="C21" s="134">
        <v>6</v>
      </c>
      <c r="D21" s="134">
        <v>36</v>
      </c>
      <c r="E21" s="134">
        <v>12</v>
      </c>
      <c r="F21" s="134">
        <v>0</v>
      </c>
      <c r="G21" s="134">
        <v>1</v>
      </c>
      <c r="H21" s="134">
        <v>0</v>
      </c>
      <c r="I21" s="134">
        <v>0</v>
      </c>
      <c r="J21" s="141"/>
    </row>
    <row r="22" spans="1:10" x14ac:dyDescent="0.25">
      <c r="A22" s="1197" t="s">
        <v>18</v>
      </c>
      <c r="B22" s="1196">
        <v>50</v>
      </c>
      <c r="C22" s="134">
        <v>1</v>
      </c>
      <c r="D22" s="134">
        <v>21</v>
      </c>
      <c r="E22" s="134">
        <v>25</v>
      </c>
      <c r="F22" s="134">
        <v>2</v>
      </c>
      <c r="G22" s="134">
        <v>1</v>
      </c>
      <c r="H22" s="134">
        <v>0</v>
      </c>
      <c r="I22" s="134">
        <v>0</v>
      </c>
      <c r="J22" s="141"/>
    </row>
    <row r="23" spans="1:10" x14ac:dyDescent="0.25">
      <c r="A23" s="706" t="s">
        <v>2937</v>
      </c>
      <c r="B23" s="1196">
        <v>119</v>
      </c>
      <c r="C23" s="1196">
        <v>0</v>
      </c>
      <c r="D23" s="1196">
        <v>7</v>
      </c>
      <c r="E23" s="1196">
        <v>66</v>
      </c>
      <c r="F23" s="1196">
        <v>10</v>
      </c>
      <c r="G23" s="1196">
        <v>31</v>
      </c>
      <c r="H23" s="1196">
        <v>4</v>
      </c>
      <c r="I23" s="1196">
        <v>1</v>
      </c>
      <c r="J23" s="141"/>
    </row>
    <row r="24" spans="1:10" x14ac:dyDescent="0.25">
      <c r="A24" s="1198" t="s">
        <v>4</v>
      </c>
      <c r="B24" s="1196">
        <v>1</v>
      </c>
      <c r="C24" s="134">
        <v>0</v>
      </c>
      <c r="D24" s="134">
        <v>0</v>
      </c>
      <c r="E24" s="134">
        <v>1</v>
      </c>
      <c r="F24" s="134">
        <v>0</v>
      </c>
      <c r="G24" s="134">
        <v>0</v>
      </c>
      <c r="H24" s="134">
        <v>0</v>
      </c>
      <c r="I24" s="134">
        <v>0</v>
      </c>
      <c r="J24" s="141"/>
    </row>
    <row r="25" spans="1:10" x14ac:dyDescent="0.25">
      <c r="A25" s="1198" t="s">
        <v>5</v>
      </c>
      <c r="B25" s="1196">
        <v>1</v>
      </c>
      <c r="C25" s="134">
        <v>0</v>
      </c>
      <c r="D25" s="134">
        <v>0</v>
      </c>
      <c r="E25" s="134">
        <v>1</v>
      </c>
      <c r="F25" s="134">
        <v>0</v>
      </c>
      <c r="G25" s="134">
        <v>0</v>
      </c>
      <c r="H25" s="134">
        <v>0</v>
      </c>
      <c r="I25" s="134">
        <v>0</v>
      </c>
      <c r="J25" s="141"/>
    </row>
    <row r="26" spans="1:10" x14ac:dyDescent="0.25">
      <c r="A26" s="1198" t="s">
        <v>6</v>
      </c>
      <c r="B26" s="1196">
        <v>1</v>
      </c>
      <c r="C26" s="134">
        <v>0</v>
      </c>
      <c r="D26" s="134">
        <v>1</v>
      </c>
      <c r="E26" s="134">
        <v>0</v>
      </c>
      <c r="F26" s="134">
        <v>0</v>
      </c>
      <c r="G26" s="134">
        <v>0</v>
      </c>
      <c r="H26" s="134">
        <v>0</v>
      </c>
      <c r="I26" s="134">
        <v>0</v>
      </c>
      <c r="J26" s="141"/>
    </row>
    <row r="27" spans="1:10" x14ac:dyDescent="0.25">
      <c r="A27" s="1198" t="s">
        <v>7</v>
      </c>
      <c r="B27" s="1196">
        <v>1</v>
      </c>
      <c r="C27" s="134">
        <v>0</v>
      </c>
      <c r="D27" s="134">
        <v>0</v>
      </c>
      <c r="E27" s="134">
        <v>1</v>
      </c>
      <c r="F27" s="134">
        <v>0</v>
      </c>
      <c r="G27" s="134">
        <v>0</v>
      </c>
      <c r="H27" s="134">
        <v>0</v>
      </c>
      <c r="I27" s="134">
        <v>0</v>
      </c>
      <c r="J27" s="141"/>
    </row>
    <row r="28" spans="1:10" x14ac:dyDescent="0.25">
      <c r="A28" s="1198" t="s">
        <v>8</v>
      </c>
      <c r="B28" s="1196">
        <v>7</v>
      </c>
      <c r="C28" s="134">
        <v>0</v>
      </c>
      <c r="D28" s="134">
        <v>0</v>
      </c>
      <c r="E28" s="134">
        <v>6</v>
      </c>
      <c r="F28" s="134">
        <v>0</v>
      </c>
      <c r="G28" s="134">
        <v>1</v>
      </c>
      <c r="H28" s="134">
        <v>0</v>
      </c>
      <c r="I28" s="134">
        <v>0</v>
      </c>
      <c r="J28" s="141"/>
    </row>
    <row r="29" spans="1:10" x14ac:dyDescent="0.25">
      <c r="A29" s="1198" t="s">
        <v>9</v>
      </c>
      <c r="B29" s="1196">
        <v>15</v>
      </c>
      <c r="C29" s="134">
        <v>0</v>
      </c>
      <c r="D29" s="134">
        <v>1</v>
      </c>
      <c r="E29" s="134">
        <v>6</v>
      </c>
      <c r="F29" s="134">
        <v>1</v>
      </c>
      <c r="G29" s="134">
        <v>7</v>
      </c>
      <c r="H29" s="134">
        <v>0</v>
      </c>
      <c r="I29" s="134">
        <v>0</v>
      </c>
      <c r="J29" s="141"/>
    </row>
    <row r="30" spans="1:10" x14ac:dyDescent="0.25">
      <c r="A30" s="1198" t="s">
        <v>10</v>
      </c>
      <c r="B30" s="1196">
        <v>20</v>
      </c>
      <c r="C30" s="134">
        <v>0</v>
      </c>
      <c r="D30" s="134">
        <v>2</v>
      </c>
      <c r="E30" s="134">
        <v>5</v>
      </c>
      <c r="F30" s="134">
        <v>0</v>
      </c>
      <c r="G30" s="134">
        <v>8</v>
      </c>
      <c r="H30" s="134">
        <v>4</v>
      </c>
      <c r="I30" s="134">
        <v>1</v>
      </c>
      <c r="J30" s="141"/>
    </row>
    <row r="31" spans="1:10" x14ac:dyDescent="0.25">
      <c r="A31" s="1198" t="s">
        <v>134</v>
      </c>
      <c r="B31" s="1196">
        <v>5</v>
      </c>
      <c r="C31" s="134">
        <v>0</v>
      </c>
      <c r="D31" s="134">
        <v>1</v>
      </c>
      <c r="E31" s="134">
        <v>4</v>
      </c>
      <c r="F31" s="134">
        <v>0</v>
      </c>
      <c r="G31" s="134">
        <v>0</v>
      </c>
      <c r="H31" s="134">
        <v>0</v>
      </c>
      <c r="I31" s="134">
        <v>0</v>
      </c>
      <c r="J31" s="141"/>
    </row>
    <row r="32" spans="1:10" x14ac:dyDescent="0.25">
      <c r="A32" s="1198" t="s">
        <v>12</v>
      </c>
      <c r="B32" s="1196">
        <v>10</v>
      </c>
      <c r="C32" s="134">
        <v>0</v>
      </c>
      <c r="D32" s="134">
        <v>1</v>
      </c>
      <c r="E32" s="134">
        <v>6</v>
      </c>
      <c r="F32" s="134">
        <v>3</v>
      </c>
      <c r="G32" s="134">
        <v>0</v>
      </c>
      <c r="H32" s="134">
        <v>0</v>
      </c>
      <c r="I32" s="134">
        <v>0</v>
      </c>
      <c r="J32" s="141"/>
    </row>
    <row r="33" spans="1:10" x14ac:dyDescent="0.25">
      <c r="A33" s="1198" t="s">
        <v>13</v>
      </c>
      <c r="B33" s="1196">
        <v>19</v>
      </c>
      <c r="C33" s="134">
        <v>0</v>
      </c>
      <c r="D33" s="134">
        <v>1</v>
      </c>
      <c r="E33" s="134">
        <v>13</v>
      </c>
      <c r="F33" s="134">
        <v>2</v>
      </c>
      <c r="G33" s="134">
        <v>3</v>
      </c>
      <c r="H33" s="134">
        <v>0</v>
      </c>
      <c r="I33" s="134">
        <v>0</v>
      </c>
      <c r="J33" s="141"/>
    </row>
    <row r="34" spans="1:10" x14ac:dyDescent="0.25">
      <c r="A34" s="1198" t="s">
        <v>47</v>
      </c>
      <c r="B34" s="1196">
        <v>13</v>
      </c>
      <c r="C34" s="134">
        <v>0</v>
      </c>
      <c r="D34" s="134">
        <v>0</v>
      </c>
      <c r="E34" s="134">
        <v>6</v>
      </c>
      <c r="F34" s="134">
        <v>2</v>
      </c>
      <c r="G34" s="134">
        <v>5</v>
      </c>
      <c r="H34" s="134">
        <v>0</v>
      </c>
      <c r="I34" s="134">
        <v>0</v>
      </c>
      <c r="J34" s="141"/>
    </row>
    <row r="35" spans="1:10" x14ac:dyDescent="0.25">
      <c r="A35" s="1198" t="s">
        <v>135</v>
      </c>
      <c r="B35" s="1196">
        <v>5</v>
      </c>
      <c r="C35" s="134">
        <v>0</v>
      </c>
      <c r="D35" s="134">
        <v>0</v>
      </c>
      <c r="E35" s="134">
        <v>3</v>
      </c>
      <c r="F35" s="134">
        <v>0</v>
      </c>
      <c r="G35" s="134">
        <v>2</v>
      </c>
      <c r="H35" s="134">
        <v>0</v>
      </c>
      <c r="I35" s="134">
        <v>0</v>
      </c>
      <c r="J35" s="706"/>
    </row>
    <row r="36" spans="1:10" x14ac:dyDescent="0.25">
      <c r="A36" s="1198" t="s">
        <v>136</v>
      </c>
      <c r="B36" s="1196">
        <v>12</v>
      </c>
      <c r="C36" s="134">
        <v>0</v>
      </c>
      <c r="D36" s="134">
        <v>0</v>
      </c>
      <c r="E36" s="134">
        <v>9</v>
      </c>
      <c r="F36" s="134">
        <v>0</v>
      </c>
      <c r="G36" s="134">
        <v>3</v>
      </c>
      <c r="H36" s="134">
        <v>0</v>
      </c>
      <c r="I36" s="134">
        <v>0</v>
      </c>
      <c r="J36" s="141"/>
    </row>
    <row r="37" spans="1:10" x14ac:dyDescent="0.25">
      <c r="A37" s="1198" t="s">
        <v>17</v>
      </c>
      <c r="B37" s="1196">
        <v>2</v>
      </c>
      <c r="C37" s="134">
        <v>0</v>
      </c>
      <c r="D37" s="134">
        <v>0</v>
      </c>
      <c r="E37" s="134">
        <v>1</v>
      </c>
      <c r="F37" s="134">
        <v>0</v>
      </c>
      <c r="G37" s="134">
        <v>1</v>
      </c>
      <c r="H37" s="134">
        <v>0</v>
      </c>
      <c r="I37" s="134">
        <v>0</v>
      </c>
      <c r="J37" s="141"/>
    </row>
    <row r="38" spans="1:10" x14ac:dyDescent="0.25">
      <c r="A38" s="1198" t="s">
        <v>18</v>
      </c>
      <c r="B38" s="1196">
        <v>7</v>
      </c>
      <c r="C38" s="134">
        <v>0</v>
      </c>
      <c r="D38" s="134">
        <v>0</v>
      </c>
      <c r="E38" s="134">
        <v>4</v>
      </c>
      <c r="F38" s="134">
        <v>2</v>
      </c>
      <c r="G38" s="134">
        <v>1</v>
      </c>
      <c r="H38" s="134">
        <v>0</v>
      </c>
      <c r="I38" s="134">
        <v>0</v>
      </c>
      <c r="J38" s="141"/>
    </row>
    <row r="39" spans="1:10" x14ac:dyDescent="0.25">
      <c r="A39" s="706" t="s">
        <v>2938</v>
      </c>
      <c r="B39" s="1196">
        <v>1201</v>
      </c>
      <c r="C39" s="1196">
        <v>38</v>
      </c>
      <c r="D39" s="1196">
        <v>645</v>
      </c>
      <c r="E39" s="1196">
        <v>471</v>
      </c>
      <c r="F39" s="1196">
        <v>3</v>
      </c>
      <c r="G39" s="1196">
        <v>43</v>
      </c>
      <c r="H39" s="1196">
        <v>0</v>
      </c>
      <c r="I39" s="1196">
        <v>1</v>
      </c>
      <c r="J39" s="141"/>
    </row>
    <row r="40" spans="1:10" x14ac:dyDescent="0.25">
      <c r="A40" s="1199" t="s">
        <v>4</v>
      </c>
      <c r="B40" s="1196">
        <v>37</v>
      </c>
      <c r="C40" s="134">
        <v>0</v>
      </c>
      <c r="D40" s="134">
        <v>6</v>
      </c>
      <c r="E40" s="134">
        <v>31</v>
      </c>
      <c r="F40" s="134">
        <v>0</v>
      </c>
      <c r="G40" s="134">
        <v>0</v>
      </c>
      <c r="H40" s="134">
        <v>0</v>
      </c>
      <c r="I40" s="134">
        <v>0</v>
      </c>
      <c r="J40" s="141"/>
    </row>
    <row r="41" spans="1:10" x14ac:dyDescent="0.25">
      <c r="A41" s="1199" t="s">
        <v>5</v>
      </c>
      <c r="B41" s="1196">
        <v>36</v>
      </c>
      <c r="C41" s="134">
        <v>0</v>
      </c>
      <c r="D41" s="134">
        <v>7</v>
      </c>
      <c r="E41" s="134">
        <v>28</v>
      </c>
      <c r="F41" s="134">
        <v>0</v>
      </c>
      <c r="G41" s="134">
        <v>0</v>
      </c>
      <c r="H41" s="134">
        <v>0</v>
      </c>
      <c r="I41" s="134">
        <v>1</v>
      </c>
      <c r="J41" s="141"/>
    </row>
    <row r="42" spans="1:10" x14ac:dyDescent="0.25">
      <c r="A42" s="1199" t="s">
        <v>6</v>
      </c>
      <c r="B42" s="1196">
        <v>91</v>
      </c>
      <c r="C42" s="134">
        <v>0</v>
      </c>
      <c r="D42" s="134">
        <v>36</v>
      </c>
      <c r="E42" s="134">
        <v>54</v>
      </c>
      <c r="F42" s="134">
        <v>1</v>
      </c>
      <c r="G42" s="134">
        <v>0</v>
      </c>
      <c r="H42" s="134">
        <v>0</v>
      </c>
      <c r="I42" s="134">
        <v>0</v>
      </c>
      <c r="J42" s="141"/>
    </row>
    <row r="43" spans="1:10" x14ac:dyDescent="0.25">
      <c r="A43" s="1199" t="s">
        <v>7</v>
      </c>
      <c r="B43" s="1196">
        <v>86</v>
      </c>
      <c r="C43" s="134">
        <v>1</v>
      </c>
      <c r="D43" s="134">
        <v>58</v>
      </c>
      <c r="E43" s="134">
        <v>27</v>
      </c>
      <c r="F43" s="134">
        <v>0</v>
      </c>
      <c r="G43" s="134">
        <v>0</v>
      </c>
      <c r="H43" s="134">
        <v>0</v>
      </c>
      <c r="I43" s="134">
        <v>0</v>
      </c>
      <c r="J43" s="141"/>
    </row>
    <row r="44" spans="1:10" x14ac:dyDescent="0.25">
      <c r="A44" s="1199" t="s">
        <v>8</v>
      </c>
      <c r="B44" s="1196">
        <v>94</v>
      </c>
      <c r="C44" s="134">
        <v>3</v>
      </c>
      <c r="D44" s="134">
        <v>52</v>
      </c>
      <c r="E44" s="134">
        <v>39</v>
      </c>
      <c r="F44" s="134">
        <v>0</v>
      </c>
      <c r="G44" s="134">
        <v>0</v>
      </c>
      <c r="H44" s="134">
        <v>0</v>
      </c>
      <c r="I44" s="134">
        <v>0</v>
      </c>
      <c r="J44" s="141"/>
    </row>
    <row r="45" spans="1:10" x14ac:dyDescent="0.25">
      <c r="A45" s="1199" t="s">
        <v>9</v>
      </c>
      <c r="B45" s="1196">
        <v>109</v>
      </c>
      <c r="C45" s="134">
        <v>2</v>
      </c>
      <c r="D45" s="134">
        <v>61</v>
      </c>
      <c r="E45" s="134">
        <v>40</v>
      </c>
      <c r="F45" s="134">
        <v>0</v>
      </c>
      <c r="G45" s="134">
        <v>6</v>
      </c>
      <c r="H45" s="134">
        <v>0</v>
      </c>
      <c r="I45" s="134">
        <v>0</v>
      </c>
      <c r="J45" s="141"/>
    </row>
    <row r="46" spans="1:10" x14ac:dyDescent="0.25">
      <c r="A46" s="1199" t="s">
        <v>10</v>
      </c>
      <c r="B46" s="1196">
        <v>46</v>
      </c>
      <c r="C46" s="134">
        <v>2</v>
      </c>
      <c r="D46" s="134">
        <v>5</v>
      </c>
      <c r="E46" s="134">
        <v>12</v>
      </c>
      <c r="F46" s="134">
        <v>0</v>
      </c>
      <c r="G46" s="134">
        <v>27</v>
      </c>
      <c r="H46" s="134">
        <v>0</v>
      </c>
      <c r="I46" s="134">
        <v>0</v>
      </c>
      <c r="J46" s="141"/>
    </row>
    <row r="47" spans="1:10" x14ac:dyDescent="0.25">
      <c r="A47" s="1199" t="s">
        <v>134</v>
      </c>
      <c r="B47" s="1196">
        <v>75</v>
      </c>
      <c r="C47" s="134">
        <v>5</v>
      </c>
      <c r="D47" s="134">
        <v>37</v>
      </c>
      <c r="E47" s="134">
        <v>33</v>
      </c>
      <c r="F47" s="134">
        <v>0</v>
      </c>
      <c r="G47" s="134">
        <v>0</v>
      </c>
      <c r="H47" s="134">
        <v>0</v>
      </c>
      <c r="I47" s="134">
        <v>0</v>
      </c>
      <c r="J47" s="141"/>
    </row>
    <row r="48" spans="1:10" x14ac:dyDescent="0.25">
      <c r="A48" s="1199" t="s">
        <v>12</v>
      </c>
      <c r="B48" s="1196">
        <v>99</v>
      </c>
      <c r="C48" s="134">
        <v>4</v>
      </c>
      <c r="D48" s="134">
        <v>58</v>
      </c>
      <c r="E48" s="134">
        <v>35</v>
      </c>
      <c r="F48" s="134">
        <v>1</v>
      </c>
      <c r="G48" s="134">
        <v>1</v>
      </c>
      <c r="H48" s="134">
        <v>0</v>
      </c>
      <c r="I48" s="134">
        <v>0</v>
      </c>
      <c r="J48" s="141"/>
    </row>
    <row r="49" spans="1:10" x14ac:dyDescent="0.25">
      <c r="A49" s="1199" t="s">
        <v>13</v>
      </c>
      <c r="B49" s="1196">
        <v>127</v>
      </c>
      <c r="C49" s="134">
        <v>5</v>
      </c>
      <c r="D49" s="134">
        <v>82</v>
      </c>
      <c r="E49" s="134">
        <v>34</v>
      </c>
      <c r="F49" s="134">
        <v>1</v>
      </c>
      <c r="G49" s="134">
        <v>5</v>
      </c>
      <c r="H49" s="134">
        <v>0</v>
      </c>
      <c r="I49" s="134">
        <v>0</v>
      </c>
      <c r="J49" s="141"/>
    </row>
    <row r="50" spans="1:10" x14ac:dyDescent="0.25">
      <c r="A50" s="1199" t="s">
        <v>47</v>
      </c>
      <c r="B50" s="1196">
        <v>118</v>
      </c>
      <c r="C50" s="134">
        <v>8</v>
      </c>
      <c r="D50" s="134">
        <v>74</v>
      </c>
      <c r="E50" s="134">
        <v>33</v>
      </c>
      <c r="F50" s="134">
        <v>0</v>
      </c>
      <c r="G50" s="134">
        <v>3</v>
      </c>
      <c r="H50" s="134">
        <v>0</v>
      </c>
      <c r="I50" s="134">
        <v>0</v>
      </c>
      <c r="J50" s="706"/>
    </row>
    <row r="51" spans="1:10" x14ac:dyDescent="0.25">
      <c r="A51" s="1199" t="s">
        <v>135</v>
      </c>
      <c r="B51" s="1196">
        <v>64</v>
      </c>
      <c r="C51" s="134">
        <v>1</v>
      </c>
      <c r="D51" s="134">
        <v>40</v>
      </c>
      <c r="E51" s="134">
        <v>23</v>
      </c>
      <c r="F51" s="134">
        <v>0</v>
      </c>
      <c r="G51" s="134">
        <v>0</v>
      </c>
      <c r="H51" s="134">
        <v>0</v>
      </c>
      <c r="I51" s="134">
        <v>0</v>
      </c>
      <c r="J51" s="141"/>
    </row>
    <row r="52" spans="1:10" x14ac:dyDescent="0.25">
      <c r="A52" s="1199" t="s">
        <v>136</v>
      </c>
      <c r="B52" s="1196">
        <v>129</v>
      </c>
      <c r="C52" s="134">
        <v>6</v>
      </c>
      <c r="D52" s="134">
        <v>72</v>
      </c>
      <c r="E52" s="134">
        <v>50</v>
      </c>
      <c r="F52" s="134">
        <v>0</v>
      </c>
      <c r="G52" s="134">
        <v>1</v>
      </c>
      <c r="H52" s="134">
        <v>0</v>
      </c>
      <c r="I52" s="134">
        <v>0</v>
      </c>
      <c r="J52" s="141"/>
    </row>
    <row r="53" spans="1:10" x14ac:dyDescent="0.25">
      <c r="A53" s="1199" t="s">
        <v>17</v>
      </c>
      <c r="B53" s="1196">
        <v>48</v>
      </c>
      <c r="C53" s="134">
        <v>1</v>
      </c>
      <c r="D53" s="134">
        <v>36</v>
      </c>
      <c r="E53" s="134">
        <v>11</v>
      </c>
      <c r="F53" s="134">
        <v>0</v>
      </c>
      <c r="G53" s="134">
        <v>0</v>
      </c>
      <c r="H53" s="134">
        <v>0</v>
      </c>
      <c r="I53" s="134">
        <v>0</v>
      </c>
      <c r="J53" s="141"/>
    </row>
    <row r="54" spans="1:10" x14ac:dyDescent="0.25">
      <c r="A54" s="1199" t="s">
        <v>18</v>
      </c>
      <c r="B54" s="1196">
        <v>42</v>
      </c>
      <c r="C54" s="134">
        <v>0</v>
      </c>
      <c r="D54" s="134">
        <v>21</v>
      </c>
      <c r="E54" s="134">
        <v>21</v>
      </c>
      <c r="F54" s="134">
        <v>0</v>
      </c>
      <c r="G54" s="134">
        <v>0</v>
      </c>
      <c r="H54" s="134">
        <v>0</v>
      </c>
      <c r="I54" s="134">
        <v>0</v>
      </c>
      <c r="J54" s="141"/>
    </row>
    <row r="55" spans="1:10" x14ac:dyDescent="0.25">
      <c r="A55" s="706" t="s">
        <v>2926</v>
      </c>
      <c r="B55" s="1196">
        <v>177</v>
      </c>
      <c r="C55" s="1196">
        <v>177</v>
      </c>
      <c r="D55" s="1196">
        <v>0</v>
      </c>
      <c r="E55" s="1196">
        <v>0</v>
      </c>
      <c r="F55" s="1196">
        <v>0</v>
      </c>
      <c r="G55" s="1196">
        <v>0</v>
      </c>
      <c r="H55" s="1196">
        <v>0</v>
      </c>
      <c r="I55" s="1196">
        <v>0</v>
      </c>
      <c r="J55" s="141"/>
    </row>
    <row r="56" spans="1:10" x14ac:dyDescent="0.25">
      <c r="A56" s="1200" t="s">
        <v>4</v>
      </c>
      <c r="B56" s="1196">
        <v>0</v>
      </c>
      <c r="C56" s="134">
        <v>0</v>
      </c>
      <c r="D56" s="134">
        <v>0</v>
      </c>
      <c r="E56" s="134">
        <v>0</v>
      </c>
      <c r="F56" s="134">
        <v>0</v>
      </c>
      <c r="G56" s="134">
        <v>0</v>
      </c>
      <c r="H56" s="134">
        <v>0</v>
      </c>
      <c r="I56" s="134">
        <v>0</v>
      </c>
      <c r="J56" s="141"/>
    </row>
    <row r="57" spans="1:10" x14ac:dyDescent="0.25">
      <c r="A57" s="1200" t="s">
        <v>5</v>
      </c>
      <c r="B57" s="1196">
        <v>2</v>
      </c>
      <c r="C57" s="134">
        <v>2</v>
      </c>
      <c r="D57" s="134">
        <v>0</v>
      </c>
      <c r="E57" s="134">
        <v>0</v>
      </c>
      <c r="F57" s="134">
        <v>0</v>
      </c>
      <c r="G57" s="134">
        <v>0</v>
      </c>
      <c r="H57" s="134">
        <v>0</v>
      </c>
      <c r="I57" s="134">
        <v>0</v>
      </c>
      <c r="J57" s="141"/>
    </row>
    <row r="58" spans="1:10" x14ac:dyDescent="0.25">
      <c r="A58" s="1200" t="s">
        <v>6</v>
      </c>
      <c r="B58" s="1196">
        <v>2</v>
      </c>
      <c r="C58" s="134">
        <v>2</v>
      </c>
      <c r="D58" s="134">
        <v>0</v>
      </c>
      <c r="E58" s="134">
        <v>0</v>
      </c>
      <c r="F58" s="134">
        <v>0</v>
      </c>
      <c r="G58" s="134">
        <v>0</v>
      </c>
      <c r="H58" s="134">
        <v>0</v>
      </c>
      <c r="I58" s="134">
        <v>0</v>
      </c>
      <c r="J58" s="141"/>
    </row>
    <row r="59" spans="1:10" x14ac:dyDescent="0.25">
      <c r="A59" s="1200" t="s">
        <v>7</v>
      </c>
      <c r="B59" s="1196">
        <v>5</v>
      </c>
      <c r="C59" s="134">
        <v>5</v>
      </c>
      <c r="D59" s="134">
        <v>0</v>
      </c>
      <c r="E59" s="134">
        <v>0</v>
      </c>
      <c r="F59" s="134">
        <v>0</v>
      </c>
      <c r="G59" s="134">
        <v>0</v>
      </c>
      <c r="H59" s="134">
        <v>0</v>
      </c>
      <c r="I59" s="134">
        <v>0</v>
      </c>
      <c r="J59" s="141"/>
    </row>
    <row r="60" spans="1:10" x14ac:dyDescent="0.25">
      <c r="A60" s="1200" t="s">
        <v>8</v>
      </c>
      <c r="B60" s="1196">
        <v>6</v>
      </c>
      <c r="C60" s="134">
        <v>6</v>
      </c>
      <c r="D60" s="134">
        <v>0</v>
      </c>
      <c r="E60" s="134">
        <v>0</v>
      </c>
      <c r="F60" s="134">
        <v>0</v>
      </c>
      <c r="G60" s="134">
        <v>0</v>
      </c>
      <c r="H60" s="134">
        <v>0</v>
      </c>
      <c r="I60" s="134">
        <v>0</v>
      </c>
      <c r="J60" s="141"/>
    </row>
    <row r="61" spans="1:10" x14ac:dyDescent="0.25">
      <c r="A61" s="1200" t="s">
        <v>9</v>
      </c>
      <c r="B61" s="1196">
        <v>31</v>
      </c>
      <c r="C61" s="134">
        <v>31</v>
      </c>
      <c r="D61" s="134">
        <v>0</v>
      </c>
      <c r="E61" s="134">
        <v>0</v>
      </c>
      <c r="F61" s="134">
        <v>0</v>
      </c>
      <c r="G61" s="134">
        <v>0</v>
      </c>
      <c r="H61" s="134">
        <v>0</v>
      </c>
      <c r="I61" s="134">
        <v>0</v>
      </c>
      <c r="J61" s="141"/>
    </row>
    <row r="62" spans="1:10" x14ac:dyDescent="0.25">
      <c r="A62" s="1200" t="s">
        <v>10</v>
      </c>
      <c r="B62" s="1196">
        <v>44</v>
      </c>
      <c r="C62" s="134">
        <v>44</v>
      </c>
      <c r="D62" s="134">
        <v>0</v>
      </c>
      <c r="E62" s="134">
        <v>0</v>
      </c>
      <c r="F62" s="134">
        <v>0</v>
      </c>
      <c r="G62" s="134">
        <v>0</v>
      </c>
      <c r="H62" s="134">
        <v>0</v>
      </c>
      <c r="I62" s="134">
        <v>0</v>
      </c>
      <c r="J62" s="141"/>
    </row>
    <row r="63" spans="1:10" x14ac:dyDescent="0.25">
      <c r="A63" s="1200" t="s">
        <v>134</v>
      </c>
      <c r="B63" s="1196">
        <v>18</v>
      </c>
      <c r="C63" s="134">
        <v>18</v>
      </c>
      <c r="D63" s="134">
        <v>0</v>
      </c>
      <c r="E63" s="134">
        <v>0</v>
      </c>
      <c r="F63" s="134">
        <v>0</v>
      </c>
      <c r="G63" s="134">
        <v>0</v>
      </c>
      <c r="H63" s="134">
        <v>0</v>
      </c>
      <c r="I63" s="134">
        <v>0</v>
      </c>
      <c r="J63" s="141"/>
    </row>
    <row r="64" spans="1:10" x14ac:dyDescent="0.25">
      <c r="A64" s="1200" t="s">
        <v>12</v>
      </c>
      <c r="B64" s="1196">
        <v>15</v>
      </c>
      <c r="C64" s="134">
        <v>15</v>
      </c>
      <c r="D64" s="134">
        <v>0</v>
      </c>
      <c r="E64" s="134">
        <v>0</v>
      </c>
      <c r="F64" s="134">
        <v>0</v>
      </c>
      <c r="G64" s="134">
        <v>0</v>
      </c>
      <c r="H64" s="134">
        <v>0</v>
      </c>
      <c r="I64" s="134">
        <v>0</v>
      </c>
      <c r="J64" s="141"/>
    </row>
    <row r="65" spans="1:17" x14ac:dyDescent="0.25">
      <c r="A65" s="1200" t="s">
        <v>13</v>
      </c>
      <c r="B65" s="1196">
        <v>24</v>
      </c>
      <c r="C65" s="134">
        <v>24</v>
      </c>
      <c r="D65" s="134">
        <v>0</v>
      </c>
      <c r="E65" s="134">
        <v>0</v>
      </c>
      <c r="F65" s="134">
        <v>0</v>
      </c>
      <c r="G65" s="134">
        <v>0</v>
      </c>
      <c r="H65" s="134">
        <v>0</v>
      </c>
      <c r="I65" s="134">
        <v>0</v>
      </c>
      <c r="J65" s="706"/>
    </row>
    <row r="66" spans="1:17" x14ac:dyDescent="0.25">
      <c r="A66" s="1200" t="s">
        <v>47</v>
      </c>
      <c r="B66" s="1196">
        <v>18</v>
      </c>
      <c r="C66" s="134">
        <v>18</v>
      </c>
      <c r="D66" s="134">
        <v>0</v>
      </c>
      <c r="E66" s="134">
        <v>0</v>
      </c>
      <c r="F66" s="134">
        <v>0</v>
      </c>
      <c r="G66" s="134">
        <v>0</v>
      </c>
      <c r="H66" s="134">
        <v>0</v>
      </c>
      <c r="I66" s="134">
        <v>0</v>
      </c>
      <c r="J66" s="141"/>
    </row>
    <row r="67" spans="1:17" x14ac:dyDescent="0.25">
      <c r="A67" s="1200" t="s">
        <v>135</v>
      </c>
      <c r="B67" s="1196">
        <v>2</v>
      </c>
      <c r="C67" s="134">
        <v>2</v>
      </c>
      <c r="D67" s="134">
        <v>0</v>
      </c>
      <c r="E67" s="134">
        <v>0</v>
      </c>
      <c r="F67" s="134">
        <v>0</v>
      </c>
      <c r="G67" s="134">
        <v>0</v>
      </c>
      <c r="H67" s="134">
        <v>0</v>
      </c>
      <c r="I67" s="134">
        <v>0</v>
      </c>
      <c r="J67" s="141"/>
    </row>
    <row r="68" spans="1:17" x14ac:dyDescent="0.25">
      <c r="A68" s="1200" t="s">
        <v>136</v>
      </c>
      <c r="B68" s="1196">
        <v>4</v>
      </c>
      <c r="C68" s="134">
        <v>4</v>
      </c>
      <c r="D68" s="134">
        <v>0</v>
      </c>
      <c r="E68" s="134">
        <v>0</v>
      </c>
      <c r="F68" s="134">
        <v>0</v>
      </c>
      <c r="G68" s="134">
        <v>0</v>
      </c>
      <c r="H68" s="134">
        <v>0</v>
      </c>
      <c r="I68" s="134">
        <v>0</v>
      </c>
      <c r="J68" s="141"/>
    </row>
    <row r="69" spans="1:17" x14ac:dyDescent="0.25">
      <c r="A69" s="1200" t="s">
        <v>17</v>
      </c>
      <c r="B69" s="1196">
        <v>5</v>
      </c>
      <c r="C69" s="134">
        <v>5</v>
      </c>
      <c r="D69" s="134">
        <v>0</v>
      </c>
      <c r="E69" s="134">
        <v>0</v>
      </c>
      <c r="F69" s="134">
        <v>0</v>
      </c>
      <c r="G69" s="134">
        <v>0</v>
      </c>
      <c r="H69" s="134">
        <v>0</v>
      </c>
      <c r="I69" s="134">
        <v>0</v>
      </c>
      <c r="J69" s="141"/>
    </row>
    <row r="70" spans="1:17" x14ac:dyDescent="0.25">
      <c r="A70" s="1200" t="s">
        <v>18</v>
      </c>
      <c r="B70" s="1196">
        <v>1</v>
      </c>
      <c r="C70" s="134">
        <v>1</v>
      </c>
      <c r="D70" s="134">
        <v>0</v>
      </c>
      <c r="E70" s="134">
        <v>0</v>
      </c>
      <c r="F70" s="134">
        <v>0</v>
      </c>
      <c r="G70" s="134">
        <v>0</v>
      </c>
      <c r="H70" s="134">
        <v>0</v>
      </c>
      <c r="I70" s="134">
        <v>0</v>
      </c>
      <c r="J70" s="141"/>
    </row>
    <row r="71" spans="1:17" x14ac:dyDescent="0.25">
      <c r="A71" s="1200"/>
      <c r="B71" s="1196"/>
      <c r="C71" s="134"/>
      <c r="D71" s="134"/>
      <c r="E71" s="134"/>
      <c r="F71" s="134"/>
      <c r="G71" s="134"/>
      <c r="H71" s="134"/>
      <c r="I71" s="134"/>
      <c r="J71" s="141"/>
    </row>
    <row r="72" spans="1:17" ht="25.5" customHeight="1" x14ac:dyDescent="0.25">
      <c r="A72" s="1201" t="s">
        <v>2951</v>
      </c>
      <c r="B72" s="1183"/>
      <c r="C72" s="1183"/>
      <c r="D72" s="1183"/>
      <c r="E72" s="1183"/>
      <c r="F72" s="1183"/>
      <c r="G72" s="1183"/>
      <c r="H72" s="1183"/>
      <c r="I72" s="1183"/>
      <c r="J72" s="141"/>
    </row>
    <row r="73" spans="1:17" ht="23.25" customHeight="1" x14ac:dyDescent="0.25">
      <c r="A73" s="462" t="s">
        <v>2952</v>
      </c>
      <c r="B73" s="462"/>
      <c r="C73" s="462"/>
      <c r="D73" s="462"/>
      <c r="E73" s="462"/>
      <c r="F73" s="462"/>
      <c r="G73" s="462"/>
      <c r="H73" s="462"/>
      <c r="I73" s="462"/>
      <c r="J73" s="141"/>
    </row>
    <row r="74" spans="1:17" x14ac:dyDescent="0.25">
      <c r="A74" s="734" t="s">
        <v>2953</v>
      </c>
      <c r="B74" s="734"/>
      <c r="C74" s="734"/>
      <c r="D74" s="734"/>
      <c r="E74" s="734"/>
      <c r="F74" s="734"/>
      <c r="G74" s="734"/>
      <c r="H74" s="734"/>
      <c r="I74" s="734"/>
    </row>
    <row r="75" spans="1:17" ht="35.25" customHeight="1" x14ac:dyDescent="0.25">
      <c r="A75" s="747" t="s">
        <v>2954</v>
      </c>
      <c r="B75" s="461"/>
      <c r="C75" s="461"/>
      <c r="D75" s="461"/>
      <c r="E75" s="461"/>
      <c r="F75" s="461"/>
      <c r="G75" s="461"/>
      <c r="H75" s="461"/>
      <c r="I75" s="461"/>
    </row>
    <row r="76" spans="1:17" ht="27" customHeight="1" x14ac:dyDescent="0.25">
      <c r="A76" s="462" t="s">
        <v>2955</v>
      </c>
      <c r="B76" s="462"/>
      <c r="C76" s="462"/>
      <c r="D76" s="462"/>
      <c r="E76" s="462"/>
      <c r="F76" s="462"/>
      <c r="G76" s="462"/>
      <c r="H76" s="462"/>
      <c r="I76" s="462"/>
    </row>
    <row r="77" spans="1:17" x14ac:dyDescent="0.25">
      <c r="A77" s="1202" t="s">
        <v>2935</v>
      </c>
      <c r="B77" s="1203"/>
      <c r="C77" s="1204"/>
      <c r="D77" s="1204"/>
      <c r="E77" s="1204"/>
      <c r="F77" s="1204"/>
      <c r="G77" s="1204"/>
      <c r="H77" s="1204"/>
      <c r="I77" s="1204"/>
    </row>
    <row r="78" spans="1:17" x14ac:dyDescent="0.25">
      <c r="A78" s="715" t="s">
        <v>2936</v>
      </c>
      <c r="B78" s="715"/>
      <c r="C78" s="715"/>
      <c r="D78" s="715"/>
      <c r="E78" s="715"/>
      <c r="F78" s="715"/>
      <c r="G78" s="715"/>
      <c r="H78" s="715"/>
      <c r="I78" s="715"/>
      <c r="J78" s="141"/>
      <c r="K78" s="141"/>
      <c r="L78" s="141"/>
      <c r="M78" s="141"/>
      <c r="N78" s="141"/>
      <c r="O78" s="141"/>
      <c r="P78" s="141"/>
      <c r="Q78" s="141"/>
    </row>
  </sheetData>
  <mergeCells count="11">
    <mergeCell ref="A73:I73"/>
    <mergeCell ref="A74:I74"/>
    <mergeCell ref="A75:I75"/>
    <mergeCell ref="A76:I76"/>
    <mergeCell ref="A78:I78"/>
    <mergeCell ref="A2:I2"/>
    <mergeCell ref="A4:A6"/>
    <mergeCell ref="B4:I4"/>
    <mergeCell ref="B5:B6"/>
    <mergeCell ref="C5:I5"/>
    <mergeCell ref="A72:I72"/>
  </mergeCells>
  <pageMargins left="0.70866141732283472" right="0.70866141732283472" top="0.74803149606299213" bottom="0.74803149606299213" header="0.31496062992125984" footer="0.31496062992125984"/>
  <pageSetup paperSize="14" scale="75" orientation="portrait" r:id="rId1"/>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9FDAC-C99B-47E1-B59C-25472296210E}">
  <sheetPr codeName="Hoja233"/>
  <dimension ref="A2:I61"/>
  <sheetViews>
    <sheetView zoomScaleNormal="100" zoomScaleSheetLayoutView="100" workbookViewId="0">
      <selection activeCell="A4" sqref="A4:A6"/>
    </sheetView>
  </sheetViews>
  <sheetFormatPr baseColWidth="10" defaultRowHeight="13.2" x14ac:dyDescent="0.25"/>
  <cols>
    <col min="1" max="1" width="22.44140625" customWidth="1"/>
    <col min="3" max="6" width="13.6640625" customWidth="1"/>
    <col min="7" max="7" width="10" customWidth="1"/>
  </cols>
  <sheetData>
    <row r="2" spans="1:9" ht="36" customHeight="1" x14ac:dyDescent="0.25">
      <c r="A2" s="234" t="s">
        <v>2956</v>
      </c>
      <c r="B2" s="234"/>
      <c r="C2" s="234"/>
      <c r="D2" s="234"/>
      <c r="E2" s="234"/>
      <c r="F2" s="234"/>
      <c r="G2" s="234"/>
    </row>
    <row r="3" spans="1:9" x14ac:dyDescent="0.25">
      <c r="A3" s="736"/>
      <c r="B3" s="711"/>
      <c r="C3" s="736"/>
      <c r="D3" s="736"/>
      <c r="E3" s="736"/>
      <c r="F3" s="736"/>
      <c r="G3" s="736"/>
      <c r="H3" s="141"/>
      <c r="I3" s="141"/>
    </row>
    <row r="4" spans="1:9" x14ac:dyDescent="0.25">
      <c r="A4" s="707" t="s">
        <v>2957</v>
      </c>
      <c r="B4" s="793" t="s">
        <v>2958</v>
      </c>
      <c r="C4" s="793"/>
      <c r="D4" s="793"/>
      <c r="E4" s="793"/>
      <c r="F4" s="793"/>
      <c r="G4" s="707" t="s">
        <v>2959</v>
      </c>
      <c r="H4" s="141"/>
      <c r="I4" s="141"/>
    </row>
    <row r="5" spans="1:9" ht="21" customHeight="1" x14ac:dyDescent="0.25">
      <c r="A5" s="709"/>
      <c r="B5" s="114" t="s">
        <v>2960</v>
      </c>
      <c r="C5" s="793" t="s">
        <v>2961</v>
      </c>
      <c r="D5" s="793"/>
      <c r="E5" s="793"/>
      <c r="F5" s="793"/>
      <c r="G5" s="709"/>
      <c r="H5" s="141"/>
      <c r="I5" s="141"/>
    </row>
    <row r="6" spans="1:9" ht="20.25" customHeight="1" x14ac:dyDescent="0.25">
      <c r="A6" s="710"/>
      <c r="B6" s="115"/>
      <c r="C6" s="454" t="s">
        <v>2962</v>
      </c>
      <c r="D6" s="1205" t="s">
        <v>2963</v>
      </c>
      <c r="E6" s="1205" t="s">
        <v>2964</v>
      </c>
      <c r="F6" s="1205" t="s">
        <v>2965</v>
      </c>
      <c r="G6" s="710"/>
      <c r="H6" s="141"/>
      <c r="I6" s="141"/>
    </row>
    <row r="7" spans="1:9" x14ac:dyDescent="0.25">
      <c r="A7" s="706" t="s">
        <v>2966</v>
      </c>
      <c r="B7" s="1206">
        <v>1497</v>
      </c>
      <c r="C7" s="1206">
        <v>45</v>
      </c>
      <c r="D7" s="1206">
        <v>198</v>
      </c>
      <c r="E7" s="1206">
        <v>101</v>
      </c>
      <c r="F7" s="1206">
        <v>1153</v>
      </c>
      <c r="G7" s="1206">
        <v>0</v>
      </c>
      <c r="H7" s="141"/>
      <c r="I7" s="141"/>
    </row>
    <row r="8" spans="1:9" x14ac:dyDescent="0.25">
      <c r="A8" s="1207" t="s">
        <v>4</v>
      </c>
      <c r="B8" s="1196">
        <v>38</v>
      </c>
      <c r="C8" s="1208">
        <v>1</v>
      </c>
      <c r="D8" s="1208">
        <v>2</v>
      </c>
      <c r="E8" s="1208">
        <v>3</v>
      </c>
      <c r="F8" s="1208">
        <v>32</v>
      </c>
      <c r="G8" s="1208">
        <v>0</v>
      </c>
      <c r="H8" s="141"/>
      <c r="I8" s="141"/>
    </row>
    <row r="9" spans="1:9" x14ac:dyDescent="0.25">
      <c r="A9" s="1207" t="s">
        <v>5</v>
      </c>
      <c r="B9" s="1196">
        <v>39</v>
      </c>
      <c r="C9" s="1208">
        <v>1</v>
      </c>
      <c r="D9" s="1208">
        <v>1</v>
      </c>
      <c r="E9" s="1208">
        <v>2</v>
      </c>
      <c r="F9" s="1208">
        <v>35</v>
      </c>
      <c r="G9" s="1208">
        <v>0</v>
      </c>
      <c r="H9" s="141"/>
      <c r="I9" s="141"/>
    </row>
    <row r="10" spans="1:9" x14ac:dyDescent="0.25">
      <c r="A10" s="1207" t="s">
        <v>6</v>
      </c>
      <c r="B10" s="1196">
        <v>94</v>
      </c>
      <c r="C10" s="1208">
        <v>1</v>
      </c>
      <c r="D10" s="1208">
        <v>4</v>
      </c>
      <c r="E10" s="1208">
        <v>5</v>
      </c>
      <c r="F10" s="1208">
        <v>84</v>
      </c>
      <c r="G10" s="1208">
        <v>0</v>
      </c>
      <c r="H10" s="141"/>
      <c r="I10" s="141"/>
    </row>
    <row r="11" spans="1:9" x14ac:dyDescent="0.25">
      <c r="A11" s="1207" t="s">
        <v>7</v>
      </c>
      <c r="B11" s="1196">
        <v>92</v>
      </c>
      <c r="C11" s="1208">
        <v>0</v>
      </c>
      <c r="D11" s="1208">
        <v>11</v>
      </c>
      <c r="E11" s="1208">
        <v>1</v>
      </c>
      <c r="F11" s="1208">
        <v>80</v>
      </c>
      <c r="G11" s="1208">
        <v>0</v>
      </c>
      <c r="H11" s="141"/>
      <c r="I11" s="141"/>
    </row>
    <row r="12" spans="1:9" x14ac:dyDescent="0.25">
      <c r="A12" s="1207" t="s">
        <v>8</v>
      </c>
      <c r="B12" s="1196">
        <v>107</v>
      </c>
      <c r="C12" s="1208">
        <v>3</v>
      </c>
      <c r="D12" s="1208">
        <v>6</v>
      </c>
      <c r="E12" s="1208">
        <v>8</v>
      </c>
      <c r="F12" s="1208">
        <v>90</v>
      </c>
      <c r="G12" s="1208">
        <v>0</v>
      </c>
      <c r="H12" s="141"/>
      <c r="I12" s="141"/>
    </row>
    <row r="13" spans="1:9" x14ac:dyDescent="0.25">
      <c r="A13" s="1207" t="s">
        <v>9</v>
      </c>
      <c r="B13" s="1196">
        <v>155</v>
      </c>
      <c r="C13" s="1208">
        <v>8</v>
      </c>
      <c r="D13" s="1208">
        <v>13</v>
      </c>
      <c r="E13" s="1208">
        <v>4</v>
      </c>
      <c r="F13" s="1208">
        <v>130</v>
      </c>
      <c r="G13" s="1208">
        <v>0</v>
      </c>
      <c r="H13" s="141"/>
      <c r="I13" s="141"/>
    </row>
    <row r="14" spans="1:9" x14ac:dyDescent="0.25">
      <c r="A14" s="1207" t="s">
        <v>10</v>
      </c>
      <c r="B14" s="1196">
        <v>110</v>
      </c>
      <c r="C14" s="1208">
        <v>4</v>
      </c>
      <c r="D14" s="1208">
        <v>20</v>
      </c>
      <c r="E14" s="1208">
        <v>6</v>
      </c>
      <c r="F14" s="1208">
        <v>80</v>
      </c>
      <c r="G14" s="1208">
        <v>0</v>
      </c>
      <c r="H14" s="141"/>
      <c r="I14" s="141"/>
    </row>
    <row r="15" spans="1:9" x14ac:dyDescent="0.25">
      <c r="A15" s="1207" t="s">
        <v>134</v>
      </c>
      <c r="B15" s="1196">
        <v>98</v>
      </c>
      <c r="C15" s="1208">
        <v>4</v>
      </c>
      <c r="D15" s="1208">
        <v>17</v>
      </c>
      <c r="E15" s="1208">
        <v>10</v>
      </c>
      <c r="F15" s="1208">
        <v>67</v>
      </c>
      <c r="G15" s="1208">
        <v>0</v>
      </c>
      <c r="H15" s="141"/>
      <c r="I15" s="141"/>
    </row>
    <row r="16" spans="1:9" x14ac:dyDescent="0.25">
      <c r="A16" s="1207" t="s">
        <v>12</v>
      </c>
      <c r="B16" s="1196">
        <v>124</v>
      </c>
      <c r="C16" s="1208">
        <v>7</v>
      </c>
      <c r="D16" s="1208">
        <v>18</v>
      </c>
      <c r="E16" s="1208">
        <v>8</v>
      </c>
      <c r="F16" s="1208">
        <v>91</v>
      </c>
      <c r="G16" s="1208">
        <v>0</v>
      </c>
      <c r="H16" s="141"/>
      <c r="I16" s="141"/>
    </row>
    <row r="17" spans="1:9" x14ac:dyDescent="0.25">
      <c r="A17" s="1207" t="s">
        <v>13</v>
      </c>
      <c r="B17" s="1196">
        <v>170</v>
      </c>
      <c r="C17" s="1208">
        <v>6</v>
      </c>
      <c r="D17" s="1208">
        <v>44</v>
      </c>
      <c r="E17" s="1208">
        <v>12</v>
      </c>
      <c r="F17" s="1208">
        <v>108</v>
      </c>
      <c r="G17" s="1208">
        <v>0</v>
      </c>
      <c r="H17" s="141"/>
      <c r="I17" s="141"/>
    </row>
    <row r="18" spans="1:9" x14ac:dyDescent="0.25">
      <c r="A18" s="1207" t="s">
        <v>47</v>
      </c>
      <c r="B18" s="1196">
        <v>150</v>
      </c>
      <c r="C18" s="1208">
        <v>4</v>
      </c>
      <c r="D18" s="1208">
        <v>24</v>
      </c>
      <c r="E18" s="1208">
        <v>10</v>
      </c>
      <c r="F18" s="1208">
        <v>112</v>
      </c>
      <c r="G18" s="1208">
        <v>0</v>
      </c>
      <c r="H18" s="141"/>
      <c r="I18" s="141"/>
    </row>
    <row r="19" spans="1:9" x14ac:dyDescent="0.25">
      <c r="A19" s="1207" t="s">
        <v>135</v>
      </c>
      <c r="B19" s="1196">
        <v>71</v>
      </c>
      <c r="C19" s="1208">
        <v>3</v>
      </c>
      <c r="D19" s="1208">
        <v>12</v>
      </c>
      <c r="E19" s="1208">
        <v>9</v>
      </c>
      <c r="F19" s="1208">
        <v>47</v>
      </c>
      <c r="G19" s="1208">
        <v>0</v>
      </c>
      <c r="H19" s="141"/>
      <c r="I19" s="141"/>
    </row>
    <row r="20" spans="1:9" x14ac:dyDescent="0.25">
      <c r="A20" s="1207" t="s">
        <v>136</v>
      </c>
      <c r="B20" s="1196">
        <v>144</v>
      </c>
      <c r="C20" s="1208">
        <v>2</v>
      </c>
      <c r="D20" s="1208">
        <v>19</v>
      </c>
      <c r="E20" s="1208">
        <v>12</v>
      </c>
      <c r="F20" s="1208">
        <v>111</v>
      </c>
      <c r="G20" s="1208">
        <v>0</v>
      </c>
      <c r="H20" s="141"/>
      <c r="I20" s="141"/>
    </row>
    <row r="21" spans="1:9" x14ac:dyDescent="0.25">
      <c r="A21" s="1207" t="s">
        <v>17</v>
      </c>
      <c r="B21" s="1196">
        <v>55</v>
      </c>
      <c r="C21" s="1208">
        <v>1</v>
      </c>
      <c r="D21" s="1208">
        <v>6</v>
      </c>
      <c r="E21" s="1208">
        <v>9</v>
      </c>
      <c r="F21" s="1208">
        <v>39</v>
      </c>
      <c r="G21" s="1208">
        <v>0</v>
      </c>
      <c r="H21" s="141"/>
      <c r="I21" s="141"/>
    </row>
    <row r="22" spans="1:9" x14ac:dyDescent="0.25">
      <c r="A22" s="1207" t="s">
        <v>18</v>
      </c>
      <c r="B22" s="1196">
        <v>50</v>
      </c>
      <c r="C22" s="1208">
        <v>0</v>
      </c>
      <c r="D22" s="1208">
        <v>1</v>
      </c>
      <c r="E22" s="1208">
        <v>2</v>
      </c>
      <c r="F22" s="1208">
        <v>47</v>
      </c>
      <c r="G22" s="1208">
        <v>0</v>
      </c>
      <c r="H22" s="141"/>
      <c r="I22" s="141"/>
    </row>
    <row r="23" spans="1:9" x14ac:dyDescent="0.25">
      <c r="A23" s="706" t="s">
        <v>2967</v>
      </c>
      <c r="B23" s="1206">
        <v>1497</v>
      </c>
      <c r="C23" s="1206">
        <v>44</v>
      </c>
      <c r="D23" s="1206">
        <v>185</v>
      </c>
      <c r="E23" s="1206">
        <v>105</v>
      </c>
      <c r="F23" s="1206">
        <v>1162</v>
      </c>
      <c r="G23" s="1206">
        <v>1</v>
      </c>
      <c r="H23" s="141"/>
      <c r="I23" s="141"/>
    </row>
    <row r="24" spans="1:9" x14ac:dyDescent="0.25">
      <c r="A24" s="1209" t="s">
        <v>4</v>
      </c>
      <c r="B24" s="1196">
        <v>38</v>
      </c>
      <c r="C24" s="1208">
        <v>0</v>
      </c>
      <c r="D24" s="1208">
        <v>1</v>
      </c>
      <c r="E24" s="1208">
        <v>3</v>
      </c>
      <c r="F24" s="1208">
        <v>33</v>
      </c>
      <c r="G24" s="1208">
        <v>1</v>
      </c>
      <c r="H24" s="141"/>
      <c r="I24" s="141"/>
    </row>
    <row r="25" spans="1:9" x14ac:dyDescent="0.25">
      <c r="A25" s="1209" t="s">
        <v>5</v>
      </c>
      <c r="B25" s="1196">
        <v>39</v>
      </c>
      <c r="C25" s="1208">
        <v>1</v>
      </c>
      <c r="D25" s="1208">
        <v>1</v>
      </c>
      <c r="E25" s="1208">
        <v>1</v>
      </c>
      <c r="F25" s="1208">
        <v>36</v>
      </c>
      <c r="G25" s="1208">
        <v>0</v>
      </c>
      <c r="H25" s="141"/>
      <c r="I25" s="141"/>
    </row>
    <row r="26" spans="1:9" x14ac:dyDescent="0.25">
      <c r="A26" s="1209" t="s">
        <v>6</v>
      </c>
      <c r="B26" s="1196">
        <v>94</v>
      </c>
      <c r="C26" s="1208">
        <v>1</v>
      </c>
      <c r="D26" s="1208">
        <v>4</v>
      </c>
      <c r="E26" s="1208">
        <v>4</v>
      </c>
      <c r="F26" s="1208">
        <v>85</v>
      </c>
      <c r="G26" s="1208">
        <v>0</v>
      </c>
      <c r="H26" s="141"/>
      <c r="I26" s="141"/>
    </row>
    <row r="27" spans="1:9" x14ac:dyDescent="0.25">
      <c r="A27" s="1209" t="s">
        <v>7</v>
      </c>
      <c r="B27" s="1196">
        <v>92</v>
      </c>
      <c r="C27" s="1208">
        <v>0</v>
      </c>
      <c r="D27" s="1208">
        <v>11</v>
      </c>
      <c r="E27" s="1208">
        <v>1</v>
      </c>
      <c r="F27" s="1208">
        <v>80</v>
      </c>
      <c r="G27" s="1208">
        <v>0</v>
      </c>
      <c r="H27" s="141"/>
      <c r="I27" s="141"/>
    </row>
    <row r="28" spans="1:9" x14ac:dyDescent="0.25">
      <c r="A28" s="1209" t="s">
        <v>8</v>
      </c>
      <c r="B28" s="1196">
        <v>107</v>
      </c>
      <c r="C28" s="1208">
        <v>3</v>
      </c>
      <c r="D28" s="1208">
        <v>6</v>
      </c>
      <c r="E28" s="1208">
        <v>8</v>
      </c>
      <c r="F28" s="1208">
        <v>90</v>
      </c>
      <c r="G28" s="1208">
        <v>0</v>
      </c>
      <c r="H28" s="141"/>
      <c r="I28" s="141"/>
    </row>
    <row r="29" spans="1:9" x14ac:dyDescent="0.25">
      <c r="A29" s="1209" t="s">
        <v>9</v>
      </c>
      <c r="B29" s="1196">
        <v>155</v>
      </c>
      <c r="C29" s="1208">
        <v>7</v>
      </c>
      <c r="D29" s="1208">
        <v>15</v>
      </c>
      <c r="E29" s="1208">
        <v>4</v>
      </c>
      <c r="F29" s="1208">
        <v>129</v>
      </c>
      <c r="G29" s="1208">
        <v>0</v>
      </c>
      <c r="H29" s="141"/>
      <c r="I29" s="141"/>
    </row>
    <row r="30" spans="1:9" x14ac:dyDescent="0.25">
      <c r="A30" s="1209" t="s">
        <v>10</v>
      </c>
      <c r="B30" s="1196">
        <v>110</v>
      </c>
      <c r="C30" s="1208">
        <v>5</v>
      </c>
      <c r="D30" s="1208">
        <v>18</v>
      </c>
      <c r="E30" s="1208">
        <v>3</v>
      </c>
      <c r="F30" s="1208">
        <v>84</v>
      </c>
      <c r="G30" s="1208">
        <v>0</v>
      </c>
      <c r="H30" s="141"/>
      <c r="I30" s="141"/>
    </row>
    <row r="31" spans="1:9" x14ac:dyDescent="0.25">
      <c r="A31" s="1209" t="s">
        <v>134</v>
      </c>
      <c r="B31" s="1196">
        <v>98</v>
      </c>
      <c r="C31" s="1208">
        <v>4</v>
      </c>
      <c r="D31" s="1208">
        <v>15</v>
      </c>
      <c r="E31" s="1208">
        <v>11</v>
      </c>
      <c r="F31" s="1208">
        <v>68</v>
      </c>
      <c r="G31" s="1208">
        <v>0</v>
      </c>
      <c r="H31" s="141"/>
      <c r="I31" s="141"/>
    </row>
    <row r="32" spans="1:9" x14ac:dyDescent="0.25">
      <c r="A32" s="1209" t="s">
        <v>12</v>
      </c>
      <c r="B32" s="1196">
        <v>124</v>
      </c>
      <c r="C32" s="1208">
        <v>7</v>
      </c>
      <c r="D32" s="1208">
        <v>16</v>
      </c>
      <c r="E32" s="1208">
        <v>9</v>
      </c>
      <c r="F32" s="1208">
        <v>92</v>
      </c>
      <c r="G32" s="1208">
        <v>0</v>
      </c>
      <c r="H32" s="141"/>
      <c r="I32" s="141"/>
    </row>
    <row r="33" spans="1:9" x14ac:dyDescent="0.25">
      <c r="A33" s="1209" t="s">
        <v>13</v>
      </c>
      <c r="B33" s="1196">
        <v>170</v>
      </c>
      <c r="C33" s="1208">
        <v>7</v>
      </c>
      <c r="D33" s="1208">
        <v>41</v>
      </c>
      <c r="E33" s="1208">
        <v>14</v>
      </c>
      <c r="F33" s="1208">
        <v>108</v>
      </c>
      <c r="G33" s="1208">
        <v>0</v>
      </c>
      <c r="H33" s="141"/>
      <c r="I33" s="141"/>
    </row>
    <row r="34" spans="1:9" x14ac:dyDescent="0.25">
      <c r="A34" s="1209" t="s">
        <v>47</v>
      </c>
      <c r="B34" s="1196">
        <v>149</v>
      </c>
      <c r="C34" s="1208">
        <v>5</v>
      </c>
      <c r="D34" s="1208">
        <v>23</v>
      </c>
      <c r="E34" s="1208">
        <v>10</v>
      </c>
      <c r="F34" s="1208">
        <v>111</v>
      </c>
      <c r="G34" s="1208">
        <v>0</v>
      </c>
      <c r="H34" s="141"/>
      <c r="I34" s="141"/>
    </row>
    <row r="35" spans="1:9" x14ac:dyDescent="0.25">
      <c r="A35" s="1209" t="s">
        <v>135</v>
      </c>
      <c r="B35" s="1196">
        <v>71</v>
      </c>
      <c r="C35" s="1208">
        <v>2</v>
      </c>
      <c r="D35" s="1208">
        <v>14</v>
      </c>
      <c r="E35" s="1208">
        <v>8</v>
      </c>
      <c r="F35" s="1208">
        <v>47</v>
      </c>
      <c r="G35" s="1208">
        <v>0</v>
      </c>
      <c r="H35" s="141"/>
      <c r="I35" s="141"/>
    </row>
    <row r="36" spans="1:9" x14ac:dyDescent="0.25">
      <c r="A36" s="1209" t="s">
        <v>136</v>
      </c>
      <c r="B36" s="1196">
        <v>145</v>
      </c>
      <c r="C36" s="1208">
        <v>1</v>
      </c>
      <c r="D36" s="1208">
        <v>16</v>
      </c>
      <c r="E36" s="1208">
        <v>14</v>
      </c>
      <c r="F36" s="1208">
        <v>114</v>
      </c>
      <c r="G36" s="1208">
        <v>0</v>
      </c>
      <c r="H36" s="141"/>
      <c r="I36" s="141"/>
    </row>
    <row r="37" spans="1:9" x14ac:dyDescent="0.25">
      <c r="A37" s="1209" t="s">
        <v>17</v>
      </c>
      <c r="B37" s="1196">
        <v>55</v>
      </c>
      <c r="C37" s="1208">
        <v>1</v>
      </c>
      <c r="D37" s="1208">
        <v>2</v>
      </c>
      <c r="E37" s="1208">
        <v>14</v>
      </c>
      <c r="F37" s="1208">
        <v>38</v>
      </c>
      <c r="G37" s="1208">
        <v>0</v>
      </c>
      <c r="H37" s="141"/>
      <c r="I37" s="141"/>
    </row>
    <row r="38" spans="1:9" x14ac:dyDescent="0.25">
      <c r="A38" s="1209" t="s">
        <v>18</v>
      </c>
      <c r="B38" s="1196">
        <v>50</v>
      </c>
      <c r="C38" s="1208">
        <v>0</v>
      </c>
      <c r="D38" s="1208">
        <v>2</v>
      </c>
      <c r="E38" s="1208">
        <v>1</v>
      </c>
      <c r="F38" s="1208">
        <v>47</v>
      </c>
      <c r="G38" s="1208">
        <v>0</v>
      </c>
      <c r="H38" s="141"/>
      <c r="I38" s="141"/>
    </row>
    <row r="39" spans="1:9" x14ac:dyDescent="0.25">
      <c r="A39" s="706" t="s">
        <v>2968</v>
      </c>
      <c r="B39" s="1206">
        <v>1497</v>
      </c>
      <c r="C39" s="1206">
        <v>56</v>
      </c>
      <c r="D39" s="1206">
        <v>187</v>
      </c>
      <c r="E39" s="1206">
        <v>89</v>
      </c>
      <c r="F39" s="1206">
        <v>1157</v>
      </c>
      <c r="G39" s="1206">
        <v>8</v>
      </c>
      <c r="H39" s="141"/>
      <c r="I39" s="141"/>
    </row>
    <row r="40" spans="1:9" x14ac:dyDescent="0.25">
      <c r="A40" s="1210" t="s">
        <v>4</v>
      </c>
      <c r="B40" s="1196">
        <v>38</v>
      </c>
      <c r="C40" s="1208">
        <v>0</v>
      </c>
      <c r="D40" s="1208">
        <v>2</v>
      </c>
      <c r="E40" s="1208">
        <v>3</v>
      </c>
      <c r="F40" s="1208">
        <v>32</v>
      </c>
      <c r="G40" s="1208">
        <v>1</v>
      </c>
      <c r="H40" s="141"/>
      <c r="I40" s="141"/>
    </row>
    <row r="41" spans="1:9" x14ac:dyDescent="0.25">
      <c r="A41" s="1210" t="s">
        <v>5</v>
      </c>
      <c r="B41" s="1196">
        <v>39</v>
      </c>
      <c r="C41" s="1208">
        <v>1</v>
      </c>
      <c r="D41" s="1208">
        <v>1</v>
      </c>
      <c r="E41" s="1208">
        <v>1</v>
      </c>
      <c r="F41" s="1208">
        <v>36</v>
      </c>
      <c r="G41" s="1208">
        <v>0</v>
      </c>
      <c r="H41" s="141"/>
      <c r="I41" s="141"/>
    </row>
    <row r="42" spans="1:9" x14ac:dyDescent="0.25">
      <c r="A42" s="1210" t="s">
        <v>6</v>
      </c>
      <c r="B42" s="1196">
        <v>94</v>
      </c>
      <c r="C42" s="1208">
        <v>1</v>
      </c>
      <c r="D42" s="1208">
        <v>5</v>
      </c>
      <c r="E42" s="1208">
        <v>4</v>
      </c>
      <c r="F42" s="1208">
        <v>84</v>
      </c>
      <c r="G42" s="1208">
        <v>0</v>
      </c>
      <c r="H42" s="141"/>
      <c r="I42" s="141"/>
    </row>
    <row r="43" spans="1:9" x14ac:dyDescent="0.25">
      <c r="A43" s="1210" t="s">
        <v>7</v>
      </c>
      <c r="B43" s="1196">
        <v>92</v>
      </c>
      <c r="C43" s="1208">
        <v>0</v>
      </c>
      <c r="D43" s="1208">
        <v>11</v>
      </c>
      <c r="E43" s="1208">
        <v>0</v>
      </c>
      <c r="F43" s="1208">
        <v>80</v>
      </c>
      <c r="G43" s="1208">
        <v>1</v>
      </c>
      <c r="H43" s="141"/>
      <c r="I43" s="141"/>
    </row>
    <row r="44" spans="1:9" x14ac:dyDescent="0.25">
      <c r="A44" s="1210" t="s">
        <v>8</v>
      </c>
      <c r="B44" s="1196">
        <v>107</v>
      </c>
      <c r="C44" s="1208">
        <v>5</v>
      </c>
      <c r="D44" s="1208">
        <v>6</v>
      </c>
      <c r="E44" s="1208">
        <v>6</v>
      </c>
      <c r="F44" s="1208">
        <v>90</v>
      </c>
      <c r="G44" s="1208">
        <v>0</v>
      </c>
      <c r="H44" s="141"/>
      <c r="I44" s="141"/>
    </row>
    <row r="45" spans="1:9" x14ac:dyDescent="0.25">
      <c r="A45" s="1210" t="s">
        <v>9</v>
      </c>
      <c r="B45" s="1196">
        <v>155</v>
      </c>
      <c r="C45" s="1208">
        <v>8</v>
      </c>
      <c r="D45" s="1208">
        <v>15</v>
      </c>
      <c r="E45" s="1208">
        <v>2</v>
      </c>
      <c r="F45" s="1208">
        <v>129</v>
      </c>
      <c r="G45" s="1208">
        <v>1</v>
      </c>
      <c r="H45" s="141"/>
      <c r="I45" s="141"/>
    </row>
    <row r="46" spans="1:9" x14ac:dyDescent="0.25">
      <c r="A46" s="1210" t="s">
        <v>10</v>
      </c>
      <c r="B46" s="1196">
        <v>110</v>
      </c>
      <c r="C46" s="1208">
        <v>5</v>
      </c>
      <c r="D46" s="1208">
        <v>15</v>
      </c>
      <c r="E46" s="1208">
        <v>5</v>
      </c>
      <c r="F46" s="1208">
        <v>83</v>
      </c>
      <c r="G46" s="1208">
        <v>2</v>
      </c>
      <c r="H46" s="141"/>
      <c r="I46" s="141"/>
    </row>
    <row r="47" spans="1:9" x14ac:dyDescent="0.25">
      <c r="A47" s="1210" t="s">
        <v>134</v>
      </c>
      <c r="B47" s="1196">
        <v>98</v>
      </c>
      <c r="C47" s="1208">
        <v>4</v>
      </c>
      <c r="D47" s="1208">
        <v>20</v>
      </c>
      <c r="E47" s="1208">
        <v>7</v>
      </c>
      <c r="F47" s="1208">
        <v>67</v>
      </c>
      <c r="G47" s="1208">
        <v>0</v>
      </c>
      <c r="H47" s="141"/>
      <c r="I47" s="141"/>
    </row>
    <row r="48" spans="1:9" x14ac:dyDescent="0.25">
      <c r="A48" s="1210" t="s">
        <v>12</v>
      </c>
      <c r="B48" s="1196">
        <v>124</v>
      </c>
      <c r="C48" s="1208">
        <v>10</v>
      </c>
      <c r="D48" s="1208">
        <v>16</v>
      </c>
      <c r="E48" s="1208">
        <v>7</v>
      </c>
      <c r="F48" s="1208">
        <v>91</v>
      </c>
      <c r="G48" s="1208">
        <v>0</v>
      </c>
      <c r="H48" s="141"/>
      <c r="I48" s="141"/>
    </row>
    <row r="49" spans="1:9" x14ac:dyDescent="0.25">
      <c r="A49" s="1210" t="s">
        <v>13</v>
      </c>
      <c r="B49" s="1196">
        <v>170</v>
      </c>
      <c r="C49" s="1208">
        <v>10</v>
      </c>
      <c r="D49" s="1208">
        <v>38</v>
      </c>
      <c r="E49" s="1208">
        <v>12</v>
      </c>
      <c r="F49" s="1208">
        <v>109</v>
      </c>
      <c r="G49" s="1208">
        <v>1</v>
      </c>
      <c r="H49" s="141"/>
      <c r="I49" s="141"/>
    </row>
    <row r="50" spans="1:9" x14ac:dyDescent="0.25">
      <c r="A50" s="1210" t="s">
        <v>47</v>
      </c>
      <c r="B50" s="1196">
        <v>149</v>
      </c>
      <c r="C50" s="1208">
        <v>4</v>
      </c>
      <c r="D50" s="1208">
        <v>23</v>
      </c>
      <c r="E50" s="1208">
        <v>10</v>
      </c>
      <c r="F50" s="1208">
        <v>111</v>
      </c>
      <c r="G50" s="1208">
        <v>1</v>
      </c>
      <c r="H50" s="141"/>
      <c r="I50" s="141"/>
    </row>
    <row r="51" spans="1:9" x14ac:dyDescent="0.25">
      <c r="A51" s="1210" t="s">
        <v>135</v>
      </c>
      <c r="B51" s="1196">
        <v>71</v>
      </c>
      <c r="C51" s="1208">
        <v>3</v>
      </c>
      <c r="D51" s="1208">
        <v>15</v>
      </c>
      <c r="E51" s="1208">
        <v>6</v>
      </c>
      <c r="F51" s="1208">
        <v>47</v>
      </c>
      <c r="G51" s="1208">
        <v>0</v>
      </c>
      <c r="H51" s="141"/>
      <c r="I51" s="141"/>
    </row>
    <row r="52" spans="1:9" x14ac:dyDescent="0.25">
      <c r="A52" s="1210" t="s">
        <v>136</v>
      </c>
      <c r="B52" s="1196">
        <v>145</v>
      </c>
      <c r="C52" s="1208">
        <v>4</v>
      </c>
      <c r="D52" s="1208">
        <v>15</v>
      </c>
      <c r="E52" s="1208">
        <v>12</v>
      </c>
      <c r="F52" s="1208">
        <v>113</v>
      </c>
      <c r="G52" s="1208">
        <v>1</v>
      </c>
      <c r="H52" s="141"/>
      <c r="I52" s="141"/>
    </row>
    <row r="53" spans="1:9" x14ac:dyDescent="0.25">
      <c r="A53" s="1210" t="s">
        <v>17</v>
      </c>
      <c r="B53" s="1196">
        <v>55</v>
      </c>
      <c r="C53" s="1208">
        <v>1</v>
      </c>
      <c r="D53" s="1208">
        <v>3</v>
      </c>
      <c r="E53" s="1208">
        <v>13</v>
      </c>
      <c r="F53" s="1208">
        <v>38</v>
      </c>
      <c r="G53" s="1208">
        <v>0</v>
      </c>
      <c r="H53" s="141"/>
      <c r="I53" s="141"/>
    </row>
    <row r="54" spans="1:9" x14ac:dyDescent="0.25">
      <c r="A54" s="1210" t="s">
        <v>18</v>
      </c>
      <c r="B54" s="1196">
        <v>50</v>
      </c>
      <c r="C54" s="1208">
        <v>0</v>
      </c>
      <c r="D54" s="1208">
        <v>2</v>
      </c>
      <c r="E54" s="1208">
        <v>1</v>
      </c>
      <c r="F54" s="1208">
        <v>47</v>
      </c>
      <c r="G54" s="1208">
        <v>0</v>
      </c>
      <c r="H54" s="1211"/>
      <c r="I54" s="1211"/>
    </row>
    <row r="55" spans="1:9" x14ac:dyDescent="0.25">
      <c r="A55" s="141"/>
      <c r="B55" s="141"/>
      <c r="C55" s="141"/>
      <c r="D55" s="141"/>
      <c r="E55" s="141"/>
      <c r="F55" s="141"/>
      <c r="G55" s="141"/>
      <c r="H55" s="141"/>
      <c r="I55" s="141"/>
    </row>
    <row r="56" spans="1:9" ht="27.75" customHeight="1" x14ac:dyDescent="0.25">
      <c r="A56" s="1183" t="s">
        <v>2969</v>
      </c>
      <c r="B56" s="1183"/>
      <c r="C56" s="1183"/>
      <c r="D56" s="1183"/>
      <c r="E56" s="1183"/>
      <c r="F56" s="1183"/>
      <c r="G56" s="1183"/>
      <c r="H56" s="141"/>
      <c r="I56" s="141"/>
    </row>
    <row r="57" spans="1:9" ht="24.75" customHeight="1" x14ac:dyDescent="0.25">
      <c r="A57" s="461" t="s">
        <v>2953</v>
      </c>
      <c r="B57" s="461"/>
      <c r="C57" s="461"/>
      <c r="D57" s="461"/>
      <c r="E57" s="461"/>
      <c r="F57" s="461"/>
      <c r="G57" s="461"/>
      <c r="H57" s="141"/>
      <c r="I57" s="141"/>
    </row>
    <row r="58" spans="1:9" ht="33" customHeight="1" x14ac:dyDescent="0.25">
      <c r="A58" s="461" t="s">
        <v>2970</v>
      </c>
      <c r="B58" s="461"/>
      <c r="C58" s="461"/>
      <c r="D58" s="461"/>
      <c r="E58" s="461"/>
      <c r="F58" s="461"/>
      <c r="G58" s="461"/>
      <c r="H58" s="141"/>
      <c r="I58" s="141"/>
    </row>
    <row r="59" spans="1:9" x14ac:dyDescent="0.25">
      <c r="A59" s="715" t="s">
        <v>2971</v>
      </c>
      <c r="B59" s="715"/>
      <c r="C59" s="715"/>
      <c r="D59" s="715"/>
      <c r="E59" s="715"/>
      <c r="F59" s="715"/>
      <c r="G59" s="715"/>
      <c r="H59" s="141"/>
      <c r="I59" s="141"/>
    </row>
    <row r="60" spans="1:9" x14ac:dyDescent="0.25">
      <c r="A60" s="1212" t="s">
        <v>2972</v>
      </c>
      <c r="B60" s="141"/>
      <c r="C60" s="141"/>
      <c r="D60" s="141"/>
      <c r="E60" s="141"/>
      <c r="F60" s="141"/>
      <c r="G60" s="141"/>
      <c r="H60" s="141"/>
      <c r="I60" s="141"/>
    </row>
    <row r="61" spans="1:9" x14ac:dyDescent="0.25">
      <c r="A61" s="715" t="s">
        <v>2936</v>
      </c>
      <c r="B61" s="715"/>
      <c r="C61" s="715"/>
      <c r="D61" s="715"/>
      <c r="E61" s="715"/>
      <c r="F61" s="715"/>
      <c r="G61" s="715"/>
      <c r="H61" s="141"/>
      <c r="I61" s="141"/>
    </row>
  </sheetData>
  <mergeCells count="11">
    <mergeCell ref="A56:G56"/>
    <mergeCell ref="A57:G57"/>
    <mergeCell ref="A58:G58"/>
    <mergeCell ref="A59:G59"/>
    <mergeCell ref="A61:G61"/>
    <mergeCell ref="A2:G2"/>
    <mergeCell ref="A4:A6"/>
    <mergeCell ref="B4:F4"/>
    <mergeCell ref="G4:G6"/>
    <mergeCell ref="B5:B6"/>
    <mergeCell ref="C5:F5"/>
  </mergeCells>
  <pageMargins left="0.70866141732283472" right="0.70866141732283472" top="0.74803149606299213" bottom="0.74803149606299213" header="0.31496062992125984" footer="0.31496062992125984"/>
  <pageSetup paperSize="14" scale="90" orientation="portrait" r:id="rId1"/>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A1AEA-7049-4DA9-AE71-22FB81E519B2}">
  <sheetPr codeName="Hoja234"/>
  <dimension ref="A2:I31"/>
  <sheetViews>
    <sheetView zoomScaleNormal="100" workbookViewId="0">
      <selection activeCell="A4" sqref="A4:A6"/>
    </sheetView>
  </sheetViews>
  <sheetFormatPr baseColWidth="10" defaultRowHeight="13.2" x14ac:dyDescent="0.25"/>
  <cols>
    <col min="1" max="1" width="29.5546875" customWidth="1"/>
    <col min="2" max="6" width="14.109375" customWidth="1"/>
    <col min="7" max="7" width="10.33203125" customWidth="1"/>
  </cols>
  <sheetData>
    <row r="2" spans="1:9" ht="32.25" customHeight="1" x14ac:dyDescent="0.25">
      <c r="A2" s="234" t="s">
        <v>2973</v>
      </c>
      <c r="B2" s="234"/>
      <c r="C2" s="234"/>
      <c r="D2" s="234"/>
      <c r="E2" s="234"/>
      <c r="F2" s="234"/>
      <c r="G2" s="234"/>
    </row>
    <row r="3" spans="1:9" x14ac:dyDescent="0.25">
      <c r="A3" s="893"/>
      <c r="B3" s="1211"/>
      <c r="C3" s="1211"/>
      <c r="D3" s="1211"/>
      <c r="E3" s="1211"/>
      <c r="F3" s="1211"/>
      <c r="G3" s="1211"/>
      <c r="H3" s="1211"/>
      <c r="I3" s="1211"/>
    </row>
    <row r="4" spans="1:9" x14ac:dyDescent="0.25">
      <c r="A4" s="707" t="s">
        <v>2974</v>
      </c>
      <c r="B4" s="768" t="s">
        <v>2975</v>
      </c>
      <c r="C4" s="852"/>
      <c r="D4" s="852"/>
      <c r="E4" s="852"/>
      <c r="F4" s="852"/>
      <c r="G4" s="769"/>
      <c r="H4" s="141"/>
      <c r="I4" s="141"/>
    </row>
    <row r="5" spans="1:9" ht="12.75" customHeight="1" x14ac:dyDescent="0.25">
      <c r="A5" s="709"/>
      <c r="B5" s="114" t="s">
        <v>2960</v>
      </c>
      <c r="C5" s="793" t="s">
        <v>2976</v>
      </c>
      <c r="D5" s="793"/>
      <c r="E5" s="793"/>
      <c r="F5" s="793"/>
      <c r="G5" s="793"/>
      <c r="H5" s="141"/>
      <c r="I5" s="141"/>
    </row>
    <row r="6" spans="1:9" ht="21.75" customHeight="1" x14ac:dyDescent="0.25">
      <c r="A6" s="710"/>
      <c r="B6" s="115"/>
      <c r="C6" s="454" t="s">
        <v>2962</v>
      </c>
      <c r="D6" s="454" t="s">
        <v>2963</v>
      </c>
      <c r="E6" s="454" t="s">
        <v>2964</v>
      </c>
      <c r="F6" s="454" t="s">
        <v>2965</v>
      </c>
      <c r="G6" s="454" t="s">
        <v>2977</v>
      </c>
      <c r="H6" s="141"/>
      <c r="I6" s="141"/>
    </row>
    <row r="7" spans="1:9" x14ac:dyDescent="0.25">
      <c r="A7" s="706" t="s">
        <v>2978</v>
      </c>
      <c r="B7" s="131"/>
      <c r="C7" s="131"/>
      <c r="D7" s="131"/>
      <c r="E7" s="131"/>
      <c r="F7" s="131"/>
      <c r="G7" s="131"/>
      <c r="H7" s="141"/>
      <c r="I7" s="141"/>
    </row>
    <row r="8" spans="1:9" x14ac:dyDescent="0.25">
      <c r="A8" s="141" t="s">
        <v>2979</v>
      </c>
      <c r="B8" s="1196">
        <v>1497</v>
      </c>
      <c r="C8" s="811">
        <v>45</v>
      </c>
      <c r="D8" s="811">
        <v>198</v>
      </c>
      <c r="E8" s="811">
        <v>101</v>
      </c>
      <c r="F8" s="811">
        <v>1153</v>
      </c>
      <c r="G8" s="811">
        <v>0</v>
      </c>
      <c r="H8" s="141"/>
      <c r="I8" s="141"/>
    </row>
    <row r="9" spans="1:9" x14ac:dyDescent="0.25">
      <c r="A9" s="141" t="s">
        <v>2980</v>
      </c>
      <c r="B9" s="1196">
        <v>1497</v>
      </c>
      <c r="C9" s="811">
        <v>44</v>
      </c>
      <c r="D9" s="811">
        <v>185</v>
      </c>
      <c r="E9" s="811">
        <v>105</v>
      </c>
      <c r="F9" s="811">
        <v>1162</v>
      </c>
      <c r="G9" s="811">
        <v>1</v>
      </c>
      <c r="H9" s="141"/>
      <c r="I9" s="141"/>
    </row>
    <row r="10" spans="1:9" x14ac:dyDescent="0.25">
      <c r="A10" s="141" t="s">
        <v>2981</v>
      </c>
      <c r="B10" s="1196">
        <v>1497</v>
      </c>
      <c r="C10" s="811">
        <v>56</v>
      </c>
      <c r="D10" s="811">
        <v>187</v>
      </c>
      <c r="E10" s="811">
        <v>89</v>
      </c>
      <c r="F10" s="811">
        <v>1157</v>
      </c>
      <c r="G10" s="811">
        <v>8</v>
      </c>
      <c r="H10" s="141"/>
      <c r="I10" s="141"/>
    </row>
    <row r="11" spans="1:9" x14ac:dyDescent="0.25">
      <c r="A11" s="706" t="s">
        <v>2937</v>
      </c>
      <c r="B11" s="131"/>
      <c r="C11" s="131"/>
      <c r="D11" s="131"/>
      <c r="E11" s="131"/>
      <c r="F11" s="131"/>
      <c r="G11" s="131"/>
      <c r="H11" s="141"/>
      <c r="I11" s="141"/>
    </row>
    <row r="12" spans="1:9" x14ac:dyDescent="0.25">
      <c r="A12" s="133" t="s">
        <v>2979</v>
      </c>
      <c r="B12" s="1196">
        <v>119</v>
      </c>
      <c r="C12" s="1208">
        <v>5</v>
      </c>
      <c r="D12" s="1208">
        <v>34</v>
      </c>
      <c r="E12" s="1208">
        <v>11</v>
      </c>
      <c r="F12" s="1208">
        <v>69</v>
      </c>
      <c r="G12" s="1208">
        <v>0</v>
      </c>
      <c r="H12" s="141"/>
      <c r="I12" s="141"/>
    </row>
    <row r="13" spans="1:9" x14ac:dyDescent="0.25">
      <c r="A13" s="133" t="s">
        <v>2980</v>
      </c>
      <c r="B13" s="1196">
        <v>119</v>
      </c>
      <c r="C13" s="1208">
        <v>6</v>
      </c>
      <c r="D13" s="1208">
        <v>32</v>
      </c>
      <c r="E13" s="1208">
        <v>11</v>
      </c>
      <c r="F13" s="1208">
        <v>70</v>
      </c>
      <c r="G13" s="1208">
        <v>0</v>
      </c>
      <c r="H13" s="141"/>
      <c r="I13" s="141"/>
    </row>
    <row r="14" spans="1:9" x14ac:dyDescent="0.25">
      <c r="A14" s="133" t="s">
        <v>2981</v>
      </c>
      <c r="B14" s="1196">
        <v>119</v>
      </c>
      <c r="C14" s="1208">
        <v>7</v>
      </c>
      <c r="D14" s="1208">
        <v>32</v>
      </c>
      <c r="E14" s="1208">
        <v>9</v>
      </c>
      <c r="F14" s="1208">
        <v>71</v>
      </c>
      <c r="G14" s="1208">
        <v>0</v>
      </c>
      <c r="H14" s="141"/>
      <c r="I14" s="141"/>
    </row>
    <row r="15" spans="1:9" x14ac:dyDescent="0.25">
      <c r="A15" s="706" t="s">
        <v>2938</v>
      </c>
      <c r="B15" s="131"/>
      <c r="C15" s="131"/>
      <c r="D15" s="131"/>
      <c r="E15" s="131"/>
      <c r="F15" s="131"/>
      <c r="G15" s="131"/>
      <c r="H15" s="141"/>
      <c r="I15" s="141"/>
    </row>
    <row r="16" spans="1:9" x14ac:dyDescent="0.25">
      <c r="A16" s="133" t="s">
        <v>2979</v>
      </c>
      <c r="B16" s="1196">
        <v>1201</v>
      </c>
      <c r="C16" s="1208">
        <v>16</v>
      </c>
      <c r="D16" s="1208">
        <v>122</v>
      </c>
      <c r="E16" s="1208">
        <v>79</v>
      </c>
      <c r="F16" s="1208">
        <v>984</v>
      </c>
      <c r="G16" s="1208">
        <v>0</v>
      </c>
      <c r="H16" s="141"/>
      <c r="I16" s="141"/>
    </row>
    <row r="17" spans="1:9" x14ac:dyDescent="0.25">
      <c r="A17" s="133" t="s">
        <v>2980</v>
      </c>
      <c r="B17" s="1196">
        <v>1201</v>
      </c>
      <c r="C17" s="1208">
        <v>15</v>
      </c>
      <c r="D17" s="1208">
        <v>117</v>
      </c>
      <c r="E17" s="1208">
        <v>81</v>
      </c>
      <c r="F17" s="1208">
        <v>987</v>
      </c>
      <c r="G17" s="1208">
        <v>1</v>
      </c>
      <c r="H17" s="141"/>
      <c r="I17" s="141"/>
    </row>
    <row r="18" spans="1:9" x14ac:dyDescent="0.25">
      <c r="A18" s="133" t="s">
        <v>2981</v>
      </c>
      <c r="B18" s="1196">
        <v>1201</v>
      </c>
      <c r="C18" s="1208">
        <v>22</v>
      </c>
      <c r="D18" s="1208">
        <v>121</v>
      </c>
      <c r="E18" s="1208">
        <v>70</v>
      </c>
      <c r="F18" s="1208">
        <v>984</v>
      </c>
      <c r="G18" s="1208">
        <v>4</v>
      </c>
      <c r="H18" s="141"/>
      <c r="I18" s="141"/>
    </row>
    <row r="19" spans="1:9" x14ac:dyDescent="0.25">
      <c r="A19" s="706" t="s">
        <v>2982</v>
      </c>
      <c r="B19" s="131"/>
      <c r="C19" s="1213"/>
      <c r="D19" s="1213"/>
      <c r="E19" s="1213"/>
      <c r="F19" s="1213"/>
      <c r="G19" s="1213"/>
      <c r="H19" s="141"/>
      <c r="I19" s="141"/>
    </row>
    <row r="20" spans="1:9" x14ac:dyDescent="0.25">
      <c r="A20" s="133" t="s">
        <v>2979</v>
      </c>
      <c r="B20" s="1196">
        <v>177</v>
      </c>
      <c r="C20" s="1208">
        <v>24</v>
      </c>
      <c r="D20" s="1208">
        <v>42</v>
      </c>
      <c r="E20" s="1208">
        <v>11</v>
      </c>
      <c r="F20" s="1208">
        <v>100</v>
      </c>
      <c r="G20" s="1208">
        <v>0</v>
      </c>
      <c r="H20" s="141"/>
      <c r="I20" s="141"/>
    </row>
    <row r="21" spans="1:9" x14ac:dyDescent="0.25">
      <c r="A21" s="133" t="s">
        <v>2980</v>
      </c>
      <c r="B21" s="1196">
        <v>177</v>
      </c>
      <c r="C21" s="1208">
        <v>23</v>
      </c>
      <c r="D21" s="1208">
        <v>36</v>
      </c>
      <c r="E21" s="1208">
        <v>13</v>
      </c>
      <c r="F21" s="1208">
        <v>105</v>
      </c>
      <c r="G21" s="1208">
        <v>0</v>
      </c>
      <c r="H21" s="141"/>
      <c r="I21" s="141"/>
    </row>
    <row r="22" spans="1:9" x14ac:dyDescent="0.25">
      <c r="A22" s="133" t="s">
        <v>2981</v>
      </c>
      <c r="B22" s="1196">
        <v>177</v>
      </c>
      <c r="C22" s="1208">
        <v>27</v>
      </c>
      <c r="D22" s="1208">
        <v>34</v>
      </c>
      <c r="E22" s="1208">
        <v>10</v>
      </c>
      <c r="F22" s="1208">
        <v>102</v>
      </c>
      <c r="G22" s="1208">
        <v>4</v>
      </c>
      <c r="H22" s="141"/>
      <c r="I22" s="141"/>
    </row>
    <row r="23" spans="1:9" x14ac:dyDescent="0.25">
      <c r="A23" s="706"/>
      <c r="B23" s="141"/>
      <c r="C23" s="1213"/>
      <c r="D23" s="1213"/>
      <c r="E23" s="1213"/>
      <c r="F23" s="1213"/>
      <c r="G23" s="1213"/>
      <c r="H23" s="141"/>
      <c r="I23" s="141"/>
    </row>
    <row r="24" spans="1:9" ht="28.5" customHeight="1" x14ac:dyDescent="0.25">
      <c r="A24" s="1201" t="s">
        <v>2951</v>
      </c>
      <c r="B24" s="1201"/>
      <c r="C24" s="1201"/>
      <c r="D24" s="1201"/>
      <c r="E24" s="1201"/>
      <c r="F24" s="1201"/>
      <c r="G24" s="1201"/>
      <c r="H24" s="141"/>
      <c r="I24" s="141"/>
    </row>
    <row r="25" spans="1:9" ht="24.75" customHeight="1" x14ac:dyDescent="0.25">
      <c r="A25" s="1167" t="s">
        <v>2931</v>
      </c>
      <c r="B25" s="1167"/>
      <c r="C25" s="1167"/>
      <c r="D25" s="1167"/>
      <c r="E25" s="1167"/>
      <c r="F25" s="1167"/>
      <c r="G25" s="1167"/>
      <c r="H25" s="722"/>
      <c r="I25" s="722"/>
    </row>
    <row r="26" spans="1:9" x14ac:dyDescent="0.25">
      <c r="A26" s="734" t="s">
        <v>2932</v>
      </c>
      <c r="B26" s="734"/>
      <c r="C26" s="734"/>
      <c r="D26" s="734"/>
      <c r="E26" s="734"/>
      <c r="F26" s="734"/>
      <c r="G26" s="734"/>
      <c r="H26" s="141"/>
      <c r="I26" s="141"/>
    </row>
    <row r="27" spans="1:9" ht="34.5" customHeight="1" x14ac:dyDescent="0.25">
      <c r="A27" s="462" t="s">
        <v>2983</v>
      </c>
      <c r="B27" s="462"/>
      <c r="C27" s="462"/>
      <c r="D27" s="462"/>
      <c r="E27" s="462"/>
      <c r="F27" s="462"/>
      <c r="G27" s="462"/>
      <c r="H27" s="141"/>
      <c r="I27" s="141"/>
    </row>
    <row r="28" spans="1:9" x14ac:dyDescent="0.25">
      <c r="A28" s="734" t="s">
        <v>2984</v>
      </c>
      <c r="B28" s="734"/>
      <c r="C28" s="734"/>
      <c r="D28" s="734"/>
      <c r="E28" s="734"/>
      <c r="F28" s="734"/>
      <c r="G28" s="734"/>
      <c r="H28" s="141"/>
      <c r="I28" s="141"/>
    </row>
    <row r="29" spans="1:9" ht="27" customHeight="1" x14ac:dyDescent="0.25">
      <c r="A29" s="462" t="s">
        <v>2985</v>
      </c>
      <c r="B29" s="462"/>
      <c r="C29" s="462"/>
      <c r="D29" s="462"/>
      <c r="E29" s="462"/>
      <c r="F29" s="462"/>
      <c r="G29" s="462"/>
      <c r="H29" s="141"/>
      <c r="I29" s="141"/>
    </row>
    <row r="30" spans="1:9" x14ac:dyDescent="0.25">
      <c r="A30" s="1212" t="s">
        <v>2935</v>
      </c>
      <c r="B30" s="722"/>
      <c r="C30" s="722"/>
      <c r="D30" s="722"/>
      <c r="E30" s="722"/>
      <c r="F30" s="722"/>
      <c r="G30" s="722"/>
      <c r="H30" s="722"/>
      <c r="I30" s="722"/>
    </row>
    <row r="31" spans="1:9" x14ac:dyDescent="0.25">
      <c r="A31" s="715" t="s">
        <v>2936</v>
      </c>
      <c r="B31" s="715"/>
      <c r="C31" s="715"/>
      <c r="D31" s="715"/>
      <c r="E31" s="715"/>
      <c r="F31" s="715"/>
      <c r="G31" s="715"/>
      <c r="H31" s="722"/>
      <c r="I31" s="722"/>
    </row>
  </sheetData>
  <mergeCells count="12">
    <mergeCell ref="A25:G25"/>
    <mergeCell ref="A26:G26"/>
    <mergeCell ref="A27:G27"/>
    <mergeCell ref="A28:G28"/>
    <mergeCell ref="A29:G29"/>
    <mergeCell ref="A31:G31"/>
    <mergeCell ref="A2:G2"/>
    <mergeCell ref="A4:A6"/>
    <mergeCell ref="B4:G4"/>
    <mergeCell ref="B5:B6"/>
    <mergeCell ref="C5:G5"/>
    <mergeCell ref="A24:G24"/>
  </mergeCells>
  <pageMargins left="0.70866141732283472" right="0.70866141732283472" top="0.74803149606299213" bottom="0.74803149606299213" header="0.31496062992125984" footer="0.31496062992125984"/>
  <pageSetup paperSize="14" orientation="landscape" r:id="rId1"/>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AF704-28F9-49A7-908E-33B7B3ABE1B3}">
  <sheetPr codeName="Hoja235"/>
  <dimension ref="A2:J32"/>
  <sheetViews>
    <sheetView zoomScaleNormal="100" workbookViewId="0">
      <selection activeCell="A4" sqref="A4:A6"/>
    </sheetView>
  </sheetViews>
  <sheetFormatPr baseColWidth="10" defaultRowHeight="13.2" x14ac:dyDescent="0.25"/>
  <cols>
    <col min="1" max="1" width="28.109375" customWidth="1"/>
  </cols>
  <sheetData>
    <row r="2" spans="1:10" ht="28.5" customHeight="1" x14ac:dyDescent="0.25">
      <c r="A2" s="234" t="s">
        <v>2986</v>
      </c>
      <c r="B2" s="234"/>
      <c r="C2" s="234"/>
      <c r="D2" s="234"/>
      <c r="E2" s="234"/>
      <c r="F2" s="234"/>
      <c r="G2" s="234"/>
    </row>
    <row r="3" spans="1:10" x14ac:dyDescent="0.25">
      <c r="A3" s="893"/>
      <c r="B3" s="1211"/>
      <c r="C3" s="1211"/>
      <c r="D3" s="1211"/>
      <c r="E3" s="1211"/>
      <c r="F3" s="1211"/>
      <c r="G3" s="1211"/>
      <c r="H3" s="1211"/>
      <c r="I3" s="1211"/>
      <c r="J3" s="1211"/>
    </row>
    <row r="4" spans="1:10" x14ac:dyDescent="0.25">
      <c r="A4" s="707" t="s">
        <v>2974</v>
      </c>
      <c r="B4" s="768" t="s">
        <v>2987</v>
      </c>
      <c r="C4" s="852"/>
      <c r="D4" s="852"/>
      <c r="E4" s="852"/>
      <c r="F4" s="852"/>
      <c r="G4" s="769"/>
      <c r="H4" s="141"/>
      <c r="I4" s="141"/>
      <c r="J4" s="141"/>
    </row>
    <row r="5" spans="1:10" ht="12.75" customHeight="1" x14ac:dyDescent="0.25">
      <c r="A5" s="709"/>
      <c r="B5" s="114" t="s">
        <v>2988</v>
      </c>
      <c r="C5" s="793" t="s">
        <v>2976</v>
      </c>
      <c r="D5" s="793"/>
      <c r="E5" s="793"/>
      <c r="F5" s="793"/>
      <c r="G5" s="793"/>
      <c r="H5" s="141"/>
      <c r="I5" s="141"/>
      <c r="J5" s="141"/>
    </row>
    <row r="6" spans="1:10" ht="30" customHeight="1" x14ac:dyDescent="0.25">
      <c r="A6" s="710"/>
      <c r="B6" s="115"/>
      <c r="C6" s="454" t="s">
        <v>2962</v>
      </c>
      <c r="D6" s="454" t="s">
        <v>2989</v>
      </c>
      <c r="E6" s="454" t="s">
        <v>2964</v>
      </c>
      <c r="F6" s="454" t="s">
        <v>2965</v>
      </c>
      <c r="G6" s="454" t="s">
        <v>2977</v>
      </c>
      <c r="H6" s="141"/>
      <c r="I6" s="141"/>
      <c r="J6" s="141"/>
    </row>
    <row r="7" spans="1:10" x14ac:dyDescent="0.25">
      <c r="A7" s="706" t="s">
        <v>2978</v>
      </c>
      <c r="B7" s="141"/>
      <c r="C7" s="141"/>
      <c r="D7" s="141"/>
      <c r="E7" s="141"/>
      <c r="F7" s="141"/>
      <c r="G7" s="141"/>
      <c r="H7" s="141"/>
      <c r="I7" s="141"/>
      <c r="J7" s="141"/>
    </row>
    <row r="8" spans="1:10" x14ac:dyDescent="0.25">
      <c r="A8" s="141" t="s">
        <v>2979</v>
      </c>
      <c r="B8" s="1214">
        <v>100</v>
      </c>
      <c r="C8" s="1215">
        <v>3.0060120240480961</v>
      </c>
      <c r="D8" s="1215">
        <v>13.226452905811623</v>
      </c>
      <c r="E8" s="1215">
        <v>6.7468269873079496</v>
      </c>
      <c r="F8" s="1215">
        <v>77.020708082832329</v>
      </c>
      <c r="G8" s="1215">
        <v>0</v>
      </c>
      <c r="H8" s="141"/>
      <c r="I8" s="141"/>
      <c r="J8" s="141"/>
    </row>
    <row r="9" spans="1:10" x14ac:dyDescent="0.25">
      <c r="A9" s="141" t="s">
        <v>2980</v>
      </c>
      <c r="B9" s="1214">
        <v>100</v>
      </c>
      <c r="C9" s="1215">
        <v>2.9392117568470275</v>
      </c>
      <c r="D9" s="1215">
        <v>12.358049432197729</v>
      </c>
      <c r="E9" s="1215">
        <v>7.0140280561122248</v>
      </c>
      <c r="F9" s="1215">
        <v>77.621910487641955</v>
      </c>
      <c r="G9" s="1215">
        <v>6.6800267201068811E-2</v>
      </c>
      <c r="H9" s="141"/>
      <c r="I9" s="141"/>
      <c r="J9" s="141"/>
    </row>
    <row r="10" spans="1:10" x14ac:dyDescent="0.25">
      <c r="A10" s="141" t="s">
        <v>2981</v>
      </c>
      <c r="B10" s="1214">
        <v>100</v>
      </c>
      <c r="C10" s="1215">
        <v>3.7408149632598531</v>
      </c>
      <c r="D10" s="1215">
        <v>12.491649966599866</v>
      </c>
      <c r="E10" s="1215">
        <v>5.945223780895124</v>
      </c>
      <c r="F10" s="1215">
        <v>77.287909151636597</v>
      </c>
      <c r="G10" s="1215">
        <v>0.53440213760855049</v>
      </c>
      <c r="H10" s="141"/>
      <c r="I10" s="141"/>
      <c r="J10" s="141"/>
    </row>
    <row r="11" spans="1:10" x14ac:dyDescent="0.25">
      <c r="A11" s="706" t="s">
        <v>2937</v>
      </c>
      <c r="B11" s="459"/>
      <c r="C11" s="459"/>
      <c r="D11" s="459"/>
      <c r="E11" s="459"/>
      <c r="F11" s="459"/>
      <c r="G11" s="459"/>
      <c r="H11" s="141"/>
      <c r="I11" s="141"/>
      <c r="J11" s="141"/>
    </row>
    <row r="12" spans="1:10" x14ac:dyDescent="0.25">
      <c r="A12" s="141" t="s">
        <v>2979</v>
      </c>
      <c r="B12" s="1214">
        <v>100</v>
      </c>
      <c r="C12" s="1215">
        <v>4.2016806722689077</v>
      </c>
      <c r="D12" s="1215">
        <v>28.571428571428569</v>
      </c>
      <c r="E12" s="1215">
        <v>9.2436974789915975</v>
      </c>
      <c r="F12" s="1215">
        <v>57.983193277310932</v>
      </c>
      <c r="G12" s="1215">
        <v>0</v>
      </c>
      <c r="H12" s="141"/>
      <c r="I12" s="141"/>
      <c r="J12" s="141"/>
    </row>
    <row r="13" spans="1:10" x14ac:dyDescent="0.25">
      <c r="A13" s="141" t="s">
        <v>2980</v>
      </c>
      <c r="B13" s="1214">
        <v>100</v>
      </c>
      <c r="C13" s="1215">
        <v>5.0420168067226889</v>
      </c>
      <c r="D13" s="1215">
        <v>26.890756302521009</v>
      </c>
      <c r="E13" s="1215">
        <v>9.2436974789915975</v>
      </c>
      <c r="F13" s="1215">
        <v>58.82352941176471</v>
      </c>
      <c r="G13" s="1215">
        <v>0</v>
      </c>
      <c r="H13" s="141"/>
      <c r="I13" s="141"/>
      <c r="J13" s="141"/>
    </row>
    <row r="14" spans="1:10" x14ac:dyDescent="0.25">
      <c r="A14" s="141" t="s">
        <v>2981</v>
      </c>
      <c r="B14" s="1214">
        <v>100</v>
      </c>
      <c r="C14" s="1215">
        <v>5.8823529411764701</v>
      </c>
      <c r="D14" s="1215">
        <v>26.890756302521009</v>
      </c>
      <c r="E14" s="1215">
        <v>7.5630252100840334</v>
      </c>
      <c r="F14" s="1215">
        <v>59.663865546218489</v>
      </c>
      <c r="G14" s="1215">
        <v>0</v>
      </c>
      <c r="H14" s="141"/>
      <c r="I14" s="141"/>
      <c r="J14" s="141"/>
    </row>
    <row r="15" spans="1:10" x14ac:dyDescent="0.25">
      <c r="A15" s="706" t="s">
        <v>2938</v>
      </c>
      <c r="B15" s="459"/>
      <c r="C15" s="459"/>
      <c r="D15" s="459"/>
      <c r="E15" s="459"/>
      <c r="F15" s="459"/>
      <c r="G15" s="459"/>
      <c r="H15" s="141"/>
      <c r="I15" s="141"/>
      <c r="J15" s="141"/>
    </row>
    <row r="16" spans="1:10" x14ac:dyDescent="0.25">
      <c r="A16" s="141" t="s">
        <v>2979</v>
      </c>
      <c r="B16" s="1214">
        <v>100</v>
      </c>
      <c r="C16" s="1215">
        <v>1.3322231473771857</v>
      </c>
      <c r="D16" s="1215">
        <v>10.158201498751041</v>
      </c>
      <c r="E16" s="1215">
        <v>6.5778517901748543</v>
      </c>
      <c r="F16" s="1215">
        <v>81.93172356369692</v>
      </c>
      <c r="G16" s="1215" t="s">
        <v>1224</v>
      </c>
      <c r="H16" s="141"/>
      <c r="I16" s="141"/>
      <c r="J16" s="141"/>
    </row>
    <row r="17" spans="1:10" x14ac:dyDescent="0.25">
      <c r="A17" s="141" t="s">
        <v>2980</v>
      </c>
      <c r="B17" s="1214">
        <v>100</v>
      </c>
      <c r="C17" s="1215">
        <v>1.2489592006661114</v>
      </c>
      <c r="D17" s="1215">
        <v>9.7418817651956697</v>
      </c>
      <c r="E17" s="1215">
        <v>6.7443796835970033</v>
      </c>
      <c r="F17" s="1215">
        <v>82.181515403830147</v>
      </c>
      <c r="G17" s="1215">
        <v>8.3263946711074108E-2</v>
      </c>
      <c r="H17" s="141"/>
      <c r="I17" s="141"/>
      <c r="J17" s="141"/>
    </row>
    <row r="18" spans="1:10" x14ac:dyDescent="0.25">
      <c r="A18" s="141" t="s">
        <v>2981</v>
      </c>
      <c r="B18" s="1214">
        <v>100</v>
      </c>
      <c r="C18" s="1215">
        <v>1.8318068276436303</v>
      </c>
      <c r="D18" s="1215">
        <v>10.074937552039968</v>
      </c>
      <c r="E18" s="1215">
        <v>5.8284762697751873</v>
      </c>
      <c r="F18" s="1215">
        <v>81.93172356369692</v>
      </c>
      <c r="G18" s="1215">
        <v>0.33305578684429643</v>
      </c>
      <c r="H18" s="141"/>
      <c r="I18" s="141"/>
      <c r="J18" s="141"/>
    </row>
    <row r="19" spans="1:10" x14ac:dyDescent="0.25">
      <c r="A19" s="706" t="s">
        <v>2926</v>
      </c>
      <c r="B19" s="459"/>
      <c r="C19" s="459"/>
      <c r="D19" s="459"/>
      <c r="E19" s="459"/>
      <c r="F19" s="459"/>
      <c r="G19" s="459"/>
      <c r="H19" s="141"/>
      <c r="I19" s="141"/>
      <c r="J19" s="141"/>
    </row>
    <row r="20" spans="1:10" x14ac:dyDescent="0.25">
      <c r="A20" s="141" t="s">
        <v>2979</v>
      </c>
      <c r="B20" s="1214">
        <v>100</v>
      </c>
      <c r="C20" s="1215">
        <v>13.559322033898304</v>
      </c>
      <c r="D20" s="1215">
        <v>23.728813559322035</v>
      </c>
      <c r="E20" s="1215">
        <v>6.2146892655367232</v>
      </c>
      <c r="F20" s="1215">
        <v>56.497175141242941</v>
      </c>
      <c r="G20" s="1215" t="s">
        <v>1224</v>
      </c>
      <c r="H20" s="141"/>
      <c r="I20" s="141"/>
      <c r="J20" s="141"/>
    </row>
    <row r="21" spans="1:10" x14ac:dyDescent="0.25">
      <c r="A21" s="141" t="s">
        <v>2980</v>
      </c>
      <c r="B21" s="1214">
        <v>100</v>
      </c>
      <c r="C21" s="1215">
        <v>12.994350282485875</v>
      </c>
      <c r="D21" s="1215">
        <v>20.33898305084746</v>
      </c>
      <c r="E21" s="1215">
        <v>7.3446327683615822</v>
      </c>
      <c r="F21" s="1215">
        <v>59.322033898305079</v>
      </c>
      <c r="G21" s="1215">
        <v>0</v>
      </c>
      <c r="H21" s="141"/>
      <c r="I21" s="141"/>
      <c r="J21" s="141"/>
    </row>
    <row r="22" spans="1:10" x14ac:dyDescent="0.25">
      <c r="A22" s="141" t="s">
        <v>2981</v>
      </c>
      <c r="B22" s="1214">
        <v>100</v>
      </c>
      <c r="C22" s="1215">
        <v>15.254237288135593</v>
      </c>
      <c r="D22" s="1215">
        <v>19.209039548022599</v>
      </c>
      <c r="E22" s="1215">
        <v>5.6497175141242941</v>
      </c>
      <c r="F22" s="1215">
        <v>57.627118644067799</v>
      </c>
      <c r="G22" s="1215">
        <v>2.2598870056497176</v>
      </c>
      <c r="H22" s="141"/>
      <c r="I22" s="141"/>
      <c r="J22" s="141"/>
    </row>
    <row r="23" spans="1:10" x14ac:dyDescent="0.25">
      <c r="A23" s="141"/>
      <c r="B23" s="1214"/>
      <c r="C23" s="1215"/>
      <c r="D23" s="1215"/>
      <c r="E23" s="1215"/>
      <c r="F23" s="1215"/>
      <c r="G23" s="1215"/>
      <c r="H23" s="141"/>
      <c r="I23" s="141"/>
      <c r="J23" s="141"/>
    </row>
    <row r="24" spans="1:10" ht="24.75" customHeight="1" x14ac:dyDescent="0.25">
      <c r="A24" s="1183" t="s">
        <v>2969</v>
      </c>
      <c r="B24" s="1183"/>
      <c r="C24" s="1183"/>
      <c r="D24" s="1183"/>
      <c r="E24" s="1183"/>
      <c r="F24" s="1183"/>
      <c r="G24" s="1183"/>
      <c r="H24" s="141"/>
      <c r="I24" s="141"/>
      <c r="J24" s="141"/>
    </row>
    <row r="25" spans="1:10" ht="24" customHeight="1" x14ac:dyDescent="0.25">
      <c r="A25" s="462" t="s">
        <v>2990</v>
      </c>
      <c r="B25" s="462"/>
      <c r="C25" s="462"/>
      <c r="D25" s="462"/>
      <c r="E25" s="462"/>
      <c r="F25" s="462"/>
      <c r="G25" s="462"/>
      <c r="H25" s="141"/>
      <c r="I25" s="141"/>
      <c r="J25" s="141"/>
    </row>
    <row r="26" spans="1:10" ht="36.75" customHeight="1" x14ac:dyDescent="0.25">
      <c r="A26" s="462" t="s">
        <v>2991</v>
      </c>
      <c r="B26" s="462"/>
      <c r="C26" s="462"/>
      <c r="D26" s="462"/>
      <c r="E26" s="462"/>
      <c r="F26" s="462"/>
      <c r="G26" s="462"/>
      <c r="H26" s="141"/>
      <c r="I26" s="141"/>
      <c r="J26" s="141"/>
    </row>
    <row r="27" spans="1:10" ht="26.25" customHeight="1" x14ac:dyDescent="0.25">
      <c r="A27" s="462" t="s">
        <v>2992</v>
      </c>
      <c r="B27" s="462"/>
      <c r="C27" s="462"/>
      <c r="D27" s="462"/>
      <c r="E27" s="462"/>
      <c r="F27" s="462"/>
      <c r="G27" s="462"/>
      <c r="H27" s="141"/>
      <c r="I27" s="141"/>
      <c r="J27" s="141"/>
    </row>
    <row r="28" spans="1:10" x14ac:dyDescent="0.25">
      <c r="A28" s="462" t="s">
        <v>2993</v>
      </c>
      <c r="B28" s="462"/>
      <c r="C28" s="462"/>
      <c r="D28" s="462"/>
      <c r="E28" s="462"/>
      <c r="F28" s="462"/>
      <c r="G28" s="462"/>
      <c r="H28" s="141"/>
      <c r="I28" s="141"/>
      <c r="J28" s="141"/>
    </row>
    <row r="29" spans="1:10" x14ac:dyDescent="0.25">
      <c r="A29" s="462" t="s">
        <v>2994</v>
      </c>
      <c r="B29" s="462"/>
      <c r="C29" s="462"/>
      <c r="D29" s="462"/>
      <c r="E29" s="462"/>
      <c r="F29" s="462"/>
      <c r="G29" s="462"/>
      <c r="H29" s="141"/>
      <c r="I29" s="141"/>
      <c r="J29" s="141"/>
    </row>
    <row r="30" spans="1:10" ht="45.75" customHeight="1" x14ac:dyDescent="0.25">
      <c r="A30" s="462" t="s">
        <v>2995</v>
      </c>
      <c r="B30" s="462"/>
      <c r="C30" s="462"/>
      <c r="D30" s="462"/>
      <c r="E30" s="462"/>
      <c r="F30" s="462"/>
      <c r="G30" s="462"/>
      <c r="H30" s="141"/>
      <c r="I30" s="141"/>
      <c r="J30" s="141"/>
    </row>
    <row r="31" spans="1:10" x14ac:dyDescent="0.25">
      <c r="A31" s="1212" t="s">
        <v>2935</v>
      </c>
      <c r="B31" s="899"/>
      <c r="C31" s="899"/>
      <c r="D31" s="722"/>
      <c r="E31" s="722"/>
      <c r="F31" s="722"/>
      <c r="G31" s="722"/>
      <c r="H31" s="722"/>
      <c r="I31" s="722"/>
      <c r="J31" s="722"/>
    </row>
    <row r="32" spans="1:10" x14ac:dyDescent="0.25">
      <c r="A32" s="715" t="s">
        <v>2936</v>
      </c>
      <c r="B32" s="715"/>
      <c r="C32" s="715"/>
      <c r="D32" s="715"/>
      <c r="E32" s="715"/>
      <c r="F32" s="715"/>
      <c r="G32" s="715"/>
      <c r="H32" s="141"/>
      <c r="I32" s="141"/>
      <c r="J32" s="141"/>
    </row>
  </sheetData>
  <mergeCells count="13">
    <mergeCell ref="A32:G32"/>
    <mergeCell ref="A25:G25"/>
    <mergeCell ref="A26:G26"/>
    <mergeCell ref="A27:G27"/>
    <mergeCell ref="A28:G28"/>
    <mergeCell ref="A29:G29"/>
    <mergeCell ref="A30:G30"/>
    <mergeCell ref="A2:G2"/>
    <mergeCell ref="A4:A6"/>
    <mergeCell ref="B4:G4"/>
    <mergeCell ref="B5:B6"/>
    <mergeCell ref="C5:G5"/>
    <mergeCell ref="A24:G24"/>
  </mergeCells>
  <pageMargins left="0.70866141732283472" right="0.70866141732283472" top="0.74803149606299213" bottom="0.74803149606299213" header="0.31496062992125984" footer="0.31496062992125984"/>
  <pageSetup paperSize="14" orientation="landscape" r:id="rId1"/>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4B22D2-313D-4C93-972D-BCF6ED636040}">
  <sheetPr codeName="Hoja236"/>
  <dimension ref="A2:J25"/>
  <sheetViews>
    <sheetView zoomScaleNormal="100" zoomScaleSheetLayoutView="100" workbookViewId="0">
      <selection activeCell="A4" sqref="A4:A6"/>
    </sheetView>
  </sheetViews>
  <sheetFormatPr baseColWidth="10" defaultRowHeight="13.2" x14ac:dyDescent="0.25"/>
  <cols>
    <col min="1" max="1" width="25.6640625" customWidth="1"/>
    <col min="2" max="2" width="16.88671875" customWidth="1"/>
  </cols>
  <sheetData>
    <row r="2" spans="1:10" ht="36.75" customHeight="1" x14ac:dyDescent="0.25">
      <c r="A2" s="234" t="s">
        <v>2996</v>
      </c>
      <c r="B2" s="234"/>
      <c r="C2" s="234"/>
      <c r="D2" s="234"/>
      <c r="E2" s="234"/>
    </row>
    <row r="3" spans="1:10" x14ac:dyDescent="0.25">
      <c r="A3" s="893"/>
      <c r="B3" s="1211"/>
      <c r="C3" s="1211"/>
      <c r="D3" s="1211"/>
      <c r="E3" s="1211"/>
      <c r="F3" s="1211"/>
      <c r="G3" s="1211"/>
      <c r="H3" s="1211"/>
      <c r="I3" s="1211"/>
      <c r="J3" s="1211"/>
    </row>
    <row r="4" spans="1:10" ht="12.75" customHeight="1" x14ac:dyDescent="0.25">
      <c r="A4" s="707" t="s">
        <v>2997</v>
      </c>
      <c r="B4" s="1145" t="s">
        <v>2998</v>
      </c>
      <c r="C4" s="1216"/>
      <c r="D4" s="1216"/>
      <c r="E4" s="1146"/>
      <c r="F4" s="722"/>
      <c r="G4" s="750"/>
      <c r="H4" s="141"/>
      <c r="I4" s="141"/>
      <c r="J4" s="1211"/>
    </row>
    <row r="5" spans="1:10" x14ac:dyDescent="0.25">
      <c r="A5" s="709"/>
      <c r="B5" s="114" t="s">
        <v>3</v>
      </c>
      <c r="C5" s="768" t="s">
        <v>2999</v>
      </c>
      <c r="D5" s="852"/>
      <c r="E5" s="769"/>
      <c r="F5" s="141"/>
      <c r="G5" s="953"/>
      <c r="H5" s="141"/>
      <c r="I5" s="141"/>
      <c r="J5" s="141"/>
    </row>
    <row r="6" spans="1:10" ht="22.2" x14ac:dyDescent="0.25">
      <c r="A6" s="710"/>
      <c r="B6" s="115"/>
      <c r="C6" s="1217" t="s">
        <v>2937</v>
      </c>
      <c r="D6" s="1217" t="s">
        <v>2938</v>
      </c>
      <c r="E6" s="1218" t="s">
        <v>3000</v>
      </c>
      <c r="F6" s="1219"/>
      <c r="G6" s="950"/>
      <c r="H6" s="141"/>
      <c r="I6" s="141"/>
      <c r="J6" s="141"/>
    </row>
    <row r="7" spans="1:10" x14ac:dyDescent="0.25">
      <c r="A7" s="842" t="s">
        <v>3</v>
      </c>
      <c r="B7" s="1220">
        <f>SUM(B8:B19)</f>
        <v>694</v>
      </c>
      <c r="C7" s="1220">
        <f>SUM(C8:C19)</f>
        <v>66</v>
      </c>
      <c r="D7" s="1220">
        <f>SUM(D8:D19)</f>
        <v>477</v>
      </c>
      <c r="E7" s="1220">
        <f>SUM(E8:E19)</f>
        <v>151</v>
      </c>
      <c r="F7" s="1219"/>
      <c r="G7" s="950"/>
      <c r="H7" s="141"/>
      <c r="I7" s="141"/>
      <c r="J7" s="141"/>
    </row>
    <row r="8" spans="1:10" x14ac:dyDescent="0.25">
      <c r="A8" s="722" t="s">
        <v>3001</v>
      </c>
      <c r="B8" s="913">
        <v>91</v>
      </c>
      <c r="C8" s="134">
        <v>16</v>
      </c>
      <c r="D8" s="134">
        <v>61</v>
      </c>
      <c r="E8" s="134">
        <v>14</v>
      </c>
      <c r="F8" s="134"/>
      <c r="G8" s="953"/>
      <c r="H8" s="141"/>
      <c r="I8" s="141"/>
      <c r="J8" s="141"/>
    </row>
    <row r="9" spans="1:10" x14ac:dyDescent="0.25">
      <c r="A9" s="141" t="s">
        <v>3002</v>
      </c>
      <c r="B9" s="913">
        <v>15</v>
      </c>
      <c r="C9" s="134">
        <v>4</v>
      </c>
      <c r="D9" s="134">
        <v>4</v>
      </c>
      <c r="E9" s="134">
        <v>7</v>
      </c>
      <c r="F9" s="134"/>
      <c r="G9" s="953"/>
      <c r="H9" s="141"/>
      <c r="I9" s="141"/>
      <c r="J9" s="141"/>
    </row>
    <row r="10" spans="1:10" x14ac:dyDescent="0.25">
      <c r="A10" s="141" t="s">
        <v>3003</v>
      </c>
      <c r="B10" s="913">
        <v>2</v>
      </c>
      <c r="C10" s="134" t="s">
        <v>1224</v>
      </c>
      <c r="D10" s="134">
        <v>1</v>
      </c>
      <c r="E10" s="134">
        <v>1</v>
      </c>
      <c r="F10" s="134"/>
      <c r="G10" s="953"/>
      <c r="H10" s="141"/>
      <c r="I10" s="141"/>
      <c r="J10" s="141"/>
    </row>
    <row r="11" spans="1:10" x14ac:dyDescent="0.25">
      <c r="A11" s="141" t="s">
        <v>3004</v>
      </c>
      <c r="B11" s="913">
        <v>21</v>
      </c>
      <c r="C11" s="134">
        <v>2</v>
      </c>
      <c r="D11" s="134">
        <v>13</v>
      </c>
      <c r="E11" s="134">
        <v>6</v>
      </c>
      <c r="F11" s="134"/>
      <c r="G11" s="953"/>
      <c r="H11" s="141"/>
      <c r="I11" s="141"/>
      <c r="J11" s="141"/>
    </row>
    <row r="12" spans="1:10" x14ac:dyDescent="0.25">
      <c r="A12" s="141" t="s">
        <v>30</v>
      </c>
      <c r="B12" s="913">
        <v>455</v>
      </c>
      <c r="C12" s="134">
        <v>27</v>
      </c>
      <c r="D12" s="134">
        <v>348</v>
      </c>
      <c r="E12" s="134">
        <v>80</v>
      </c>
      <c r="F12" s="134"/>
      <c r="G12" s="953"/>
      <c r="H12" s="141"/>
      <c r="I12" s="141"/>
      <c r="J12" s="141"/>
    </row>
    <row r="13" spans="1:10" x14ac:dyDescent="0.25">
      <c r="A13" s="141" t="s">
        <v>3005</v>
      </c>
      <c r="B13" s="913">
        <v>4</v>
      </c>
      <c r="C13" s="134">
        <v>2</v>
      </c>
      <c r="D13" s="134">
        <v>1</v>
      </c>
      <c r="E13" s="134">
        <v>1</v>
      </c>
      <c r="F13" s="134"/>
      <c r="G13" s="953"/>
      <c r="H13" s="141"/>
      <c r="I13" s="141"/>
      <c r="J13" s="141"/>
    </row>
    <row r="14" spans="1:10" x14ac:dyDescent="0.25">
      <c r="A14" s="141" t="s">
        <v>3006</v>
      </c>
      <c r="B14" s="913">
        <v>48</v>
      </c>
      <c r="C14" s="134">
        <v>11</v>
      </c>
      <c r="D14" s="134">
        <v>15</v>
      </c>
      <c r="E14" s="134">
        <v>22</v>
      </c>
      <c r="F14" s="134"/>
      <c r="G14" s="953"/>
      <c r="H14" s="141"/>
      <c r="I14" s="141"/>
      <c r="J14" s="141"/>
    </row>
    <row r="15" spans="1:10" x14ac:dyDescent="0.25">
      <c r="A15" s="141" t="s">
        <v>38</v>
      </c>
      <c r="B15" s="913">
        <v>10</v>
      </c>
      <c r="C15" s="134" t="s">
        <v>1224</v>
      </c>
      <c r="D15" s="134">
        <v>10</v>
      </c>
      <c r="E15" s="134" t="s">
        <v>1224</v>
      </c>
      <c r="F15" s="134"/>
      <c r="G15" s="953"/>
      <c r="H15" s="141"/>
      <c r="I15" s="141"/>
      <c r="J15" s="141"/>
    </row>
    <row r="16" spans="1:10" x14ac:dyDescent="0.25">
      <c r="A16" s="141" t="s">
        <v>3007</v>
      </c>
      <c r="B16" s="913">
        <v>12</v>
      </c>
      <c r="C16" s="134" t="s">
        <v>1224</v>
      </c>
      <c r="D16" s="134">
        <v>10</v>
      </c>
      <c r="E16" s="134">
        <v>2</v>
      </c>
      <c r="F16" s="134"/>
      <c r="G16" s="953"/>
      <c r="H16" s="141"/>
      <c r="I16" s="141"/>
      <c r="J16" s="141"/>
    </row>
    <row r="17" spans="1:10" x14ac:dyDescent="0.25">
      <c r="A17" s="141" t="s">
        <v>3008</v>
      </c>
      <c r="B17" s="913">
        <v>35</v>
      </c>
      <c r="C17" s="134">
        <v>4</v>
      </c>
      <c r="D17" s="134">
        <v>13</v>
      </c>
      <c r="E17" s="134">
        <v>18</v>
      </c>
      <c r="F17" s="134"/>
      <c r="G17" s="953"/>
      <c r="H17" s="141"/>
      <c r="I17" s="141"/>
      <c r="J17" s="141"/>
    </row>
    <row r="18" spans="1:10" x14ac:dyDescent="0.25">
      <c r="A18" s="141" t="s">
        <v>3009</v>
      </c>
      <c r="B18" s="913">
        <v>1</v>
      </c>
      <c r="C18" s="134" t="s">
        <v>1224</v>
      </c>
      <c r="D18" s="134">
        <v>1</v>
      </c>
      <c r="E18" s="134" t="s">
        <v>1224</v>
      </c>
      <c r="F18" s="134"/>
      <c r="G18" s="953"/>
      <c r="H18" s="141"/>
      <c r="I18" s="141"/>
      <c r="J18" s="141"/>
    </row>
    <row r="19" spans="1:10" x14ac:dyDescent="0.25">
      <c r="A19" s="141"/>
      <c r="B19" s="913"/>
      <c r="C19" s="134"/>
      <c r="D19" s="134"/>
      <c r="E19" s="134"/>
      <c r="F19" s="134"/>
      <c r="G19" s="950"/>
      <c r="H19" s="141"/>
      <c r="I19" s="141"/>
      <c r="J19" s="141"/>
    </row>
    <row r="20" spans="1:10" x14ac:dyDescent="0.25">
      <c r="A20" s="141"/>
      <c r="B20" s="913"/>
      <c r="C20" s="134"/>
      <c r="D20" s="134"/>
      <c r="E20" s="134"/>
      <c r="F20" s="1221"/>
      <c r="G20" s="950"/>
      <c r="H20" s="141"/>
      <c r="I20" s="141"/>
      <c r="J20" s="141"/>
    </row>
    <row r="21" spans="1:10" ht="33.75" customHeight="1" x14ac:dyDescent="0.25">
      <c r="A21" s="1167" t="s">
        <v>3010</v>
      </c>
      <c r="B21" s="1167"/>
      <c r="C21" s="1167"/>
      <c r="D21" s="1167"/>
      <c r="E21" s="1167"/>
      <c r="F21" s="141"/>
      <c r="G21" s="141"/>
      <c r="H21" s="141"/>
      <c r="I21" s="141"/>
    </row>
    <row r="22" spans="1:10" ht="23.25" customHeight="1" x14ac:dyDescent="0.25">
      <c r="A22" s="1222" t="s">
        <v>3011</v>
      </c>
      <c r="B22" s="1222"/>
      <c r="C22" s="1222"/>
      <c r="D22" s="1222"/>
      <c r="E22" s="1222"/>
      <c r="F22" s="141"/>
      <c r="G22" s="141"/>
      <c r="H22" s="141"/>
      <c r="I22" s="141"/>
      <c r="J22" s="141"/>
    </row>
    <row r="23" spans="1:10" ht="39" customHeight="1" x14ac:dyDescent="0.25">
      <c r="A23" s="462" t="s">
        <v>3012</v>
      </c>
      <c r="B23" s="462"/>
      <c r="C23" s="462"/>
      <c r="D23" s="462"/>
      <c r="E23" s="462"/>
      <c r="F23" s="141"/>
      <c r="G23" s="141"/>
      <c r="H23" s="141"/>
      <c r="I23" s="141"/>
      <c r="J23" s="141"/>
    </row>
    <row r="24" spans="1:10" x14ac:dyDescent="0.25">
      <c r="A24" s="1212" t="s">
        <v>2972</v>
      </c>
      <c r="B24" s="141"/>
      <c r="C24" s="141"/>
      <c r="D24" s="141"/>
      <c r="E24" s="141"/>
      <c r="F24" s="141"/>
      <c r="G24" s="141"/>
      <c r="H24" s="141"/>
      <c r="I24" s="141"/>
    </row>
    <row r="25" spans="1:10" ht="12.75" customHeight="1" x14ac:dyDescent="0.25">
      <c r="A25" s="715" t="s">
        <v>2936</v>
      </c>
      <c r="B25" s="715"/>
      <c r="C25" s="715"/>
      <c r="D25" s="715"/>
      <c r="E25" s="715"/>
      <c r="F25" s="141"/>
      <c r="G25" s="141"/>
      <c r="H25" s="141"/>
      <c r="I25" s="141"/>
    </row>
  </sheetData>
  <mergeCells count="9">
    <mergeCell ref="A22:E22"/>
    <mergeCell ref="A23:E23"/>
    <mergeCell ref="A25:E25"/>
    <mergeCell ref="A2:E2"/>
    <mergeCell ref="A4:A6"/>
    <mergeCell ref="B4:E4"/>
    <mergeCell ref="B5:B6"/>
    <mergeCell ref="C5:E5"/>
    <mergeCell ref="A21:E21"/>
  </mergeCells>
  <pageMargins left="0.70866141732283472" right="0.70866141732283472" top="0.74803149606299213" bottom="0.74803149606299213" header="0.31496062992125984" footer="0.31496062992125984"/>
  <pageSetup paperSize="14" scale="90" orientation="portrait" r:id="rId1"/>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545B3-873A-480E-8E5B-ECB3A766FAEE}">
  <sheetPr codeName="Hoja237"/>
  <dimension ref="A2:T26"/>
  <sheetViews>
    <sheetView workbookViewId="0">
      <selection activeCell="A4" sqref="A4:A6"/>
    </sheetView>
  </sheetViews>
  <sheetFormatPr baseColWidth="10" defaultRowHeight="13.2" x14ac:dyDescent="0.25"/>
  <cols>
    <col min="1" max="1" width="28.33203125" customWidth="1"/>
  </cols>
  <sheetData>
    <row r="2" spans="1:20" ht="33.75" customHeight="1" x14ac:dyDescent="0.25">
      <c r="A2" s="234" t="s">
        <v>3013</v>
      </c>
      <c r="B2" s="234"/>
      <c r="C2" s="234"/>
      <c r="D2" s="234"/>
      <c r="E2" s="234"/>
    </row>
    <row r="3" spans="1:20" s="141" customFormat="1" ht="12.75" customHeight="1" x14ac:dyDescent="0.25">
      <c r="A3" s="706"/>
      <c r="B3" s="347"/>
      <c r="C3" s="347"/>
      <c r="D3" s="347"/>
      <c r="E3" s="347"/>
      <c r="F3" s="347"/>
      <c r="G3" s="347"/>
      <c r="H3" s="347"/>
      <c r="I3" s="347"/>
      <c r="J3" s="347"/>
      <c r="K3" s="347"/>
      <c r="L3" s="347"/>
    </row>
    <row r="4" spans="1:20" s="141" customFormat="1" ht="12.75" customHeight="1" x14ac:dyDescent="0.25">
      <c r="A4" s="707" t="s">
        <v>3014</v>
      </c>
      <c r="B4" s="1223" t="s">
        <v>3015</v>
      </c>
      <c r="C4" s="1224"/>
      <c r="D4" s="1224"/>
      <c r="E4" s="1225"/>
      <c r="F4" s="722"/>
      <c r="G4" s="750"/>
      <c r="J4" s="347"/>
      <c r="K4" s="347"/>
      <c r="L4" s="347"/>
    </row>
    <row r="5" spans="1:20" s="953" customFormat="1" ht="12.75" customHeight="1" x14ac:dyDescent="0.2">
      <c r="A5" s="709"/>
      <c r="B5" s="716" t="s">
        <v>3</v>
      </c>
      <c r="C5" s="768" t="s">
        <v>2999</v>
      </c>
      <c r="D5" s="852"/>
      <c r="E5" s="769"/>
      <c r="F5" s="141"/>
      <c r="H5" s="141"/>
      <c r="I5" s="141"/>
      <c r="N5" s="1226"/>
      <c r="O5" s="1227"/>
      <c r="P5" s="1227"/>
      <c r="Q5" s="1227"/>
      <c r="R5" s="1227"/>
      <c r="S5" s="1227"/>
      <c r="T5" s="1227"/>
    </row>
    <row r="6" spans="1:20" s="953" customFormat="1" ht="22.2" x14ac:dyDescent="0.2">
      <c r="A6" s="710"/>
      <c r="B6" s="716"/>
      <c r="C6" s="1217" t="s">
        <v>2937</v>
      </c>
      <c r="D6" s="1217" t="s">
        <v>2938</v>
      </c>
      <c r="E6" s="1218" t="s">
        <v>3000</v>
      </c>
      <c r="F6" s="1219"/>
      <c r="G6" s="950"/>
      <c r="H6" s="141"/>
      <c r="I6" s="141"/>
      <c r="N6" s="1226"/>
      <c r="O6" s="1227"/>
      <c r="P6" s="1227"/>
      <c r="Q6" s="1227"/>
      <c r="R6" s="1227"/>
      <c r="S6" s="1227"/>
      <c r="T6" s="1227"/>
    </row>
    <row r="7" spans="1:20" s="953" customFormat="1" ht="10.199999999999999" x14ac:dyDescent="0.2">
      <c r="A7" s="842" t="s">
        <v>3</v>
      </c>
      <c r="B7" s="1220">
        <f>SUM(B8:B15)</f>
        <v>694</v>
      </c>
      <c r="C7" s="1220">
        <f>SUM(C8:C15)</f>
        <v>66</v>
      </c>
      <c r="D7" s="1220">
        <f>SUM(D8:D15)</f>
        <v>476</v>
      </c>
      <c r="E7" s="1220">
        <f>SUM(E8:E15)</f>
        <v>152</v>
      </c>
      <c r="F7" s="1219"/>
      <c r="G7" s="950"/>
      <c r="H7" s="141"/>
      <c r="I7" s="141"/>
      <c r="N7" s="1226"/>
      <c r="O7" s="1227"/>
      <c r="P7" s="1227"/>
      <c r="Q7" s="1227"/>
      <c r="R7" s="1227"/>
      <c r="S7" s="1227"/>
      <c r="T7" s="1227"/>
    </row>
    <row r="8" spans="1:20" s="953" customFormat="1" ht="10.199999999999999" x14ac:dyDescent="0.2">
      <c r="A8" s="141" t="s">
        <v>3016</v>
      </c>
      <c r="B8" s="913">
        <v>15</v>
      </c>
      <c r="C8" s="134" t="s">
        <v>1224</v>
      </c>
      <c r="D8" s="134">
        <v>8</v>
      </c>
      <c r="E8" s="134">
        <v>7</v>
      </c>
      <c r="F8" s="134"/>
      <c r="G8" s="950"/>
      <c r="H8" s="950"/>
      <c r="I8" s="131"/>
      <c r="N8" s="1226"/>
      <c r="O8" s="1227"/>
      <c r="P8" s="1227"/>
      <c r="Q8" s="1227"/>
      <c r="R8" s="1227"/>
      <c r="S8" s="1227"/>
      <c r="T8" s="1227"/>
    </row>
    <row r="9" spans="1:20" s="953" customFormat="1" ht="10.199999999999999" x14ac:dyDescent="0.2">
      <c r="A9" s="141" t="s">
        <v>3017</v>
      </c>
      <c r="B9" s="913">
        <v>18</v>
      </c>
      <c r="C9" s="134">
        <v>1</v>
      </c>
      <c r="D9" s="134">
        <v>12</v>
      </c>
      <c r="E9" s="134">
        <v>5</v>
      </c>
      <c r="F9" s="134"/>
      <c r="G9" s="950"/>
      <c r="H9" s="950"/>
      <c r="I9" s="131"/>
      <c r="N9" s="1226"/>
      <c r="O9" s="1227"/>
      <c r="P9" s="1227"/>
      <c r="Q9" s="1227"/>
      <c r="R9" s="1227"/>
      <c r="S9" s="1227"/>
      <c r="T9" s="1227"/>
    </row>
    <row r="10" spans="1:20" s="953" customFormat="1" ht="10.199999999999999" x14ac:dyDescent="0.2">
      <c r="A10" s="141" t="s">
        <v>3018</v>
      </c>
      <c r="B10" s="913">
        <v>46</v>
      </c>
      <c r="C10" s="134">
        <v>3</v>
      </c>
      <c r="D10" s="134">
        <v>32</v>
      </c>
      <c r="E10" s="134">
        <v>11</v>
      </c>
      <c r="F10" s="134"/>
      <c r="G10" s="950"/>
      <c r="H10" s="950"/>
      <c r="I10" s="131"/>
      <c r="N10" s="1226"/>
      <c r="O10" s="1227"/>
      <c r="P10" s="1227"/>
      <c r="Q10" s="1227"/>
      <c r="R10" s="1227"/>
      <c r="S10" s="1227"/>
      <c r="T10" s="1227"/>
    </row>
    <row r="11" spans="1:20" s="953" customFormat="1" ht="10.199999999999999" x14ac:dyDescent="0.2">
      <c r="A11" s="141" t="s">
        <v>3019</v>
      </c>
      <c r="B11" s="913">
        <v>188</v>
      </c>
      <c r="C11" s="134">
        <v>10</v>
      </c>
      <c r="D11" s="134">
        <v>142</v>
      </c>
      <c r="E11" s="134">
        <v>36</v>
      </c>
      <c r="F11" s="134"/>
      <c r="G11" s="950"/>
      <c r="H11" s="950"/>
      <c r="I11" s="131"/>
      <c r="N11" s="1226"/>
      <c r="O11" s="1227"/>
      <c r="P11" s="1227"/>
      <c r="Q11" s="1227"/>
      <c r="R11" s="1227"/>
      <c r="S11" s="1227"/>
      <c r="T11" s="1227"/>
    </row>
    <row r="12" spans="1:20" s="953" customFormat="1" ht="10.199999999999999" x14ac:dyDescent="0.2">
      <c r="A12" s="141" t="s">
        <v>3020</v>
      </c>
      <c r="B12" s="913">
        <v>274</v>
      </c>
      <c r="C12" s="134">
        <v>26</v>
      </c>
      <c r="D12" s="134">
        <v>202</v>
      </c>
      <c r="E12" s="134">
        <v>46</v>
      </c>
      <c r="F12" s="134"/>
      <c r="G12" s="950"/>
      <c r="H12" s="950"/>
      <c r="I12" s="131"/>
      <c r="N12" s="1226"/>
      <c r="O12" s="1227"/>
      <c r="P12" s="1227"/>
      <c r="Q12" s="1227"/>
      <c r="R12" s="1227"/>
      <c r="S12" s="1227"/>
      <c r="T12" s="1227"/>
    </row>
    <row r="13" spans="1:20" s="953" customFormat="1" ht="10.199999999999999" x14ac:dyDescent="0.2">
      <c r="A13" s="141" t="s">
        <v>3021</v>
      </c>
      <c r="B13" s="913">
        <v>109</v>
      </c>
      <c r="C13" s="134">
        <v>15</v>
      </c>
      <c r="D13" s="134">
        <v>61</v>
      </c>
      <c r="E13" s="134">
        <v>33</v>
      </c>
      <c r="F13" s="134"/>
      <c r="G13" s="950"/>
      <c r="H13" s="950"/>
      <c r="I13" s="131"/>
      <c r="N13" s="1226"/>
      <c r="O13" s="1227"/>
      <c r="P13" s="1227"/>
      <c r="Q13" s="1227"/>
      <c r="R13" s="1227"/>
      <c r="S13" s="1227"/>
      <c r="T13" s="1227"/>
    </row>
    <row r="14" spans="1:20" s="953" customFormat="1" ht="10.199999999999999" x14ac:dyDescent="0.2">
      <c r="A14" s="141" t="s">
        <v>3022</v>
      </c>
      <c r="B14" s="913">
        <v>44</v>
      </c>
      <c r="C14" s="134">
        <v>11</v>
      </c>
      <c r="D14" s="134">
        <v>19</v>
      </c>
      <c r="E14" s="134">
        <v>14</v>
      </c>
      <c r="F14" s="134"/>
      <c r="G14" s="950"/>
      <c r="H14" s="950"/>
      <c r="I14" s="131"/>
      <c r="N14" s="1226"/>
      <c r="O14" s="1227"/>
      <c r="P14" s="1227"/>
      <c r="Q14" s="1227"/>
      <c r="R14" s="1227"/>
      <c r="S14" s="1227"/>
      <c r="T14" s="1227"/>
    </row>
    <row r="15" spans="1:20" s="953" customFormat="1" x14ac:dyDescent="0.25">
      <c r="A15" s="141"/>
      <c r="B15" s="913"/>
      <c r="C15" s="134"/>
      <c r="D15" s="134"/>
      <c r="E15" s="134"/>
      <c r="F15" s="134"/>
      <c r="G15" s="1211"/>
      <c r="H15" s="1211"/>
      <c r="I15" s="131"/>
      <c r="N15" s="1226"/>
      <c r="O15" s="1227"/>
      <c r="P15" s="1227"/>
      <c r="Q15" s="1227"/>
      <c r="R15" s="1227"/>
      <c r="S15" s="1227"/>
      <c r="T15" s="1227"/>
    </row>
    <row r="16" spans="1:20" s="953" customFormat="1" x14ac:dyDescent="0.25">
      <c r="A16" s="141"/>
      <c r="B16" s="913"/>
      <c r="C16" s="134"/>
      <c r="D16" s="134"/>
      <c r="E16" s="134"/>
      <c r="F16" s="134"/>
      <c r="G16" s="1211"/>
      <c r="H16" s="1211"/>
      <c r="I16" s="131"/>
      <c r="N16" s="1226"/>
      <c r="O16" s="1227"/>
      <c r="P16" s="1227"/>
      <c r="Q16" s="1227"/>
      <c r="R16" s="1227"/>
      <c r="S16" s="1227"/>
      <c r="T16" s="1227"/>
    </row>
    <row r="17" spans="1:20" s="953" customFormat="1" ht="34.5" customHeight="1" x14ac:dyDescent="0.2">
      <c r="A17" s="1167" t="s">
        <v>3023</v>
      </c>
      <c r="B17" s="1167"/>
      <c r="C17" s="1167"/>
      <c r="D17" s="1167"/>
      <c r="E17" s="1167"/>
      <c r="F17" s="141"/>
      <c r="G17" s="141"/>
      <c r="H17" s="141"/>
      <c r="I17" s="141"/>
      <c r="N17" s="1226"/>
      <c r="O17" s="1227"/>
      <c r="P17" s="1227"/>
      <c r="Q17" s="1227"/>
      <c r="R17" s="1227"/>
      <c r="S17" s="1227"/>
      <c r="T17" s="1227"/>
    </row>
    <row r="18" spans="1:20" s="953" customFormat="1" ht="24" customHeight="1" x14ac:dyDescent="0.2">
      <c r="A18" s="1222" t="s">
        <v>3024</v>
      </c>
      <c r="B18" s="1222"/>
      <c r="C18" s="1222"/>
      <c r="D18" s="1222"/>
      <c r="E18" s="1222"/>
      <c r="F18" s="141"/>
      <c r="G18" s="141"/>
      <c r="H18" s="141"/>
      <c r="I18" s="141"/>
      <c r="N18" s="1226"/>
      <c r="O18" s="1227"/>
      <c r="P18" s="1227"/>
      <c r="Q18" s="1227"/>
      <c r="R18" s="1227"/>
      <c r="S18" s="1227"/>
      <c r="T18" s="1227"/>
    </row>
    <row r="19" spans="1:20" s="953" customFormat="1" ht="39.75" customHeight="1" x14ac:dyDescent="0.2">
      <c r="A19" s="462" t="s">
        <v>3025</v>
      </c>
      <c r="B19" s="462"/>
      <c r="C19" s="462"/>
      <c r="D19" s="462"/>
      <c r="E19" s="462"/>
      <c r="F19" s="141"/>
      <c r="G19" s="141"/>
      <c r="H19" s="141"/>
      <c r="I19" s="141"/>
      <c r="J19" s="141"/>
      <c r="K19" s="141"/>
      <c r="L19" s="141"/>
      <c r="M19" s="141"/>
      <c r="N19" s="1226"/>
      <c r="O19" s="1227"/>
      <c r="P19" s="1227"/>
      <c r="Q19" s="1227"/>
      <c r="R19" s="1227"/>
      <c r="S19" s="1227"/>
      <c r="T19" s="1227"/>
    </row>
    <row r="20" spans="1:20" s="953" customFormat="1" ht="10.199999999999999" x14ac:dyDescent="0.2">
      <c r="A20" s="1228" t="s">
        <v>2935</v>
      </c>
      <c r="B20" s="1228"/>
      <c r="C20" s="1228"/>
      <c r="D20" s="1228"/>
      <c r="E20" s="1228"/>
      <c r="F20" s="141"/>
      <c r="G20" s="141"/>
      <c r="H20" s="141"/>
      <c r="I20" s="141"/>
      <c r="N20" s="1226"/>
      <c r="O20" s="1227"/>
      <c r="P20" s="1227"/>
      <c r="Q20" s="1227"/>
      <c r="R20" s="1227"/>
      <c r="S20" s="1227"/>
      <c r="T20" s="1227"/>
    </row>
    <row r="21" spans="1:20" s="141" customFormat="1" ht="10.199999999999999" x14ac:dyDescent="0.2">
      <c r="A21" s="1183" t="s">
        <v>2936</v>
      </c>
      <c r="B21" s="1183"/>
      <c r="C21" s="1183"/>
      <c r="D21" s="1183"/>
      <c r="E21" s="1183"/>
    </row>
    <row r="22" spans="1:20" s="141" customFormat="1" ht="10.199999999999999" x14ac:dyDescent="0.2"/>
    <row r="23" spans="1:20" s="141" customFormat="1" ht="10.199999999999999" x14ac:dyDescent="0.2"/>
    <row r="24" spans="1:20" s="141" customFormat="1" ht="10.199999999999999" x14ac:dyDescent="0.2">
      <c r="A24" s="288"/>
    </row>
    <row r="25" spans="1:20" s="141" customFormat="1" ht="10.199999999999999" x14ac:dyDescent="0.2">
      <c r="A25" s="288"/>
    </row>
    <row r="26" spans="1:20" s="141" customFormat="1" ht="10.199999999999999" x14ac:dyDescent="0.2">
      <c r="A26" s="718"/>
    </row>
  </sheetData>
  <mergeCells count="10">
    <mergeCell ref="A18:E18"/>
    <mergeCell ref="A19:E19"/>
    <mergeCell ref="A20:E20"/>
    <mergeCell ref="A21:E21"/>
    <mergeCell ref="A2:E2"/>
    <mergeCell ref="A4:A6"/>
    <mergeCell ref="B4:E4"/>
    <mergeCell ref="B5:B6"/>
    <mergeCell ref="C5:E5"/>
    <mergeCell ref="A17:E17"/>
  </mergeCells>
  <pageMargins left="0.7" right="0.7" top="0.75" bottom="0.75" header="0.3" footer="0.3"/>
  <pageSetup paperSize="14" scale="90" orientation="portrait" r:id="rId1"/>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8E2E8-8B77-47A6-9A80-753D4955E2E1}">
  <sheetPr codeName="Hoja238"/>
  <dimension ref="A2:I23"/>
  <sheetViews>
    <sheetView workbookViewId="0">
      <selection activeCell="A4" sqref="A4:A6"/>
    </sheetView>
  </sheetViews>
  <sheetFormatPr baseColWidth="10" defaultRowHeight="13.2" x14ac:dyDescent="0.25"/>
  <cols>
    <col min="1" max="1" width="38" customWidth="1"/>
    <col min="2" max="3" width="17.88671875" customWidth="1"/>
  </cols>
  <sheetData>
    <row r="2" spans="1:9" ht="27" customHeight="1" x14ac:dyDescent="0.25">
      <c r="A2" s="236" t="s">
        <v>3026</v>
      </c>
      <c r="B2" s="236"/>
      <c r="C2" s="236"/>
    </row>
    <row r="3" spans="1:9" x14ac:dyDescent="0.25">
      <c r="A3" s="893"/>
      <c r="B3" s="1211"/>
      <c r="C3" s="1211"/>
      <c r="D3" s="1211"/>
      <c r="E3" s="1211"/>
      <c r="F3" s="1211"/>
      <c r="G3" s="1211"/>
      <c r="H3" s="347"/>
      <c r="I3" s="347"/>
    </row>
    <row r="4" spans="1:9" ht="18.75" customHeight="1" x14ac:dyDescent="0.25">
      <c r="A4" s="707"/>
      <c r="B4" s="1145" t="s">
        <v>3027</v>
      </c>
      <c r="C4" s="1146"/>
      <c r="D4" s="722"/>
      <c r="E4" s="141"/>
      <c r="F4" s="141"/>
      <c r="G4" s="141"/>
      <c r="H4" s="347"/>
      <c r="I4" s="347"/>
    </row>
    <row r="5" spans="1:9" ht="18.75" customHeight="1" x14ac:dyDescent="0.25">
      <c r="A5" s="710"/>
      <c r="B5" s="454" t="s">
        <v>2290</v>
      </c>
      <c r="C5" s="454" t="s">
        <v>3028</v>
      </c>
      <c r="D5" s="141"/>
      <c r="E5" s="141"/>
      <c r="F5" s="141"/>
      <c r="G5" s="141"/>
      <c r="H5" s="141"/>
      <c r="I5" s="141"/>
    </row>
    <row r="6" spans="1:9" x14ac:dyDescent="0.25">
      <c r="A6" s="706" t="s">
        <v>3</v>
      </c>
      <c r="B6" s="753">
        <v>1497</v>
      </c>
      <c r="C6" s="1229">
        <v>100</v>
      </c>
      <c r="D6" s="706"/>
      <c r="E6" s="706"/>
      <c r="F6" s="706"/>
      <c r="G6" s="706"/>
      <c r="H6" s="141"/>
      <c r="I6" s="141"/>
    </row>
    <row r="7" spans="1:9" s="1232" customFormat="1" x14ac:dyDescent="0.2">
      <c r="A7" s="722" t="s">
        <v>3029</v>
      </c>
      <c r="B7" s="1230">
        <v>1096</v>
      </c>
      <c r="C7" s="1231">
        <v>73.213092852371403</v>
      </c>
      <c r="D7" s="141"/>
      <c r="E7" s="141"/>
      <c r="F7" s="1231"/>
      <c r="G7" s="141"/>
      <c r="H7" s="457"/>
      <c r="I7" s="457"/>
    </row>
    <row r="8" spans="1:9" x14ac:dyDescent="0.25">
      <c r="A8" s="722" t="s">
        <v>3030</v>
      </c>
      <c r="B8" s="1230">
        <v>128</v>
      </c>
      <c r="C8" s="1231">
        <v>8.5504342017368078</v>
      </c>
      <c r="D8" s="141"/>
      <c r="E8" s="141"/>
      <c r="F8" s="1231"/>
      <c r="G8" s="141"/>
      <c r="H8" s="950"/>
      <c r="I8" s="131"/>
    </row>
    <row r="9" spans="1:9" x14ac:dyDescent="0.25">
      <c r="A9" s="722" t="s">
        <v>3031</v>
      </c>
      <c r="B9" s="1230">
        <v>273</v>
      </c>
      <c r="C9" s="1231">
        <v>18.236472945891784</v>
      </c>
      <c r="D9" s="141"/>
      <c r="E9" s="141"/>
      <c r="F9" s="1231"/>
      <c r="G9" s="141"/>
      <c r="H9" s="950"/>
      <c r="I9" s="131"/>
    </row>
    <row r="10" spans="1:9" x14ac:dyDescent="0.25">
      <c r="A10" s="141"/>
      <c r="B10" s="141"/>
      <c r="C10" s="141"/>
      <c r="D10" s="141"/>
      <c r="E10" s="141"/>
      <c r="F10" s="141"/>
      <c r="G10" s="141"/>
      <c r="H10" s="950"/>
      <c r="I10" s="131"/>
    </row>
    <row r="11" spans="1:9" ht="24.75" customHeight="1" x14ac:dyDescent="0.25">
      <c r="A11" s="1183" t="s">
        <v>2969</v>
      </c>
      <c r="B11" s="1183"/>
      <c r="C11" s="1183"/>
      <c r="D11" s="141"/>
      <c r="E11" s="141"/>
      <c r="F11" s="141"/>
      <c r="G11" s="141"/>
      <c r="H11" s="950"/>
      <c r="I11" s="131"/>
    </row>
    <row r="12" spans="1:9" ht="22.5" customHeight="1" x14ac:dyDescent="0.25">
      <c r="A12" s="462" t="s">
        <v>2990</v>
      </c>
      <c r="B12" s="462"/>
      <c r="C12" s="462"/>
      <c r="D12" s="141"/>
      <c r="E12" s="141"/>
      <c r="F12" s="141"/>
      <c r="G12" s="141"/>
      <c r="H12" s="950"/>
      <c r="I12" s="131"/>
    </row>
    <row r="13" spans="1:9" ht="35.25" customHeight="1" x14ac:dyDescent="0.25">
      <c r="A13" s="462" t="s">
        <v>3032</v>
      </c>
      <c r="B13" s="462"/>
      <c r="C13" s="462"/>
      <c r="D13" s="141"/>
      <c r="E13" s="141"/>
      <c r="F13" s="141"/>
      <c r="G13" s="141"/>
      <c r="H13" s="950"/>
      <c r="I13" s="131"/>
    </row>
    <row r="14" spans="1:9" x14ac:dyDescent="0.25">
      <c r="A14" s="1183" t="s">
        <v>2936</v>
      </c>
      <c r="B14" s="1183"/>
      <c r="C14" s="1183"/>
      <c r="D14" s="141"/>
      <c r="E14" s="141"/>
      <c r="F14" s="141"/>
      <c r="G14" s="141"/>
      <c r="H14" s="950"/>
      <c r="I14" s="131"/>
    </row>
    <row r="15" spans="1:9" x14ac:dyDescent="0.25">
      <c r="A15" s="141"/>
      <c r="B15" s="141"/>
      <c r="C15" s="141"/>
      <c r="D15" s="141"/>
      <c r="E15" s="141"/>
      <c r="F15" s="141"/>
      <c r="G15" s="141"/>
      <c r="H15" s="950"/>
      <c r="I15" s="131"/>
    </row>
    <row r="16" spans="1:9" x14ac:dyDescent="0.25">
      <c r="A16" s="141"/>
      <c r="B16" s="913"/>
      <c r="C16" s="134"/>
      <c r="D16" s="134"/>
      <c r="E16" s="134"/>
      <c r="F16" s="134"/>
      <c r="G16" s="1211"/>
      <c r="H16" s="1211"/>
      <c r="I16" s="131"/>
    </row>
    <row r="17" spans="1:9" x14ac:dyDescent="0.25">
      <c r="A17" s="141"/>
      <c r="B17" s="913"/>
      <c r="C17" s="134"/>
      <c r="D17" s="134"/>
      <c r="E17" s="134"/>
      <c r="F17" s="134"/>
      <c r="G17" s="1211"/>
      <c r="H17" s="1211"/>
      <c r="I17" s="131"/>
    </row>
    <row r="18" spans="1:9" x14ac:dyDescent="0.25">
      <c r="A18" s="1233"/>
      <c r="B18" s="141"/>
      <c r="C18" s="141"/>
      <c r="D18" s="141"/>
      <c r="E18" s="141"/>
      <c r="F18" s="141"/>
      <c r="G18" s="141"/>
      <c r="H18" s="141"/>
      <c r="I18" s="141"/>
    </row>
    <row r="19" spans="1:9" x14ac:dyDescent="0.25">
      <c r="A19" s="141"/>
      <c r="B19" s="141"/>
      <c r="C19" s="141"/>
      <c r="D19" s="141"/>
      <c r="E19" s="141"/>
      <c r="F19" s="141"/>
      <c r="G19" s="141"/>
      <c r="H19" s="141"/>
      <c r="I19" s="141"/>
    </row>
    <row r="20" spans="1:9" x14ac:dyDescent="0.25">
      <c r="A20" s="141"/>
      <c r="B20" s="141"/>
      <c r="C20" s="141"/>
      <c r="D20" s="141"/>
      <c r="E20" s="141"/>
      <c r="F20" s="141"/>
      <c r="G20" s="141"/>
      <c r="H20" s="141"/>
      <c r="I20" s="141"/>
    </row>
    <row r="21" spans="1:9" x14ac:dyDescent="0.25">
      <c r="A21" s="288"/>
      <c r="B21" s="141"/>
      <c r="C21" s="141"/>
      <c r="D21" s="141"/>
      <c r="E21" s="141"/>
      <c r="F21" s="141"/>
      <c r="G21" s="141"/>
      <c r="H21" s="141"/>
      <c r="I21" s="141"/>
    </row>
    <row r="22" spans="1:9" x14ac:dyDescent="0.25">
      <c r="A22" s="288"/>
      <c r="B22" s="141"/>
      <c r="C22" s="141"/>
      <c r="D22" s="141"/>
      <c r="E22" s="141"/>
      <c r="F22" s="141"/>
      <c r="G22" s="141"/>
      <c r="H22" s="141"/>
      <c r="I22" s="141"/>
    </row>
    <row r="23" spans="1:9" x14ac:dyDescent="0.25">
      <c r="A23" s="718"/>
      <c r="B23" s="141"/>
      <c r="C23" s="141"/>
      <c r="D23" s="141"/>
      <c r="E23" s="141"/>
      <c r="F23" s="141"/>
      <c r="G23" s="141"/>
      <c r="H23" s="141"/>
      <c r="I23" s="141"/>
    </row>
  </sheetData>
  <mergeCells count="7">
    <mergeCell ref="A14:C14"/>
    <mergeCell ref="A2:C2"/>
    <mergeCell ref="A4:A5"/>
    <mergeCell ref="B4:C4"/>
    <mergeCell ref="A11:C11"/>
    <mergeCell ref="A12:C12"/>
    <mergeCell ref="A13:C13"/>
  </mergeCells>
  <pageMargins left="0.7" right="0.7" top="0.75" bottom="0.75" header="0.3" footer="0.3"/>
  <pageSetup paperSize="14" scale="90" orientation="landscape" r:id="rId1"/>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3E199-303D-46CD-B461-7ECBF9B54966}">
  <sheetPr codeName="Hoja239"/>
  <dimension ref="A1:V25"/>
  <sheetViews>
    <sheetView zoomScale="110" zoomScaleNormal="110" workbookViewId="0">
      <selection activeCell="A4" sqref="A4:A6"/>
    </sheetView>
  </sheetViews>
  <sheetFormatPr baseColWidth="10" defaultColWidth="11.44140625" defaultRowHeight="13.2" x14ac:dyDescent="0.25"/>
  <cols>
    <col min="1" max="1" width="18.88671875" customWidth="1"/>
  </cols>
  <sheetData>
    <row r="1" spans="1:22" x14ac:dyDescent="0.25">
      <c r="A1" s="691"/>
    </row>
    <row r="2" spans="1:22" s="141" customFormat="1" ht="30" customHeight="1" x14ac:dyDescent="0.2">
      <c r="A2" s="234" t="s">
        <v>2878</v>
      </c>
      <c r="B2" s="234"/>
      <c r="C2" s="234"/>
      <c r="D2" s="234"/>
      <c r="E2" s="234"/>
      <c r="F2" s="234"/>
      <c r="G2" s="234"/>
      <c r="H2" s="234"/>
      <c r="I2" s="234"/>
      <c r="J2" s="234"/>
      <c r="K2" s="234"/>
      <c r="L2" s="234"/>
      <c r="M2" s="234"/>
    </row>
    <row r="3" spans="1:22" s="141" customFormat="1" ht="10.199999999999999" x14ac:dyDescent="0.2">
      <c r="A3" s="1234"/>
      <c r="B3" s="1234"/>
      <c r="C3" s="1234"/>
      <c r="D3" s="1234"/>
      <c r="E3" s="1234"/>
      <c r="F3" s="1234"/>
      <c r="G3" s="1234"/>
      <c r="H3" s="1234"/>
      <c r="I3" s="1234"/>
      <c r="J3" s="1234"/>
      <c r="K3" s="1234"/>
      <c r="L3" s="1234"/>
      <c r="M3" s="1234"/>
    </row>
    <row r="4" spans="1:22" s="717" customFormat="1" ht="21.75" customHeight="1" x14ac:dyDescent="0.25">
      <c r="A4" s="323" t="s">
        <v>0</v>
      </c>
      <c r="B4" s="326" t="s">
        <v>3033</v>
      </c>
      <c r="C4" s="326"/>
      <c r="D4" s="326"/>
      <c r="E4" s="326"/>
      <c r="F4" s="326">
        <v>2012</v>
      </c>
      <c r="G4" s="326"/>
      <c r="H4" s="326"/>
      <c r="I4" s="326"/>
      <c r="J4" s="326">
        <v>2013</v>
      </c>
      <c r="K4" s="326"/>
      <c r="L4" s="326"/>
      <c r="M4" s="326"/>
    </row>
    <row r="5" spans="1:22" s="717" customFormat="1" ht="21.75" customHeight="1" x14ac:dyDescent="0.25">
      <c r="A5" s="323"/>
      <c r="B5" s="621" t="s">
        <v>3</v>
      </c>
      <c r="C5" s="621" t="s">
        <v>2937</v>
      </c>
      <c r="D5" s="621" t="s">
        <v>2938</v>
      </c>
      <c r="E5" s="621" t="s">
        <v>2939</v>
      </c>
      <c r="F5" s="621" t="s">
        <v>3</v>
      </c>
      <c r="G5" s="621" t="s">
        <v>2937</v>
      </c>
      <c r="H5" s="621" t="s">
        <v>2938</v>
      </c>
      <c r="I5" s="621" t="s">
        <v>2939</v>
      </c>
      <c r="J5" s="621" t="s">
        <v>3</v>
      </c>
      <c r="K5" s="621" t="s">
        <v>2937</v>
      </c>
      <c r="L5" s="621" t="s">
        <v>2938</v>
      </c>
      <c r="M5" s="621" t="s">
        <v>2939</v>
      </c>
    </row>
    <row r="6" spans="1:22" s="141" customFormat="1" ht="10.199999999999999" x14ac:dyDescent="0.2">
      <c r="A6" s="339" t="s">
        <v>3</v>
      </c>
      <c r="B6" s="1235">
        <f t="shared" ref="B6:M6" si="0">SUM(B7:B21)</f>
        <v>2014</v>
      </c>
      <c r="C6" s="1235">
        <f t="shared" si="0"/>
        <v>167</v>
      </c>
      <c r="D6" s="1235">
        <f t="shared" si="0"/>
        <v>1459</v>
      </c>
      <c r="E6" s="1235">
        <f t="shared" si="0"/>
        <v>388</v>
      </c>
      <c r="F6" s="1235">
        <f t="shared" si="0"/>
        <v>1962</v>
      </c>
      <c r="G6" s="1235">
        <f t="shared" si="0"/>
        <v>153</v>
      </c>
      <c r="H6" s="1235">
        <f t="shared" si="0"/>
        <v>1520</v>
      </c>
      <c r="I6" s="1235">
        <f t="shared" si="0"/>
        <v>289</v>
      </c>
      <c r="J6" s="1235">
        <f t="shared" si="0"/>
        <v>2075</v>
      </c>
      <c r="K6" s="1235">
        <f t="shared" si="0"/>
        <v>150</v>
      </c>
      <c r="L6" s="1235">
        <f t="shared" si="0"/>
        <v>1569</v>
      </c>
      <c r="M6" s="1235">
        <f t="shared" si="0"/>
        <v>356</v>
      </c>
      <c r="N6" s="794"/>
      <c r="O6" s="651"/>
      <c r="P6" s="651"/>
      <c r="Q6" s="651"/>
      <c r="R6" s="651"/>
      <c r="S6" s="651"/>
      <c r="T6" s="651"/>
      <c r="U6" s="651"/>
      <c r="V6" s="651"/>
    </row>
    <row r="7" spans="1:22" s="141" customFormat="1" ht="12" x14ac:dyDescent="0.2">
      <c r="A7" s="1236" t="s">
        <v>3034</v>
      </c>
      <c r="B7" s="1235">
        <f t="shared" ref="B7:B21" si="1">SUM(C7:E7)</f>
        <v>44</v>
      </c>
      <c r="C7" s="1237">
        <v>4</v>
      </c>
      <c r="D7" s="1237">
        <v>39</v>
      </c>
      <c r="E7" s="1237">
        <v>1</v>
      </c>
      <c r="F7" s="1235">
        <f t="shared" ref="F7:F21" si="2">SUM(G7:I7)</f>
        <v>44</v>
      </c>
      <c r="G7" s="1237">
        <v>4</v>
      </c>
      <c r="H7" s="1237">
        <v>39</v>
      </c>
      <c r="I7" s="1237">
        <v>1</v>
      </c>
      <c r="J7" s="1235">
        <f t="shared" ref="J7:J21" si="3">SUM(K7:M7)</f>
        <v>44</v>
      </c>
      <c r="K7" s="903">
        <v>4</v>
      </c>
      <c r="L7" s="903">
        <v>39</v>
      </c>
      <c r="M7" s="903">
        <v>1</v>
      </c>
      <c r="N7" s="646"/>
      <c r="O7" s="646"/>
      <c r="P7" s="646"/>
      <c r="Q7" s="646"/>
      <c r="R7" s="646"/>
      <c r="S7" s="646"/>
      <c r="T7" s="646"/>
      <c r="U7" s="646"/>
      <c r="V7" s="646"/>
    </row>
    <row r="8" spans="1:22" s="141" customFormat="1" ht="10.199999999999999" x14ac:dyDescent="0.2">
      <c r="A8" s="1236" t="s">
        <v>5</v>
      </c>
      <c r="B8" s="1235">
        <f t="shared" si="1"/>
        <v>54</v>
      </c>
      <c r="C8" s="1237">
        <v>4</v>
      </c>
      <c r="D8" s="1237">
        <v>42</v>
      </c>
      <c r="E8" s="1237">
        <v>8</v>
      </c>
      <c r="F8" s="1235">
        <f t="shared" si="2"/>
        <v>48</v>
      </c>
      <c r="G8" s="1237">
        <v>2</v>
      </c>
      <c r="H8" s="1237">
        <v>42</v>
      </c>
      <c r="I8" s="1237">
        <v>4</v>
      </c>
      <c r="J8" s="1235">
        <f t="shared" si="3"/>
        <v>51</v>
      </c>
      <c r="K8" s="903">
        <v>2</v>
      </c>
      <c r="L8" s="903">
        <v>42</v>
      </c>
      <c r="M8" s="903">
        <v>7</v>
      </c>
      <c r="N8" s="801"/>
      <c r="O8" s="801"/>
      <c r="P8" s="801"/>
      <c r="Q8" s="801"/>
      <c r="R8" s="801"/>
      <c r="S8" s="903"/>
      <c r="T8" s="903"/>
      <c r="U8" s="903"/>
      <c r="V8" s="903"/>
    </row>
    <row r="9" spans="1:22" s="141" customFormat="1" ht="10.199999999999999" x14ac:dyDescent="0.2">
      <c r="A9" s="1236" t="s">
        <v>6</v>
      </c>
      <c r="B9" s="1235">
        <f t="shared" si="1"/>
        <v>123</v>
      </c>
      <c r="C9" s="1237">
        <v>7</v>
      </c>
      <c r="D9" s="1237">
        <v>109</v>
      </c>
      <c r="E9" s="1237">
        <v>7</v>
      </c>
      <c r="F9" s="1235">
        <f t="shared" si="2"/>
        <v>114</v>
      </c>
      <c r="G9" s="1237">
        <v>2</v>
      </c>
      <c r="H9" s="1237">
        <v>108</v>
      </c>
      <c r="I9" s="1237">
        <v>4</v>
      </c>
      <c r="J9" s="1235">
        <f t="shared" si="3"/>
        <v>119</v>
      </c>
      <c r="K9" s="903">
        <v>2</v>
      </c>
      <c r="L9" s="903">
        <v>111</v>
      </c>
      <c r="M9" s="903">
        <v>6</v>
      </c>
      <c r="N9" s="801"/>
      <c r="O9" s="801"/>
      <c r="P9" s="801"/>
      <c r="Q9" s="801"/>
      <c r="R9" s="801"/>
      <c r="S9" s="903"/>
      <c r="T9" s="903"/>
      <c r="U9" s="903"/>
      <c r="V9" s="903"/>
    </row>
    <row r="10" spans="1:22" s="141" customFormat="1" ht="10.199999999999999" x14ac:dyDescent="0.2">
      <c r="A10" s="1236" t="s">
        <v>7</v>
      </c>
      <c r="B10" s="1235">
        <f t="shared" si="1"/>
        <v>121</v>
      </c>
      <c r="C10" s="1237">
        <v>4</v>
      </c>
      <c r="D10" s="1237">
        <v>109</v>
      </c>
      <c r="E10" s="1237">
        <v>8</v>
      </c>
      <c r="F10" s="1235">
        <f t="shared" si="2"/>
        <v>121</v>
      </c>
      <c r="G10" s="1237">
        <v>2</v>
      </c>
      <c r="H10" s="1237">
        <v>111</v>
      </c>
      <c r="I10" s="1237">
        <v>8</v>
      </c>
      <c r="J10" s="1235">
        <f t="shared" si="3"/>
        <v>124</v>
      </c>
      <c r="K10" s="903">
        <v>2</v>
      </c>
      <c r="L10" s="903">
        <v>114</v>
      </c>
      <c r="M10" s="903">
        <v>8</v>
      </c>
      <c r="N10" s="801"/>
      <c r="O10" s="801"/>
      <c r="P10" s="801"/>
      <c r="Q10" s="801"/>
      <c r="R10" s="801"/>
      <c r="S10" s="903"/>
      <c r="T10" s="903"/>
      <c r="U10" s="903"/>
      <c r="V10" s="903"/>
    </row>
    <row r="11" spans="1:22" s="141" customFormat="1" ht="10.199999999999999" x14ac:dyDescent="0.2">
      <c r="A11" s="1236" t="s">
        <v>8</v>
      </c>
      <c r="B11" s="1235">
        <f t="shared" si="1"/>
        <v>146</v>
      </c>
      <c r="C11" s="1237">
        <v>8</v>
      </c>
      <c r="D11" s="1237">
        <v>125</v>
      </c>
      <c r="E11" s="1237">
        <v>13</v>
      </c>
      <c r="F11" s="1235">
        <f t="shared" si="2"/>
        <v>154</v>
      </c>
      <c r="G11" s="1237">
        <v>8</v>
      </c>
      <c r="H11" s="1237">
        <v>135</v>
      </c>
      <c r="I11" s="1237">
        <v>11</v>
      </c>
      <c r="J11" s="1235">
        <f t="shared" si="3"/>
        <v>157</v>
      </c>
      <c r="K11" s="903">
        <v>8</v>
      </c>
      <c r="L11" s="903">
        <v>136</v>
      </c>
      <c r="M11" s="903">
        <v>13</v>
      </c>
      <c r="N11" s="801"/>
      <c r="O11" s="801"/>
      <c r="P11" s="801"/>
      <c r="Q11" s="801"/>
      <c r="R11" s="801"/>
      <c r="S11" s="903"/>
      <c r="T11" s="903"/>
      <c r="U11" s="903"/>
      <c r="V11" s="903"/>
    </row>
    <row r="12" spans="1:22" s="141" customFormat="1" ht="10.199999999999999" x14ac:dyDescent="0.2">
      <c r="A12" s="1236" t="s">
        <v>9</v>
      </c>
      <c r="B12" s="1235">
        <f t="shared" si="1"/>
        <v>210</v>
      </c>
      <c r="C12" s="1237">
        <v>20</v>
      </c>
      <c r="D12" s="1237">
        <v>137</v>
      </c>
      <c r="E12" s="1237">
        <v>53</v>
      </c>
      <c r="F12" s="1235">
        <f t="shared" si="2"/>
        <v>199</v>
      </c>
      <c r="G12" s="1237">
        <v>20</v>
      </c>
      <c r="H12" s="1237">
        <v>138</v>
      </c>
      <c r="I12" s="1237">
        <v>41</v>
      </c>
      <c r="J12" s="1235">
        <f t="shared" si="3"/>
        <v>208</v>
      </c>
      <c r="K12" s="903">
        <v>20</v>
      </c>
      <c r="L12" s="903">
        <v>142</v>
      </c>
      <c r="M12" s="903">
        <v>46</v>
      </c>
      <c r="N12" s="801"/>
      <c r="O12" s="801"/>
      <c r="P12" s="801"/>
      <c r="Q12" s="801"/>
      <c r="R12" s="801"/>
      <c r="S12" s="903"/>
      <c r="T12" s="903"/>
      <c r="U12" s="903"/>
      <c r="V12" s="903"/>
    </row>
    <row r="13" spans="1:22" s="141" customFormat="1" ht="10.199999999999999" x14ac:dyDescent="0.2">
      <c r="A13" s="1236" t="s">
        <v>10</v>
      </c>
      <c r="B13" s="1235">
        <f>SUM(C13:E13)</f>
        <v>185</v>
      </c>
      <c r="C13" s="1237">
        <v>23</v>
      </c>
      <c r="D13" s="1237">
        <v>61</v>
      </c>
      <c r="E13" s="1237">
        <v>101</v>
      </c>
      <c r="F13" s="1235">
        <f>SUM(G13:I13)</f>
        <v>166</v>
      </c>
      <c r="G13" s="1237">
        <v>23</v>
      </c>
      <c r="H13" s="1237">
        <v>60</v>
      </c>
      <c r="I13" s="1237">
        <v>83</v>
      </c>
      <c r="J13" s="1235">
        <f>SUM(K13:M13)</f>
        <v>184</v>
      </c>
      <c r="K13" s="903">
        <v>23</v>
      </c>
      <c r="L13" s="903">
        <v>61</v>
      </c>
      <c r="M13" s="903">
        <v>100</v>
      </c>
      <c r="N13" s="801"/>
      <c r="O13" s="801"/>
      <c r="P13" s="801"/>
      <c r="Q13" s="801"/>
      <c r="R13" s="801"/>
      <c r="S13" s="903"/>
      <c r="T13" s="903"/>
      <c r="U13" s="903"/>
      <c r="V13" s="903"/>
    </row>
    <row r="14" spans="1:22" s="141" customFormat="1" ht="10.199999999999999" x14ac:dyDescent="0.2">
      <c r="A14" s="1236" t="s">
        <v>134</v>
      </c>
      <c r="B14" s="1235">
        <f t="shared" si="1"/>
        <v>126</v>
      </c>
      <c r="C14" s="1237">
        <v>6</v>
      </c>
      <c r="D14" s="1237">
        <v>90</v>
      </c>
      <c r="E14" s="1237">
        <v>30</v>
      </c>
      <c r="F14" s="1235">
        <f t="shared" si="2"/>
        <v>119</v>
      </c>
      <c r="G14" s="1237">
        <v>6</v>
      </c>
      <c r="H14" s="1237">
        <v>93</v>
      </c>
      <c r="I14" s="1237">
        <v>20</v>
      </c>
      <c r="J14" s="1235">
        <f t="shared" si="3"/>
        <v>127</v>
      </c>
      <c r="K14" s="903">
        <v>6</v>
      </c>
      <c r="L14" s="903">
        <v>94</v>
      </c>
      <c r="M14" s="903">
        <v>27</v>
      </c>
      <c r="N14" s="801"/>
      <c r="O14" s="801"/>
      <c r="P14" s="801"/>
      <c r="Q14" s="801"/>
      <c r="R14" s="801"/>
      <c r="S14" s="903"/>
      <c r="T14" s="903"/>
      <c r="U14" s="903"/>
      <c r="V14" s="903"/>
    </row>
    <row r="15" spans="1:22" s="141" customFormat="1" ht="10.199999999999999" x14ac:dyDescent="0.2">
      <c r="A15" s="1236" t="s">
        <v>12</v>
      </c>
      <c r="B15" s="1235">
        <f t="shared" si="1"/>
        <v>171</v>
      </c>
      <c r="C15" s="1237">
        <v>13</v>
      </c>
      <c r="D15" s="1237">
        <v>126</v>
      </c>
      <c r="E15" s="1237">
        <v>32</v>
      </c>
      <c r="F15" s="1235">
        <f t="shared" si="2"/>
        <v>164</v>
      </c>
      <c r="G15" s="1237">
        <v>13</v>
      </c>
      <c r="H15" s="1237">
        <v>128</v>
      </c>
      <c r="I15" s="1237">
        <v>23</v>
      </c>
      <c r="J15" s="1235">
        <f t="shared" si="3"/>
        <v>173</v>
      </c>
      <c r="K15" s="903">
        <v>13</v>
      </c>
      <c r="L15" s="903">
        <v>130</v>
      </c>
      <c r="M15" s="903">
        <v>30</v>
      </c>
      <c r="N15" s="801"/>
      <c r="O15" s="801"/>
      <c r="P15" s="801"/>
      <c r="Q15" s="801"/>
      <c r="R15" s="801"/>
      <c r="S15" s="903"/>
      <c r="T15" s="903"/>
      <c r="U15" s="903"/>
      <c r="V15" s="903"/>
    </row>
    <row r="16" spans="1:22" s="141" customFormat="1" ht="10.199999999999999" x14ac:dyDescent="0.2">
      <c r="A16" s="1236" t="s">
        <v>13</v>
      </c>
      <c r="B16" s="1235">
        <f t="shared" si="1"/>
        <v>267</v>
      </c>
      <c r="C16" s="1237">
        <v>23</v>
      </c>
      <c r="D16" s="1237">
        <v>167</v>
      </c>
      <c r="E16" s="1237">
        <v>77</v>
      </c>
      <c r="F16" s="1235">
        <f t="shared" si="2"/>
        <v>251</v>
      </c>
      <c r="G16" s="1237">
        <v>22</v>
      </c>
      <c r="H16" s="1237">
        <v>173</v>
      </c>
      <c r="I16" s="1237">
        <v>56</v>
      </c>
      <c r="J16" s="1235">
        <f t="shared" si="3"/>
        <v>272</v>
      </c>
      <c r="K16" s="903">
        <v>22</v>
      </c>
      <c r="L16" s="903">
        <v>180</v>
      </c>
      <c r="M16" s="903">
        <v>70</v>
      </c>
      <c r="N16" s="801"/>
      <c r="O16" s="801"/>
      <c r="P16" s="801"/>
      <c r="Q16" s="801"/>
      <c r="R16" s="801"/>
      <c r="S16" s="903"/>
      <c r="T16" s="903"/>
      <c r="U16" s="903"/>
      <c r="V16" s="903"/>
    </row>
    <row r="17" spans="1:22" s="141" customFormat="1" ht="10.199999999999999" x14ac:dyDescent="0.2">
      <c r="A17" s="1236" t="s">
        <v>47</v>
      </c>
      <c r="B17" s="1235">
        <f>SUM(C17:E17)</f>
        <v>177</v>
      </c>
      <c r="C17" s="1237">
        <v>20</v>
      </c>
      <c r="D17" s="1237">
        <v>133</v>
      </c>
      <c r="E17" s="1237">
        <v>24</v>
      </c>
      <c r="F17" s="1235">
        <f t="shared" si="2"/>
        <v>186</v>
      </c>
      <c r="G17" s="1237">
        <v>18</v>
      </c>
      <c r="H17" s="1237">
        <v>148</v>
      </c>
      <c r="I17" s="1237">
        <v>20</v>
      </c>
      <c r="J17" s="1235">
        <f t="shared" si="3"/>
        <v>192</v>
      </c>
      <c r="K17" s="903">
        <v>15</v>
      </c>
      <c r="L17" s="903">
        <v>153</v>
      </c>
      <c r="M17" s="903">
        <v>24</v>
      </c>
      <c r="N17" s="801"/>
      <c r="O17" s="801"/>
      <c r="P17" s="801"/>
      <c r="Q17" s="801"/>
      <c r="R17" s="801"/>
      <c r="S17" s="903"/>
      <c r="T17" s="903"/>
      <c r="U17" s="903"/>
      <c r="V17" s="903"/>
    </row>
    <row r="18" spans="1:22" s="141" customFormat="1" ht="12" x14ac:dyDescent="0.2">
      <c r="A18" s="1236" t="s">
        <v>3035</v>
      </c>
      <c r="B18" s="1235">
        <f t="shared" si="1"/>
        <v>85</v>
      </c>
      <c r="C18" s="1237">
        <v>9</v>
      </c>
      <c r="D18" s="1237">
        <v>71</v>
      </c>
      <c r="E18" s="1237">
        <v>5</v>
      </c>
      <c r="F18" s="1235">
        <f t="shared" si="2"/>
        <v>87</v>
      </c>
      <c r="G18" s="1237">
        <v>7</v>
      </c>
      <c r="H18" s="1237">
        <v>78</v>
      </c>
      <c r="I18" s="1237">
        <v>2</v>
      </c>
      <c r="J18" s="1235">
        <f t="shared" si="3"/>
        <v>92</v>
      </c>
      <c r="K18" s="903">
        <v>7</v>
      </c>
      <c r="L18" s="903">
        <v>82</v>
      </c>
      <c r="M18" s="903">
        <v>3</v>
      </c>
      <c r="N18" s="801"/>
      <c r="O18" s="801"/>
      <c r="P18" s="801"/>
      <c r="Q18" s="801"/>
      <c r="R18" s="801"/>
      <c r="S18" s="903"/>
      <c r="T18" s="903"/>
      <c r="U18" s="903"/>
      <c r="V18" s="903"/>
    </row>
    <row r="19" spans="1:22" s="141" customFormat="1" ht="10.199999999999999" x14ac:dyDescent="0.2">
      <c r="A19" s="1236" t="s">
        <v>136</v>
      </c>
      <c r="B19" s="1235">
        <f>SUM(C19:E19)</f>
        <v>175</v>
      </c>
      <c r="C19" s="1237">
        <v>15</v>
      </c>
      <c r="D19" s="1237">
        <v>150</v>
      </c>
      <c r="E19" s="1237">
        <v>10</v>
      </c>
      <c r="F19" s="1235">
        <f t="shared" si="2"/>
        <v>185</v>
      </c>
      <c r="G19" s="1237">
        <v>15</v>
      </c>
      <c r="H19" s="1237">
        <v>162</v>
      </c>
      <c r="I19" s="1237">
        <v>8</v>
      </c>
      <c r="J19" s="1235">
        <f t="shared" si="3"/>
        <v>193</v>
      </c>
      <c r="K19" s="903">
        <v>15</v>
      </c>
      <c r="L19" s="903">
        <v>168</v>
      </c>
      <c r="M19" s="903">
        <v>10</v>
      </c>
      <c r="N19" s="801"/>
      <c r="O19" s="801"/>
      <c r="P19" s="801"/>
      <c r="Q19" s="801"/>
      <c r="R19" s="801"/>
      <c r="S19" s="903"/>
      <c r="T19" s="903"/>
      <c r="U19" s="903"/>
      <c r="V19" s="903"/>
    </row>
    <row r="20" spans="1:22" s="141" customFormat="1" ht="10.199999999999999" x14ac:dyDescent="0.2">
      <c r="A20" s="1236" t="s">
        <v>17</v>
      </c>
      <c r="B20" s="1235">
        <f>SUM(C20:E20)</f>
        <v>69</v>
      </c>
      <c r="C20" s="1237">
        <v>3</v>
      </c>
      <c r="D20" s="1237">
        <v>50</v>
      </c>
      <c r="E20" s="1237">
        <v>16</v>
      </c>
      <c r="F20" s="1235">
        <f t="shared" si="2"/>
        <v>60</v>
      </c>
      <c r="G20" s="1237">
        <v>3</v>
      </c>
      <c r="H20" s="1237">
        <v>51</v>
      </c>
      <c r="I20" s="1237">
        <v>6</v>
      </c>
      <c r="J20" s="1235">
        <f t="shared" si="3"/>
        <v>71</v>
      </c>
      <c r="K20" s="903">
        <v>3</v>
      </c>
      <c r="L20" s="903">
        <v>60</v>
      </c>
      <c r="M20" s="903">
        <v>8</v>
      </c>
      <c r="N20" s="801"/>
      <c r="O20" s="801"/>
      <c r="P20" s="801"/>
      <c r="Q20" s="801"/>
      <c r="R20" s="801"/>
      <c r="S20" s="903"/>
      <c r="T20" s="903"/>
      <c r="U20" s="903"/>
      <c r="V20" s="903"/>
    </row>
    <row r="21" spans="1:22" s="141" customFormat="1" ht="10.199999999999999" x14ac:dyDescent="0.2">
      <c r="A21" s="1236" t="s">
        <v>18</v>
      </c>
      <c r="B21" s="1235">
        <f t="shared" si="1"/>
        <v>61</v>
      </c>
      <c r="C21" s="1237">
        <v>8</v>
      </c>
      <c r="D21" s="1237">
        <v>50</v>
      </c>
      <c r="E21" s="1237">
        <v>3</v>
      </c>
      <c r="F21" s="1235">
        <f t="shared" si="2"/>
        <v>64</v>
      </c>
      <c r="G21" s="1237">
        <v>8</v>
      </c>
      <c r="H21" s="1237">
        <v>54</v>
      </c>
      <c r="I21" s="1237">
        <v>2</v>
      </c>
      <c r="J21" s="1235">
        <f t="shared" si="3"/>
        <v>68</v>
      </c>
      <c r="K21" s="903">
        <v>8</v>
      </c>
      <c r="L21" s="903">
        <v>57</v>
      </c>
      <c r="M21" s="903">
        <v>3</v>
      </c>
      <c r="N21" s="801"/>
      <c r="O21" s="801"/>
      <c r="P21" s="801"/>
      <c r="Q21" s="801"/>
      <c r="R21" s="801"/>
      <c r="S21" s="903"/>
      <c r="T21" s="903"/>
      <c r="U21" s="903"/>
      <c r="V21" s="903"/>
    </row>
    <row r="22" spans="1:22" s="141" customFormat="1" ht="6.75" customHeight="1" x14ac:dyDescent="0.2">
      <c r="A22" s="284"/>
      <c r="B22" s="1235"/>
      <c r="C22" s="1237"/>
      <c r="D22" s="1237"/>
      <c r="E22" s="1237"/>
      <c r="F22" s="1235"/>
      <c r="G22" s="1237"/>
      <c r="H22" s="1237"/>
      <c r="I22" s="1237"/>
      <c r="J22" s="1235"/>
      <c r="K22" s="903"/>
      <c r="L22" s="903"/>
      <c r="M22" s="903"/>
      <c r="N22" s="801"/>
      <c r="O22" s="801"/>
      <c r="P22" s="801"/>
      <c r="Q22" s="801"/>
      <c r="R22" s="801"/>
      <c r="S22" s="903"/>
      <c r="T22" s="903"/>
      <c r="U22" s="903"/>
      <c r="V22" s="903"/>
    </row>
    <row r="23" spans="1:22" s="141" customFormat="1" ht="10.5" customHeight="1" x14ac:dyDescent="0.2">
      <c r="A23" s="794" t="s">
        <v>3036</v>
      </c>
      <c r="B23" s="1238"/>
      <c r="C23" s="1238"/>
      <c r="D23" s="1238"/>
      <c r="E23" s="1238"/>
      <c r="F23" s="651"/>
      <c r="G23" s="651"/>
      <c r="H23" s="651"/>
      <c r="I23" s="651"/>
      <c r="K23" s="801"/>
      <c r="L23" s="801"/>
      <c r="M23" s="801"/>
      <c r="N23" s="801"/>
      <c r="O23" s="801"/>
      <c r="P23" s="801"/>
      <c r="Q23" s="801"/>
      <c r="R23" s="801"/>
      <c r="S23" s="903"/>
      <c r="T23" s="903"/>
      <c r="U23" s="903"/>
      <c r="V23" s="903"/>
    </row>
    <row r="24" spans="1:22" s="141" customFormat="1" ht="10.5" customHeight="1" x14ac:dyDescent="0.2">
      <c r="A24" s="331" t="s">
        <v>3037</v>
      </c>
      <c r="B24" s="1238"/>
      <c r="C24" s="1238"/>
      <c r="D24" s="1238"/>
      <c r="E24" s="1238"/>
      <c r="F24" s="651"/>
      <c r="G24" s="651"/>
      <c r="H24" s="651"/>
      <c r="I24" s="651"/>
      <c r="K24" s="801"/>
      <c r="L24" s="801"/>
      <c r="M24" s="801"/>
      <c r="N24" s="801"/>
      <c r="O24" s="801"/>
      <c r="P24" s="801"/>
      <c r="Q24" s="801"/>
      <c r="R24" s="801"/>
      <c r="S24" s="903"/>
      <c r="T24" s="903"/>
      <c r="U24" s="903"/>
      <c r="V24" s="903"/>
    </row>
    <row r="25" spans="1:22" s="141" customFormat="1" ht="10.199999999999999" x14ac:dyDescent="0.2">
      <c r="A25" s="1183" t="s">
        <v>3038</v>
      </c>
      <c r="B25" s="1183"/>
      <c r="C25" s="1183"/>
      <c r="D25" s="1183"/>
      <c r="E25" s="1183"/>
      <c r="F25" s="651"/>
      <c r="G25" s="651"/>
      <c r="H25" s="651"/>
      <c r="I25" s="651"/>
      <c r="K25" s="801"/>
      <c r="L25" s="801"/>
      <c r="M25" s="801"/>
      <c r="N25" s="801"/>
      <c r="O25" s="801"/>
      <c r="P25" s="801"/>
      <c r="Q25" s="801"/>
      <c r="R25" s="801"/>
      <c r="S25" s="903"/>
      <c r="T25" s="903"/>
      <c r="U25" s="903"/>
      <c r="V25" s="903"/>
    </row>
  </sheetData>
  <mergeCells count="6">
    <mergeCell ref="A2:M2"/>
    <mergeCell ref="A4:A5"/>
    <mergeCell ref="B4:E4"/>
    <mergeCell ref="F4:I4"/>
    <mergeCell ref="J4:M4"/>
    <mergeCell ref="A25:E25"/>
  </mergeCells>
  <pageMargins left="0.7" right="0.7" top="0.75" bottom="0.75" header="0.3" footer="0.3"/>
  <pageSetup paperSize="14" scale="9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8DF9F0-AAAD-4925-B598-F60805EED7E3}">
  <sheetPr codeName="Hoja24"/>
  <dimension ref="A2:Q60"/>
  <sheetViews>
    <sheetView workbookViewId="0">
      <selection activeCell="E20" sqref="E20"/>
    </sheetView>
  </sheetViews>
  <sheetFormatPr baseColWidth="10" defaultColWidth="11.44140625" defaultRowHeight="10.199999999999999" x14ac:dyDescent="0.2"/>
  <cols>
    <col min="1" max="1" width="41" style="62" customWidth="1"/>
    <col min="2" max="7" width="14.109375" style="62" bestFit="1" customWidth="1"/>
    <col min="8" max="16384" width="11.44140625" style="62"/>
  </cols>
  <sheetData>
    <row r="2" spans="1:7" ht="12" x14ac:dyDescent="0.2">
      <c r="A2" s="63" t="s">
        <v>457</v>
      </c>
    </row>
    <row r="3" spans="1:7" x14ac:dyDescent="0.2">
      <c r="A3" s="63"/>
    </row>
    <row r="4" spans="1:7" ht="26.25" customHeight="1" x14ac:dyDescent="0.2">
      <c r="A4" s="170" t="s">
        <v>76</v>
      </c>
      <c r="B4" s="72">
        <v>2008</v>
      </c>
      <c r="C4" s="72">
        <v>2009</v>
      </c>
      <c r="D4" s="72">
        <v>2010</v>
      </c>
      <c r="E4" s="72">
        <v>2011</v>
      </c>
      <c r="F4" s="72">
        <v>2012</v>
      </c>
      <c r="G4" s="72">
        <v>2013</v>
      </c>
    </row>
    <row r="5" spans="1:7" x14ac:dyDescent="0.2">
      <c r="A5" s="63" t="s">
        <v>3</v>
      </c>
      <c r="B5" s="218">
        <f>SUM(B6+B8+B12+B17+B22)</f>
        <v>161337688.71000004</v>
      </c>
      <c r="C5" s="218">
        <f t="shared" ref="C5:G5" si="0">SUM(C6+C8+C12+C17+C22)</f>
        <v>166881334.16</v>
      </c>
      <c r="D5" s="218">
        <f t="shared" si="0"/>
        <v>148526036.65000001</v>
      </c>
      <c r="E5" s="218">
        <f t="shared" si="0"/>
        <v>181901871.38</v>
      </c>
      <c r="F5" s="218">
        <f>SUM(F6+F8+F12+F17+F22)</f>
        <v>185989853.95999998</v>
      </c>
      <c r="G5" s="218">
        <f t="shared" si="0"/>
        <v>216286331.26999998</v>
      </c>
    </row>
    <row r="6" spans="1:7" s="63" customFormat="1" x14ac:dyDescent="0.2">
      <c r="A6" s="219" t="s">
        <v>29</v>
      </c>
      <c r="B6" s="218">
        <f>SUM(B7)</f>
        <v>41100</v>
      </c>
      <c r="C6" s="218">
        <f t="shared" ref="C6:G6" si="1">SUM(C7)</f>
        <v>2133</v>
      </c>
      <c r="D6" s="218">
        <f t="shared" si="1"/>
        <v>9480</v>
      </c>
      <c r="E6" s="218">
        <f t="shared" si="1"/>
        <v>4568.5300000000007</v>
      </c>
      <c r="F6" s="218">
        <f t="shared" si="1"/>
        <v>24000</v>
      </c>
      <c r="G6" s="218">
        <f t="shared" si="1"/>
        <v>0</v>
      </c>
    </row>
    <row r="7" spans="1:7" x14ac:dyDescent="0.2">
      <c r="A7" s="220" t="s">
        <v>30</v>
      </c>
      <c r="B7" s="130">
        <v>41100</v>
      </c>
      <c r="C7" s="130">
        <v>2133</v>
      </c>
      <c r="D7" s="130">
        <v>9480</v>
      </c>
      <c r="E7" s="130">
        <v>4568.5300000000007</v>
      </c>
      <c r="F7" s="130">
        <v>24000</v>
      </c>
      <c r="G7" s="130">
        <v>0</v>
      </c>
    </row>
    <row r="8" spans="1:7" s="63" customFormat="1" x14ac:dyDescent="0.2">
      <c r="A8" s="219" t="s">
        <v>70</v>
      </c>
      <c r="B8" s="218">
        <f>SUM(B9:B11)</f>
        <v>3480251.84</v>
      </c>
      <c r="C8" s="218">
        <f t="shared" ref="C8:G8" si="2">SUM(C9:C11)</f>
        <v>4690539.4400000004</v>
      </c>
      <c r="D8" s="218">
        <f t="shared" si="2"/>
        <v>4248162</v>
      </c>
      <c r="E8" s="218">
        <f t="shared" si="2"/>
        <v>4948482.05</v>
      </c>
      <c r="F8" s="218">
        <f t="shared" si="2"/>
        <v>5066440.78</v>
      </c>
      <c r="G8" s="218">
        <f t="shared" si="2"/>
        <v>5471766.0700000003</v>
      </c>
    </row>
    <row r="9" spans="1:7" x14ac:dyDescent="0.2">
      <c r="A9" s="220" t="s">
        <v>458</v>
      </c>
      <c r="B9" s="130">
        <v>3294425.04</v>
      </c>
      <c r="C9" s="130">
        <v>4384800.78</v>
      </c>
      <c r="D9" s="130">
        <v>3964677.5399999996</v>
      </c>
      <c r="E9" s="130">
        <v>4761222.7299999995</v>
      </c>
      <c r="F9" s="130">
        <v>4863028.78</v>
      </c>
      <c r="G9" s="130">
        <v>5142244.28</v>
      </c>
    </row>
    <row r="10" spans="1:7" x14ac:dyDescent="0.2">
      <c r="A10" s="220" t="s">
        <v>459</v>
      </c>
      <c r="B10" s="130">
        <v>175926.8</v>
      </c>
      <c r="C10" s="130">
        <v>305738.65999999997</v>
      </c>
      <c r="D10" s="130">
        <v>283484.45999999996</v>
      </c>
      <c r="E10" s="130">
        <v>187259.31999999998</v>
      </c>
      <c r="F10" s="130">
        <v>203412</v>
      </c>
      <c r="G10" s="130">
        <v>140798.25</v>
      </c>
    </row>
    <row r="11" spans="1:7" x14ac:dyDescent="0.2">
      <c r="A11" s="220" t="s">
        <v>460</v>
      </c>
      <c r="B11" s="130">
        <v>9900</v>
      </c>
      <c r="C11" s="130">
        <v>0</v>
      </c>
      <c r="D11" s="130">
        <v>0</v>
      </c>
      <c r="E11" s="130">
        <v>0</v>
      </c>
      <c r="F11" s="130">
        <v>0</v>
      </c>
      <c r="G11" s="130">
        <v>188723.53999999998</v>
      </c>
    </row>
    <row r="12" spans="1:7" s="63" customFormat="1" x14ac:dyDescent="0.2">
      <c r="A12" s="219" t="s">
        <v>33</v>
      </c>
      <c r="B12" s="218">
        <f>SUM(B13:B16)</f>
        <v>26202980.820000004</v>
      </c>
      <c r="C12" s="218">
        <f t="shared" ref="C12:G12" si="3">SUM(C13:C16)</f>
        <v>19998915.649999991</v>
      </c>
      <c r="D12" s="218">
        <f t="shared" si="3"/>
        <v>26260700.550000001</v>
      </c>
      <c r="E12" s="218">
        <f t="shared" si="3"/>
        <v>25357550.270000007</v>
      </c>
      <c r="F12" s="218">
        <f t="shared" si="3"/>
        <v>26698812.829999998</v>
      </c>
      <c r="G12" s="218">
        <f t="shared" si="3"/>
        <v>31998869.999999996</v>
      </c>
    </row>
    <row r="13" spans="1:7" x14ac:dyDescent="0.2">
      <c r="A13" s="220" t="s">
        <v>168</v>
      </c>
      <c r="B13" s="130">
        <v>26014031.820000004</v>
      </c>
      <c r="C13" s="130">
        <v>19517356.649999991</v>
      </c>
      <c r="D13" s="130">
        <v>25042906.550000001</v>
      </c>
      <c r="E13" s="130">
        <v>22554235.560000006</v>
      </c>
      <c r="F13" s="130">
        <v>24547789.399999999</v>
      </c>
      <c r="G13" s="130">
        <v>29433393.669999998</v>
      </c>
    </row>
    <row r="14" spans="1:7" x14ac:dyDescent="0.2">
      <c r="A14" s="220" t="s">
        <v>155</v>
      </c>
      <c r="B14" s="130">
        <v>0</v>
      </c>
      <c r="C14" s="130">
        <v>0</v>
      </c>
      <c r="D14" s="130">
        <v>0</v>
      </c>
      <c r="E14" s="130">
        <v>0</v>
      </c>
      <c r="F14" s="130">
        <v>0</v>
      </c>
      <c r="G14" s="130">
        <v>0</v>
      </c>
    </row>
    <row r="15" spans="1:7" x14ac:dyDescent="0.2">
      <c r="A15" s="220" t="s">
        <v>156</v>
      </c>
      <c r="B15" s="130">
        <v>175249</v>
      </c>
      <c r="C15" s="130">
        <v>481559</v>
      </c>
      <c r="D15" s="130">
        <v>1217794</v>
      </c>
      <c r="E15" s="130">
        <v>2687994.08</v>
      </c>
      <c r="F15" s="130">
        <v>2066764.5</v>
      </c>
      <c r="G15" s="130">
        <v>2332484.9299999997</v>
      </c>
    </row>
    <row r="16" spans="1:7" x14ac:dyDescent="0.2">
      <c r="A16" s="220" t="s">
        <v>60</v>
      </c>
      <c r="B16" s="130">
        <v>13700</v>
      </c>
      <c r="C16" s="130">
        <v>0</v>
      </c>
      <c r="D16" s="130">
        <v>0</v>
      </c>
      <c r="E16" s="130">
        <v>115320.62999999999</v>
      </c>
      <c r="F16" s="130">
        <v>84258.93</v>
      </c>
      <c r="G16" s="130">
        <v>232991.4</v>
      </c>
    </row>
    <row r="17" spans="1:17" s="63" customFormat="1" x14ac:dyDescent="0.2">
      <c r="A17" s="219" t="s">
        <v>64</v>
      </c>
      <c r="B17" s="218">
        <f>SUM(B18:B21)</f>
        <v>14994125.609999998</v>
      </c>
      <c r="C17" s="218">
        <f t="shared" ref="C17:G17" si="4">SUM(C18:C21)</f>
        <v>7736642.1499999994</v>
      </c>
      <c r="D17" s="218">
        <f t="shared" si="4"/>
        <v>8839542.209999999</v>
      </c>
      <c r="E17" s="218">
        <f t="shared" si="4"/>
        <v>11300880.380000001</v>
      </c>
      <c r="F17" s="218">
        <f t="shared" si="4"/>
        <v>9575085.8699999992</v>
      </c>
      <c r="G17" s="218">
        <f t="shared" si="4"/>
        <v>10183703.609999999</v>
      </c>
    </row>
    <row r="18" spans="1:17" x14ac:dyDescent="0.2">
      <c r="A18" s="220" t="s">
        <v>36</v>
      </c>
      <c r="B18" s="130">
        <v>9861835.8199999984</v>
      </c>
      <c r="C18" s="130">
        <v>4166688.94</v>
      </c>
      <c r="D18" s="130">
        <v>2453141.13</v>
      </c>
      <c r="E18" s="130">
        <v>2105769.2200000002</v>
      </c>
      <c r="F18" s="130">
        <v>887491.5</v>
      </c>
      <c r="G18" s="130">
        <v>1282455.53</v>
      </c>
    </row>
    <row r="19" spans="1:17" x14ac:dyDescent="0.2">
      <c r="A19" s="220" t="s">
        <v>37</v>
      </c>
      <c r="B19" s="130">
        <v>2718895.2400000012</v>
      </c>
      <c r="C19" s="130">
        <v>2207899.5</v>
      </c>
      <c r="D19" s="130">
        <v>1892490.83</v>
      </c>
      <c r="E19" s="130">
        <v>4133138.4099999997</v>
      </c>
      <c r="F19" s="130">
        <v>2964573.23</v>
      </c>
      <c r="G19" s="130">
        <v>1827911.8999999997</v>
      </c>
    </row>
    <row r="20" spans="1:17" x14ac:dyDescent="0.2">
      <c r="A20" s="220" t="s">
        <v>38</v>
      </c>
      <c r="B20" s="130">
        <v>1485335.3599999996</v>
      </c>
      <c r="C20" s="130">
        <v>1081291.25</v>
      </c>
      <c r="D20" s="130">
        <v>3973953.939999999</v>
      </c>
      <c r="E20" s="130">
        <v>4748982.7799999993</v>
      </c>
      <c r="F20" s="130">
        <v>5451377.1200000001</v>
      </c>
      <c r="G20" s="130">
        <v>6739356.7599999998</v>
      </c>
    </row>
    <row r="21" spans="1:17" x14ac:dyDescent="0.2">
      <c r="A21" s="220" t="s">
        <v>461</v>
      </c>
      <c r="B21" s="130">
        <v>928059.18999999983</v>
      </c>
      <c r="C21" s="130">
        <v>280762.46000000002</v>
      </c>
      <c r="D21" s="130">
        <v>519956.30999999988</v>
      </c>
      <c r="E21" s="130">
        <v>312989.96999999997</v>
      </c>
      <c r="F21" s="130">
        <v>271644.02</v>
      </c>
      <c r="G21" s="130">
        <v>333979.42</v>
      </c>
    </row>
    <row r="22" spans="1:17" s="63" customFormat="1" x14ac:dyDescent="0.2">
      <c r="A22" s="219" t="s">
        <v>65</v>
      </c>
      <c r="B22" s="218">
        <f>SUM(B23:B24)</f>
        <v>116619230.44000004</v>
      </c>
      <c r="C22" s="218">
        <f t="shared" ref="C22:G22" si="5">SUM(C23:C24)</f>
        <v>134453103.92000002</v>
      </c>
      <c r="D22" s="218">
        <f t="shared" si="5"/>
        <v>109168151.89</v>
      </c>
      <c r="E22" s="218">
        <f t="shared" si="5"/>
        <v>140290390.14999998</v>
      </c>
      <c r="F22" s="218">
        <f t="shared" si="5"/>
        <v>144625514.47999999</v>
      </c>
      <c r="G22" s="218">
        <f t="shared" si="5"/>
        <v>168631991.58999997</v>
      </c>
    </row>
    <row r="23" spans="1:17" x14ac:dyDescent="0.2">
      <c r="A23" s="220" t="s">
        <v>41</v>
      </c>
      <c r="B23" s="130">
        <v>116619230.44000004</v>
      </c>
      <c r="C23" s="130">
        <v>133952790.92000002</v>
      </c>
      <c r="D23" s="130">
        <v>108225729.89</v>
      </c>
      <c r="E23" s="130">
        <v>139212554.14999998</v>
      </c>
      <c r="F23" s="130">
        <v>142339372.47999999</v>
      </c>
      <c r="G23" s="130">
        <v>165040822.58999997</v>
      </c>
    </row>
    <row r="24" spans="1:17" x14ac:dyDescent="0.2">
      <c r="A24" s="220" t="s">
        <v>462</v>
      </c>
      <c r="B24" s="130">
        <v>0</v>
      </c>
      <c r="C24" s="130">
        <v>500313</v>
      </c>
      <c r="D24" s="130">
        <v>942422</v>
      </c>
      <c r="E24" s="130">
        <v>1077836</v>
      </c>
      <c r="F24" s="130">
        <v>2286142</v>
      </c>
      <c r="G24" s="130">
        <v>3591169</v>
      </c>
    </row>
    <row r="25" spans="1:17" x14ac:dyDescent="0.2">
      <c r="A25" s="220"/>
      <c r="B25" s="130"/>
      <c r="C25" s="130"/>
      <c r="D25" s="130"/>
      <c r="E25" s="130"/>
      <c r="F25" s="130"/>
      <c r="G25" s="130"/>
    </row>
    <row r="26" spans="1:17" x14ac:dyDescent="0.2">
      <c r="A26" s="221" t="s">
        <v>448</v>
      </c>
      <c r="B26" s="221"/>
      <c r="C26" s="221"/>
      <c r="D26" s="221"/>
      <c r="E26" s="221"/>
      <c r="F26" s="221"/>
      <c r="G26" s="221"/>
    </row>
    <row r="27" spans="1:17" ht="141" customHeight="1" x14ac:dyDescent="0.2">
      <c r="A27" s="222" t="s">
        <v>463</v>
      </c>
      <c r="B27" s="222"/>
      <c r="C27" s="222"/>
      <c r="D27" s="222"/>
      <c r="E27" s="222"/>
      <c r="F27" s="222"/>
      <c r="G27" s="222"/>
    </row>
    <row r="28" spans="1:17" ht="35.25" customHeight="1" x14ac:dyDescent="0.2">
      <c r="A28" s="222" t="s">
        <v>464</v>
      </c>
      <c r="B28" s="222"/>
      <c r="C28" s="222"/>
      <c r="D28" s="222"/>
      <c r="E28" s="222"/>
      <c r="F28" s="222"/>
      <c r="G28" s="222"/>
    </row>
    <row r="29" spans="1:17" x14ac:dyDescent="0.2">
      <c r="A29" s="140" t="s">
        <v>19</v>
      </c>
      <c r="B29" s="140"/>
      <c r="C29" s="140"/>
      <c r="D29" s="140"/>
      <c r="E29" s="140"/>
      <c r="F29" s="140"/>
      <c r="G29" s="140"/>
      <c r="H29" s="140"/>
      <c r="I29" s="140"/>
      <c r="J29" s="140"/>
      <c r="K29" s="140"/>
      <c r="L29" s="140"/>
      <c r="M29" s="140"/>
      <c r="N29" s="140"/>
      <c r="O29" s="140"/>
      <c r="P29" s="140"/>
      <c r="Q29" s="140"/>
    </row>
    <row r="30" spans="1:17" x14ac:dyDescent="0.2">
      <c r="A30" s="62" t="s">
        <v>450</v>
      </c>
    </row>
    <row r="45" spans="1:1" x14ac:dyDescent="0.2">
      <c r="A45" s="78"/>
    </row>
    <row r="46" spans="1:1" x14ac:dyDescent="0.2">
      <c r="A46" s="78"/>
    </row>
    <row r="47" spans="1:1" x14ac:dyDescent="0.2">
      <c r="A47" s="78"/>
    </row>
    <row r="48" spans="1:1" x14ac:dyDescent="0.2">
      <c r="A48" s="78"/>
    </row>
    <row r="49" spans="1:1" x14ac:dyDescent="0.2">
      <c r="A49" s="78"/>
    </row>
    <row r="50" spans="1:1" x14ac:dyDescent="0.2">
      <c r="A50" s="78"/>
    </row>
    <row r="51" spans="1:1" x14ac:dyDescent="0.2">
      <c r="A51" s="78"/>
    </row>
    <row r="52" spans="1:1" x14ac:dyDescent="0.2">
      <c r="A52" s="78"/>
    </row>
    <row r="54" spans="1:1" x14ac:dyDescent="0.2">
      <c r="A54" s="78"/>
    </row>
    <row r="55" spans="1:1" x14ac:dyDescent="0.2">
      <c r="A55" s="78"/>
    </row>
    <row r="56" spans="1:1" x14ac:dyDescent="0.2">
      <c r="A56" s="78"/>
    </row>
    <row r="57" spans="1:1" x14ac:dyDescent="0.2">
      <c r="A57" s="78"/>
    </row>
    <row r="58" spans="1:1" x14ac:dyDescent="0.2">
      <c r="A58" s="78"/>
    </row>
    <row r="59" spans="1:1" x14ac:dyDescent="0.2">
      <c r="A59" s="78"/>
    </row>
    <row r="60" spans="1:1" x14ac:dyDescent="0.2">
      <c r="A60" s="78"/>
    </row>
  </sheetData>
  <mergeCells count="3">
    <mergeCell ref="A26:G26"/>
    <mergeCell ref="A27:G27"/>
    <mergeCell ref="A28:G28"/>
  </mergeCells>
  <pageMargins left="0.70866141732283472" right="0.70866141732283472" top="0.74803149606299213" bottom="0.74803149606299213" header="0.31496062992125984" footer="0.31496062992125984"/>
  <pageSetup paperSize="14" scale="95" orientation="landscape" verticalDpi="599" r:id="rId1"/>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BA31D-698A-4AC6-A495-303EAEE188F1}">
  <sheetPr codeName="Hoja240"/>
  <dimension ref="A1:C10"/>
  <sheetViews>
    <sheetView workbookViewId="0">
      <selection activeCell="A4" sqref="A4:A6"/>
    </sheetView>
  </sheetViews>
  <sheetFormatPr baseColWidth="10" defaultRowHeight="13.2" x14ac:dyDescent="0.25"/>
  <cols>
    <col min="1" max="1" width="44.44140625" customWidth="1"/>
  </cols>
  <sheetData>
    <row r="1" spans="1:3" x14ac:dyDescent="0.25">
      <c r="A1" s="1009"/>
    </row>
    <row r="2" spans="1:3" ht="40.5" customHeight="1" x14ac:dyDescent="0.25">
      <c r="A2" s="308" t="s">
        <v>2879</v>
      </c>
      <c r="B2" s="308"/>
    </row>
    <row r="3" spans="1:3" x14ac:dyDescent="0.25">
      <c r="A3" s="24"/>
      <c r="B3" s="2"/>
      <c r="C3" s="2"/>
    </row>
    <row r="4" spans="1:3" ht="27.75" customHeight="1" x14ac:dyDescent="0.25">
      <c r="A4" s="621" t="s">
        <v>3039</v>
      </c>
      <c r="B4" s="621" t="s">
        <v>42</v>
      </c>
      <c r="C4" s="2"/>
    </row>
    <row r="5" spans="1:3" x14ac:dyDescent="0.25">
      <c r="A5" s="2" t="s">
        <v>3040</v>
      </c>
      <c r="B5" s="2">
        <v>61</v>
      </c>
      <c r="C5" s="2"/>
    </row>
    <row r="6" spans="1:3" x14ac:dyDescent="0.25">
      <c r="A6" s="2" t="s">
        <v>3041</v>
      </c>
      <c r="B6" s="2">
        <v>247</v>
      </c>
      <c r="C6" s="2"/>
    </row>
    <row r="7" spans="1:3" x14ac:dyDescent="0.25">
      <c r="A7" s="2" t="s">
        <v>3042</v>
      </c>
      <c r="B7" s="2">
        <v>11</v>
      </c>
      <c r="C7" s="2"/>
    </row>
    <row r="8" spans="1:3" x14ac:dyDescent="0.25">
      <c r="A8" s="2"/>
      <c r="B8" s="2"/>
      <c r="C8" s="2"/>
    </row>
    <row r="9" spans="1:3" x14ac:dyDescent="0.25">
      <c r="A9" s="2" t="s">
        <v>2273</v>
      </c>
    </row>
    <row r="10" spans="1:3" ht="14.25" customHeight="1" x14ac:dyDescent="0.25">
      <c r="A10" s="691"/>
    </row>
  </sheetData>
  <mergeCells count="1">
    <mergeCell ref="A2:B2"/>
  </mergeCells>
  <pageMargins left="0.7" right="0.7" top="0.75" bottom="0.75" header="0.3" footer="0.3"/>
  <pageSetup paperSize="14" scale="90" orientation="landscape" r:id="rId1"/>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46E194-0B95-4688-BDD5-855D9B7C09CC}">
  <sheetPr codeName="Hoja241"/>
  <dimension ref="A2:E28"/>
  <sheetViews>
    <sheetView zoomScaleNormal="100" workbookViewId="0">
      <selection activeCell="A4" sqref="A4:A6"/>
    </sheetView>
  </sheetViews>
  <sheetFormatPr baseColWidth="10" defaultRowHeight="13.2" x14ac:dyDescent="0.25"/>
  <cols>
    <col min="1" max="1" width="35.6640625" customWidth="1"/>
    <col min="3" max="4" width="15.6640625" customWidth="1"/>
  </cols>
  <sheetData>
    <row r="2" spans="1:5" ht="27.75" customHeight="1" x14ac:dyDescent="0.25">
      <c r="A2" s="236" t="s">
        <v>3043</v>
      </c>
      <c r="B2" s="236"/>
      <c r="C2" s="236"/>
      <c r="D2" s="236"/>
    </row>
    <row r="3" spans="1:5" ht="12.75" customHeight="1" x14ac:dyDescent="0.25">
      <c r="A3" s="893"/>
      <c r="B3" s="1211"/>
      <c r="C3" s="1211"/>
      <c r="D3" s="1211"/>
      <c r="E3" s="141"/>
    </row>
    <row r="4" spans="1:5" ht="12.75" customHeight="1" x14ac:dyDescent="0.25">
      <c r="A4" s="114" t="s">
        <v>3044</v>
      </c>
      <c r="B4" s="716" t="s">
        <v>3045</v>
      </c>
      <c r="C4" s="716"/>
      <c r="D4" s="716"/>
      <c r="E4" s="706"/>
    </row>
    <row r="5" spans="1:5" x14ac:dyDescent="0.25">
      <c r="A5" s="708"/>
      <c r="B5" s="114" t="s">
        <v>42</v>
      </c>
      <c r="C5" s="716" t="s">
        <v>3046</v>
      </c>
      <c r="D5" s="716"/>
      <c r="E5" s="141"/>
    </row>
    <row r="6" spans="1:5" x14ac:dyDescent="0.25">
      <c r="A6" s="115"/>
      <c r="B6" s="115"/>
      <c r="C6" s="453" t="s">
        <v>3047</v>
      </c>
      <c r="D6" s="453" t="s">
        <v>3048</v>
      </c>
      <c r="E6" s="141"/>
    </row>
    <row r="7" spans="1:5" x14ac:dyDescent="0.25">
      <c r="A7" s="706" t="s">
        <v>3</v>
      </c>
      <c r="B7" s="753">
        <f>+B13+B19</f>
        <v>5724</v>
      </c>
      <c r="C7" s="753">
        <f>+C13+C19</f>
        <v>3238</v>
      </c>
      <c r="D7" s="753">
        <f>+D13+D19</f>
        <v>2486</v>
      </c>
      <c r="E7" s="141"/>
    </row>
    <row r="8" spans="1:5" x14ac:dyDescent="0.25">
      <c r="A8" s="141" t="s">
        <v>3049</v>
      </c>
      <c r="B8" s="753">
        <f>+B14+B20</f>
        <v>870</v>
      </c>
      <c r="C8" s="903">
        <v>579</v>
      </c>
      <c r="D8" s="903">
        <v>291</v>
      </c>
      <c r="E8" s="141"/>
    </row>
    <row r="9" spans="1:5" x14ac:dyDescent="0.25">
      <c r="A9" s="141" t="s">
        <v>1197</v>
      </c>
      <c r="B9" s="753">
        <f>+B15+B21</f>
        <v>1521</v>
      </c>
      <c r="C9" s="903">
        <v>891</v>
      </c>
      <c r="D9" s="903">
        <v>630</v>
      </c>
      <c r="E9" s="141"/>
    </row>
    <row r="10" spans="1:5" x14ac:dyDescent="0.25">
      <c r="A10" s="141" t="s">
        <v>1199</v>
      </c>
      <c r="B10" s="753">
        <f>+B16+B22</f>
        <v>1232</v>
      </c>
      <c r="C10" s="903">
        <v>783</v>
      </c>
      <c r="D10" s="903">
        <v>449</v>
      </c>
      <c r="E10" s="706"/>
    </row>
    <row r="11" spans="1:5" x14ac:dyDescent="0.25">
      <c r="A11" s="141" t="s">
        <v>1198</v>
      </c>
      <c r="B11" s="753">
        <f>+B17+B23</f>
        <v>692</v>
      </c>
      <c r="C11" s="903">
        <v>434</v>
      </c>
      <c r="D11" s="903">
        <v>258</v>
      </c>
      <c r="E11" s="1239"/>
    </row>
    <row r="12" spans="1:5" x14ac:dyDescent="0.25">
      <c r="A12" s="141" t="s">
        <v>3050</v>
      </c>
      <c r="B12" s="753">
        <f>+B18+B24</f>
        <v>1409</v>
      </c>
      <c r="C12" s="903">
        <v>551</v>
      </c>
      <c r="D12" s="903">
        <v>858</v>
      </c>
      <c r="E12" s="1239"/>
    </row>
    <row r="13" spans="1:5" x14ac:dyDescent="0.25">
      <c r="A13" s="706" t="s">
        <v>122</v>
      </c>
      <c r="B13" s="913">
        <f>SUM(B14:B18)</f>
        <v>4155</v>
      </c>
      <c r="C13" s="913">
        <f>SUM(C14:C18)</f>
        <v>2387</v>
      </c>
      <c r="D13" s="913">
        <f>SUM(D14:D18)</f>
        <v>1768</v>
      </c>
      <c r="E13" s="1239"/>
    </row>
    <row r="14" spans="1:5" x14ac:dyDescent="0.25">
      <c r="A14" s="133" t="s">
        <v>3049</v>
      </c>
      <c r="B14" s="913">
        <f>SUM(C14:D14)</f>
        <v>655</v>
      </c>
      <c r="C14" s="1239">
        <v>451</v>
      </c>
      <c r="D14" s="1239">
        <v>204</v>
      </c>
      <c r="E14" s="1239"/>
    </row>
    <row r="15" spans="1:5" x14ac:dyDescent="0.25">
      <c r="A15" s="133" t="s">
        <v>1197</v>
      </c>
      <c r="B15" s="913">
        <f>SUM(C15:D15)</f>
        <v>1079</v>
      </c>
      <c r="C15" s="1239">
        <v>641</v>
      </c>
      <c r="D15" s="1239">
        <v>438</v>
      </c>
      <c r="E15" s="706"/>
    </row>
    <row r="16" spans="1:5" x14ac:dyDescent="0.25">
      <c r="A16" s="133" t="s">
        <v>1199</v>
      </c>
      <c r="B16" s="913">
        <f>SUM(C16:D16)</f>
        <v>1037</v>
      </c>
      <c r="C16" s="1239">
        <v>665</v>
      </c>
      <c r="D16" s="1239">
        <v>372</v>
      </c>
      <c r="E16" s="1239"/>
    </row>
    <row r="17" spans="1:5" x14ac:dyDescent="0.25">
      <c r="A17" s="133" t="s">
        <v>1198</v>
      </c>
      <c r="B17" s="913">
        <f>SUM(C17:D17)</f>
        <v>341</v>
      </c>
      <c r="C17" s="1239">
        <v>194</v>
      </c>
      <c r="D17" s="1239">
        <v>147</v>
      </c>
      <c r="E17" s="1239"/>
    </row>
    <row r="18" spans="1:5" x14ac:dyDescent="0.25">
      <c r="A18" s="133" t="s">
        <v>3050</v>
      </c>
      <c r="B18" s="913">
        <f>SUM(C18:D18)</f>
        <v>1043</v>
      </c>
      <c r="C18" s="1239">
        <v>436</v>
      </c>
      <c r="D18" s="1239">
        <v>607</v>
      </c>
      <c r="E18" s="1239"/>
    </row>
    <row r="19" spans="1:5" x14ac:dyDescent="0.25">
      <c r="A19" s="706" t="s">
        <v>123</v>
      </c>
      <c r="B19" s="913">
        <f>SUM(B20:B24)</f>
        <v>1569</v>
      </c>
      <c r="C19" s="913">
        <f>SUM(C20:C24)</f>
        <v>851</v>
      </c>
      <c r="D19" s="913">
        <f>SUM(D20:D24)</f>
        <v>718</v>
      </c>
      <c r="E19" s="1239"/>
    </row>
    <row r="20" spans="1:5" x14ac:dyDescent="0.25">
      <c r="A20" s="133" t="s">
        <v>3049</v>
      </c>
      <c r="B20" s="913">
        <f>SUM(C20:D20)</f>
        <v>215</v>
      </c>
      <c r="C20" s="1239">
        <v>128</v>
      </c>
      <c r="D20" s="1239">
        <v>87</v>
      </c>
      <c r="E20" s="141"/>
    </row>
    <row r="21" spans="1:5" x14ac:dyDescent="0.25">
      <c r="A21" s="133" t="s">
        <v>1197</v>
      </c>
      <c r="B21" s="913">
        <f>SUM(C21:D21)</f>
        <v>442</v>
      </c>
      <c r="C21" s="1239">
        <v>250</v>
      </c>
      <c r="D21" s="1239">
        <v>192</v>
      </c>
      <c r="E21" s="1211"/>
    </row>
    <row r="22" spans="1:5" x14ac:dyDescent="0.25">
      <c r="A22" s="133" t="s">
        <v>1199</v>
      </c>
      <c r="B22" s="913">
        <f>SUM(C22:D22)</f>
        <v>195</v>
      </c>
      <c r="C22" s="1239">
        <v>118</v>
      </c>
      <c r="D22" s="1239">
        <v>77</v>
      </c>
      <c r="E22" s="141"/>
    </row>
    <row r="23" spans="1:5" x14ac:dyDescent="0.25">
      <c r="A23" s="133" t="s">
        <v>1198</v>
      </c>
      <c r="B23" s="913">
        <f>SUM(C23:D23)</f>
        <v>351</v>
      </c>
      <c r="C23" s="1239">
        <v>240</v>
      </c>
      <c r="D23" s="1239">
        <v>111</v>
      </c>
    </row>
    <row r="24" spans="1:5" x14ac:dyDescent="0.25">
      <c r="A24" s="133" t="s">
        <v>3050</v>
      </c>
      <c r="B24" s="913">
        <f>SUM(C24:D24)</f>
        <v>366</v>
      </c>
      <c r="C24" s="1239">
        <v>115</v>
      </c>
      <c r="D24" s="1239">
        <v>251</v>
      </c>
    </row>
    <row r="25" spans="1:5" x14ac:dyDescent="0.25">
      <c r="A25" s="141"/>
      <c r="B25" s="141"/>
      <c r="C25" s="141"/>
      <c r="D25" s="141"/>
    </row>
    <row r="26" spans="1:5" ht="26.25" customHeight="1" x14ac:dyDescent="0.25">
      <c r="A26" s="461" t="s">
        <v>3051</v>
      </c>
      <c r="B26" s="461"/>
      <c r="C26" s="461"/>
      <c r="D26" s="461"/>
    </row>
    <row r="27" spans="1:5" x14ac:dyDescent="0.25">
      <c r="A27" s="1240" t="s">
        <v>3052</v>
      </c>
      <c r="B27" s="1240"/>
      <c r="C27" s="1240"/>
      <c r="D27" s="1240"/>
    </row>
    <row r="28" spans="1:5" x14ac:dyDescent="0.25">
      <c r="A28" s="715" t="s">
        <v>2936</v>
      </c>
      <c r="B28" s="715"/>
      <c r="C28" s="715"/>
      <c r="D28" s="715"/>
    </row>
  </sheetData>
  <mergeCells count="8">
    <mergeCell ref="A27:D27"/>
    <mergeCell ref="A28:D28"/>
    <mergeCell ref="A2:D2"/>
    <mergeCell ref="A4:A6"/>
    <mergeCell ref="B4:D4"/>
    <mergeCell ref="B5:B6"/>
    <mergeCell ref="C5:D5"/>
    <mergeCell ref="A26:D26"/>
  </mergeCells>
  <pageMargins left="0.7" right="0.7" top="0.75" bottom="0.75" header="0.3" footer="0.3"/>
  <pageSetup paperSize="14" scale="90" orientation="landscape" r:id="rId1"/>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B00ED-8473-4D30-8777-594EF7FAF9A1}">
  <sheetPr codeName="Hoja242"/>
  <dimension ref="A2:C13"/>
  <sheetViews>
    <sheetView zoomScaleNormal="100" workbookViewId="0">
      <selection activeCell="A4" sqref="A4:A6"/>
    </sheetView>
  </sheetViews>
  <sheetFormatPr baseColWidth="10" defaultRowHeight="13.2" x14ac:dyDescent="0.25"/>
  <cols>
    <col min="1" max="1" width="31.44140625" customWidth="1"/>
    <col min="2" max="2" width="37.6640625" customWidth="1"/>
  </cols>
  <sheetData>
    <row r="2" spans="1:3" x14ac:dyDescent="0.25">
      <c r="A2" s="337" t="s">
        <v>3053</v>
      </c>
    </row>
    <row r="3" spans="1:3" x14ac:dyDescent="0.25">
      <c r="A3" s="706"/>
      <c r="B3" s="706"/>
      <c r="C3" s="141"/>
    </row>
    <row r="4" spans="1:3" x14ac:dyDescent="0.25">
      <c r="A4" s="114" t="s">
        <v>3054</v>
      </c>
      <c r="B4" s="454" t="s">
        <v>3055</v>
      </c>
      <c r="C4" s="141"/>
    </row>
    <row r="5" spans="1:3" x14ac:dyDescent="0.25">
      <c r="A5" s="115"/>
      <c r="B5" s="453" t="s">
        <v>3056</v>
      </c>
      <c r="C5" s="141"/>
    </row>
    <row r="6" spans="1:3" x14ac:dyDescent="0.25">
      <c r="A6" s="706" t="s">
        <v>3</v>
      </c>
      <c r="B6" s="913">
        <f>SUM(B7:B9)</f>
        <v>71036877130</v>
      </c>
      <c r="C6" s="141"/>
    </row>
    <row r="7" spans="1:3" x14ac:dyDescent="0.25">
      <c r="A7" s="141" t="s">
        <v>38</v>
      </c>
      <c r="B7" s="1241">
        <v>64164875632</v>
      </c>
      <c r="C7" s="141"/>
    </row>
    <row r="8" spans="1:3" x14ac:dyDescent="0.25">
      <c r="A8" s="141" t="s">
        <v>3057</v>
      </c>
      <c r="B8" s="1241">
        <v>3253854817</v>
      </c>
      <c r="C8" s="141"/>
    </row>
    <row r="9" spans="1:3" x14ac:dyDescent="0.25">
      <c r="A9" s="141" t="s">
        <v>3058</v>
      </c>
      <c r="B9" s="1241">
        <v>3618146681</v>
      </c>
      <c r="C9" s="722"/>
    </row>
    <row r="10" spans="1:3" x14ac:dyDescent="0.25">
      <c r="A10" s="141"/>
      <c r="B10" s="1241"/>
      <c r="C10" s="141"/>
    </row>
    <row r="11" spans="1:3" ht="24.75" customHeight="1" x14ac:dyDescent="0.25">
      <c r="A11" s="462" t="s">
        <v>3051</v>
      </c>
      <c r="B11" s="462"/>
    </row>
    <row r="12" spans="1:3" ht="24" customHeight="1" x14ac:dyDescent="0.25">
      <c r="A12" s="1222" t="s">
        <v>3052</v>
      </c>
      <c r="B12" s="1222"/>
    </row>
    <row r="13" spans="1:3" ht="27.75" customHeight="1" x14ac:dyDescent="0.25">
      <c r="A13" s="461" t="s">
        <v>2936</v>
      </c>
      <c r="B13" s="461"/>
    </row>
  </sheetData>
  <mergeCells count="4">
    <mergeCell ref="A4:A5"/>
    <mergeCell ref="A11:B11"/>
    <mergeCell ref="A12:B12"/>
    <mergeCell ref="A13:B13"/>
  </mergeCells>
  <pageMargins left="0.70866141732283472" right="0.70866141732283472" top="0.74803149606299213" bottom="0.74803149606299213" header="0.31496062992125984" footer="0.31496062992125984"/>
  <pageSetup paperSize="14" scale="120" orientation="landscape" r:id="rId1"/>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81BEBC-78D6-4386-9C96-5A4F1D955898}">
  <sheetPr codeName="Hoja243"/>
  <dimension ref="A2:C16"/>
  <sheetViews>
    <sheetView zoomScaleNormal="100" zoomScaleSheetLayoutView="100" workbookViewId="0">
      <selection activeCell="A4" sqref="A4:A6"/>
    </sheetView>
  </sheetViews>
  <sheetFormatPr baseColWidth="10" defaultRowHeight="13.2" x14ac:dyDescent="0.25"/>
  <cols>
    <col min="1" max="1" width="28.6640625" customWidth="1"/>
    <col min="2" max="2" width="27.88671875" bestFit="1" customWidth="1"/>
  </cols>
  <sheetData>
    <row r="2" spans="1:3" s="701" customFormat="1" ht="26.25" customHeight="1" x14ac:dyDescent="0.25">
      <c r="A2" s="236" t="s">
        <v>3059</v>
      </c>
      <c r="B2" s="236"/>
    </row>
    <row r="3" spans="1:3" x14ac:dyDescent="0.25">
      <c r="A3" s="141"/>
      <c r="B3" s="141"/>
      <c r="C3" s="141"/>
    </row>
    <row r="4" spans="1:3" x14ac:dyDescent="0.25">
      <c r="A4" s="114" t="s">
        <v>3060</v>
      </c>
      <c r="B4" s="453" t="s">
        <v>3061</v>
      </c>
      <c r="C4" s="141"/>
    </row>
    <row r="5" spans="1:3" x14ac:dyDescent="0.25">
      <c r="A5" s="115"/>
      <c r="B5" s="453" t="s">
        <v>3056</v>
      </c>
      <c r="C5" s="141"/>
    </row>
    <row r="6" spans="1:3" x14ac:dyDescent="0.25">
      <c r="A6" s="706" t="s">
        <v>3</v>
      </c>
      <c r="B6" s="913">
        <f>SUM(B7:B12)</f>
        <v>52996729433</v>
      </c>
      <c r="C6" s="141"/>
    </row>
    <row r="7" spans="1:3" x14ac:dyDescent="0.25">
      <c r="A7" s="141" t="s">
        <v>3062</v>
      </c>
      <c r="B7" s="1241">
        <v>26376868756</v>
      </c>
      <c r="C7" s="141"/>
    </row>
    <row r="8" spans="1:3" x14ac:dyDescent="0.25">
      <c r="A8" s="141" t="s">
        <v>3063</v>
      </c>
      <c r="B8" s="1241">
        <v>6624266907</v>
      </c>
      <c r="C8" s="141"/>
    </row>
    <row r="9" spans="1:3" x14ac:dyDescent="0.25">
      <c r="A9" s="141" t="s">
        <v>3064</v>
      </c>
      <c r="B9" s="1241">
        <v>1850502495</v>
      </c>
      <c r="C9" s="141"/>
    </row>
    <row r="10" spans="1:3" x14ac:dyDescent="0.25">
      <c r="A10" s="141" t="s">
        <v>3065</v>
      </c>
      <c r="B10" s="1241">
        <v>7146958372</v>
      </c>
      <c r="C10" s="722"/>
    </row>
    <row r="11" spans="1:3" x14ac:dyDescent="0.25">
      <c r="A11" s="141" t="s">
        <v>3066</v>
      </c>
      <c r="B11" s="1241">
        <v>4037935834</v>
      </c>
    </row>
    <row r="12" spans="1:3" x14ac:dyDescent="0.25">
      <c r="A12" s="141" t="s">
        <v>3067</v>
      </c>
      <c r="B12" s="1241">
        <v>6960197069</v>
      </c>
    </row>
    <row r="13" spans="1:3" x14ac:dyDescent="0.25">
      <c r="A13" s="141"/>
      <c r="B13" s="1241"/>
    </row>
    <row r="14" spans="1:3" ht="22.5" customHeight="1" x14ac:dyDescent="0.25">
      <c r="A14" s="466" t="s">
        <v>3051</v>
      </c>
      <c r="B14" s="466"/>
    </row>
    <row r="15" spans="1:3" ht="22.5" customHeight="1" x14ac:dyDescent="0.25">
      <c r="A15" s="1183" t="s">
        <v>3052</v>
      </c>
      <c r="B15" s="1183"/>
    </row>
    <row r="16" spans="1:3" ht="24" customHeight="1" x14ac:dyDescent="0.25">
      <c r="A16" s="461" t="s">
        <v>2936</v>
      </c>
      <c r="B16" s="461"/>
    </row>
  </sheetData>
  <mergeCells count="5">
    <mergeCell ref="A2:B2"/>
    <mergeCell ref="A4:A5"/>
    <mergeCell ref="A14:B14"/>
    <mergeCell ref="A15:B15"/>
    <mergeCell ref="A16:B16"/>
  </mergeCells>
  <pageMargins left="0.70866141732283472" right="0.70866141732283472" top="0.74803149606299213" bottom="0.74803149606299213" header="0.31496062992125984" footer="0.31496062992125984"/>
  <pageSetup paperSize="14" scale="120" orientation="landscape" r:id="rId1"/>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D35AF2-20EF-456B-876C-FB88C3619952}">
  <sheetPr codeName="Hoja244"/>
  <dimension ref="A2:E16"/>
  <sheetViews>
    <sheetView zoomScaleNormal="100" zoomScaleSheetLayoutView="100" workbookViewId="0">
      <selection activeCell="A4" sqref="A4:A6"/>
    </sheetView>
  </sheetViews>
  <sheetFormatPr baseColWidth="10" defaultRowHeight="13.2" x14ac:dyDescent="0.25"/>
  <cols>
    <col min="1" max="1" width="24.109375" customWidth="1"/>
    <col min="2" max="2" width="15.88671875" customWidth="1"/>
    <col min="3" max="4" width="21.88671875" bestFit="1" customWidth="1"/>
  </cols>
  <sheetData>
    <row r="2" spans="1:5" ht="29.25" customHeight="1" x14ac:dyDescent="0.25">
      <c r="A2" s="236" t="s">
        <v>3068</v>
      </c>
      <c r="B2" s="236"/>
      <c r="C2" s="236"/>
      <c r="D2" s="236"/>
    </row>
    <row r="3" spans="1:5" x14ac:dyDescent="0.25">
      <c r="A3" s="910"/>
      <c r="B3" s="910"/>
      <c r="C3" s="910"/>
      <c r="D3" s="910"/>
      <c r="E3" s="1242"/>
    </row>
    <row r="4" spans="1:5" x14ac:dyDescent="0.25">
      <c r="A4" s="1243" t="s">
        <v>3069</v>
      </c>
      <c r="B4" s="1243" t="s">
        <v>3070</v>
      </c>
      <c r="C4" s="1243" t="s">
        <v>3071</v>
      </c>
      <c r="D4" s="1244" t="s">
        <v>3072</v>
      </c>
      <c r="E4" s="1242"/>
    </row>
    <row r="5" spans="1:5" x14ac:dyDescent="0.25">
      <c r="A5" s="1245" t="s">
        <v>3</v>
      </c>
      <c r="B5" s="913">
        <f>SUM(B6:B11)</f>
        <v>694</v>
      </c>
      <c r="C5" s="913">
        <f>SUM(C6:C11)</f>
        <v>71036877130</v>
      </c>
      <c r="D5" s="913">
        <f>SUM(D6:D11)</f>
        <v>52996729433</v>
      </c>
      <c r="E5" s="1242"/>
    </row>
    <row r="6" spans="1:5" x14ac:dyDescent="0.25">
      <c r="A6" s="1242" t="s">
        <v>3073</v>
      </c>
      <c r="B6" s="1239">
        <v>299</v>
      </c>
      <c r="C6" s="1246">
        <v>3466525914</v>
      </c>
      <c r="D6" s="1241">
        <v>2620525204</v>
      </c>
      <c r="E6" s="1242"/>
    </row>
    <row r="7" spans="1:5" x14ac:dyDescent="0.25">
      <c r="A7" s="1242" t="s">
        <v>3074</v>
      </c>
      <c r="B7" s="1239">
        <v>239</v>
      </c>
      <c r="C7" s="1246">
        <v>7667654664</v>
      </c>
      <c r="D7" s="1241">
        <v>5595076641</v>
      </c>
      <c r="E7" s="1242"/>
    </row>
    <row r="8" spans="1:5" x14ac:dyDescent="0.25">
      <c r="A8" s="1242" t="s">
        <v>3075</v>
      </c>
      <c r="B8" s="1239">
        <v>135</v>
      </c>
      <c r="C8" s="1246">
        <v>20151281942</v>
      </c>
      <c r="D8" s="1241">
        <v>16720897843</v>
      </c>
      <c r="E8" s="1247"/>
    </row>
    <row r="9" spans="1:5" x14ac:dyDescent="0.25">
      <c r="A9" s="1242" t="s">
        <v>3076</v>
      </c>
      <c r="B9" s="1239">
        <v>8</v>
      </c>
      <c r="C9" s="1246">
        <v>39739666610</v>
      </c>
      <c r="D9" s="1241">
        <v>28052929745</v>
      </c>
      <c r="E9" s="1211"/>
    </row>
    <row r="10" spans="1:5" x14ac:dyDescent="0.25">
      <c r="A10" s="1242" t="s">
        <v>3077</v>
      </c>
      <c r="B10" s="1239">
        <v>13</v>
      </c>
      <c r="C10" s="1246">
        <v>11748000</v>
      </c>
      <c r="D10" s="1241">
        <v>7300000</v>
      </c>
      <c r="E10" s="1247"/>
    </row>
    <row r="11" spans="1:5" x14ac:dyDescent="0.25">
      <c r="A11" s="1242"/>
      <c r="B11" s="1239"/>
      <c r="C11" s="1246"/>
      <c r="D11" s="1241"/>
      <c r="E11" s="485"/>
    </row>
    <row r="12" spans="1:5" x14ac:dyDescent="0.25">
      <c r="A12" s="1242"/>
      <c r="B12" s="1239"/>
      <c r="C12" s="1246"/>
      <c r="D12" s="1241"/>
      <c r="E12" s="485"/>
    </row>
    <row r="13" spans="1:5" x14ac:dyDescent="0.25">
      <c r="A13" s="1248" t="s">
        <v>3078</v>
      </c>
      <c r="B13" s="1248"/>
      <c r="C13" s="1248"/>
      <c r="D13" s="1248"/>
    </row>
    <row r="14" spans="1:5" ht="24.75" customHeight="1" x14ac:dyDescent="0.25">
      <c r="A14" s="1222" t="s">
        <v>3079</v>
      </c>
      <c r="B14" s="1222"/>
      <c r="C14" s="1222"/>
      <c r="D14" s="1222"/>
    </row>
    <row r="15" spans="1:5" ht="18" customHeight="1" x14ac:dyDescent="0.25">
      <c r="A15" s="1222" t="s">
        <v>3080</v>
      </c>
      <c r="B15" s="1222"/>
      <c r="C15" s="1222"/>
      <c r="D15" s="1222"/>
    </row>
    <row r="16" spans="1:5" x14ac:dyDescent="0.25">
      <c r="A16" s="715" t="s">
        <v>2936</v>
      </c>
      <c r="B16" s="715"/>
      <c r="C16" s="715"/>
      <c r="D16" s="715"/>
    </row>
  </sheetData>
  <mergeCells count="5">
    <mergeCell ref="A2:D2"/>
    <mergeCell ref="A13:D13"/>
    <mergeCell ref="A14:D14"/>
    <mergeCell ref="A15:D15"/>
    <mergeCell ref="A16:D16"/>
  </mergeCells>
  <pageMargins left="0.70866141732283472" right="0.70866141732283472" top="0.74803149606299213" bottom="0.74803149606299213" header="0.31496062992125984" footer="0.31496062992125984"/>
  <pageSetup paperSize="14" scale="120" orientation="landscape" r:id="rId1"/>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8EA2C-4DE7-4A47-8A3A-445C82CB3F2B}">
  <sheetPr codeName="Hoja245"/>
  <dimension ref="A1:J21"/>
  <sheetViews>
    <sheetView zoomScaleNormal="100" zoomScaleSheetLayoutView="100" workbookViewId="0"/>
  </sheetViews>
  <sheetFormatPr baseColWidth="10" defaultRowHeight="13.2" x14ac:dyDescent="0.25"/>
  <cols>
    <col min="1" max="1" width="30.44140625" customWidth="1"/>
  </cols>
  <sheetData>
    <row r="1" spans="1:10" x14ac:dyDescent="0.25">
      <c r="A1" s="338"/>
    </row>
    <row r="2" spans="1:10" ht="33.75" customHeight="1" x14ac:dyDescent="0.25">
      <c r="A2" s="234" t="s">
        <v>3081</v>
      </c>
      <c r="B2" s="234"/>
      <c r="C2" s="234"/>
    </row>
    <row r="3" spans="1:10" x14ac:dyDescent="0.25">
      <c r="A3" s="736"/>
      <c r="B3" s="776"/>
      <c r="C3" s="776"/>
      <c r="D3" s="141"/>
      <c r="E3" s="141"/>
      <c r="F3" s="141"/>
      <c r="G3" s="141"/>
      <c r="H3" s="141"/>
      <c r="I3" s="141"/>
      <c r="J3" s="141"/>
    </row>
    <row r="4" spans="1:10" x14ac:dyDescent="0.25">
      <c r="A4" s="707" t="s">
        <v>3082</v>
      </c>
      <c r="B4" s="793" t="s">
        <v>3083</v>
      </c>
      <c r="C4" s="793"/>
      <c r="D4" s="141"/>
      <c r="E4" s="141"/>
      <c r="F4" s="141"/>
      <c r="G4" s="141"/>
      <c r="H4" s="141"/>
      <c r="I4" s="141"/>
      <c r="J4" s="141"/>
    </row>
    <row r="5" spans="1:10" x14ac:dyDescent="0.25">
      <c r="A5" s="710"/>
      <c r="B5" s="454" t="s">
        <v>2290</v>
      </c>
      <c r="C5" s="454" t="s">
        <v>801</v>
      </c>
      <c r="D5" s="1106"/>
      <c r="E5" s="141"/>
      <c r="F5" s="141"/>
      <c r="G5" s="141"/>
      <c r="H5" s="141"/>
      <c r="I5" s="141"/>
      <c r="J5" s="141"/>
    </row>
    <row r="6" spans="1:10" x14ac:dyDescent="0.25">
      <c r="A6" s="706" t="s">
        <v>3</v>
      </c>
      <c r="B6" s="753">
        <f>SUM(B7:B17)</f>
        <v>5211606</v>
      </c>
      <c r="C6" s="1249">
        <f>SUM(C7:C17)</f>
        <v>100</v>
      </c>
      <c r="D6" s="1106"/>
      <c r="E6" s="141"/>
      <c r="F6" s="141"/>
      <c r="G6" s="141"/>
      <c r="H6" s="141"/>
      <c r="I6" s="141"/>
      <c r="J6" s="141"/>
    </row>
    <row r="7" spans="1:10" x14ac:dyDescent="0.25">
      <c r="A7" s="722" t="s">
        <v>3001</v>
      </c>
      <c r="B7" s="1239">
        <v>467022</v>
      </c>
      <c r="C7" s="1106">
        <v>8.9611916173248716</v>
      </c>
      <c r="D7" s="1106"/>
      <c r="E7" s="141"/>
      <c r="F7" s="141"/>
      <c r="G7" s="141"/>
      <c r="H7" s="141"/>
      <c r="I7" s="141"/>
      <c r="J7" s="141"/>
    </row>
    <row r="8" spans="1:10" x14ac:dyDescent="0.25">
      <c r="A8" s="141" t="s">
        <v>3002</v>
      </c>
      <c r="B8" s="1239">
        <v>172129</v>
      </c>
      <c r="C8" s="1106">
        <v>3.3028014780856423</v>
      </c>
      <c r="D8" s="1106"/>
      <c r="E8" s="141"/>
      <c r="F8" s="141"/>
      <c r="G8" s="141"/>
      <c r="H8" s="141"/>
      <c r="I8" s="141"/>
      <c r="J8" s="141"/>
    </row>
    <row r="9" spans="1:10" x14ac:dyDescent="0.25">
      <c r="A9" s="141" t="s">
        <v>3003</v>
      </c>
      <c r="B9" s="1239">
        <v>59532</v>
      </c>
      <c r="C9" s="1106">
        <v>1.142296635624412</v>
      </c>
      <c r="D9" s="1106"/>
      <c r="E9" s="141"/>
      <c r="F9" s="141"/>
      <c r="G9" s="141"/>
      <c r="H9" s="141"/>
      <c r="I9" s="141"/>
      <c r="J9" s="141"/>
    </row>
    <row r="10" spans="1:10" x14ac:dyDescent="0.25">
      <c r="A10" s="141" t="s">
        <v>3004</v>
      </c>
      <c r="B10" s="1239">
        <v>231220</v>
      </c>
      <c r="C10" s="1106">
        <v>4.4366362307511347</v>
      </c>
      <c r="D10" s="1106"/>
      <c r="E10" s="141"/>
      <c r="F10" s="141"/>
      <c r="G10" s="141"/>
      <c r="H10" s="141"/>
      <c r="I10" s="141"/>
      <c r="J10" s="141"/>
    </row>
    <row r="11" spans="1:10" x14ac:dyDescent="0.25">
      <c r="A11" s="141" t="s">
        <v>30</v>
      </c>
      <c r="B11" s="1239">
        <v>2862031</v>
      </c>
      <c r="C11" s="1106">
        <v>54.916488314734458</v>
      </c>
      <c r="D11" s="1106"/>
      <c r="E11" s="141"/>
      <c r="F11" s="141"/>
      <c r="G11" s="141"/>
      <c r="H11" s="141"/>
      <c r="I11" s="141"/>
      <c r="J11" s="141"/>
    </row>
    <row r="12" spans="1:10" x14ac:dyDescent="0.25">
      <c r="A12" s="141" t="s">
        <v>3005</v>
      </c>
      <c r="B12" s="1239">
        <v>168936</v>
      </c>
      <c r="C12" s="1106">
        <v>3.2415343753921535</v>
      </c>
      <c r="D12" s="1106"/>
      <c r="E12" s="141"/>
      <c r="F12" s="141"/>
      <c r="G12" s="141"/>
      <c r="H12" s="141"/>
      <c r="I12" s="141"/>
      <c r="J12" s="141"/>
    </row>
    <row r="13" spans="1:10" x14ac:dyDescent="0.25">
      <c r="A13" s="141" t="s">
        <v>3006</v>
      </c>
      <c r="B13" s="1239">
        <v>303925</v>
      </c>
      <c r="C13" s="1106">
        <v>5.831695642379719</v>
      </c>
      <c r="D13" s="1106"/>
      <c r="E13" s="141"/>
      <c r="F13" s="141"/>
      <c r="G13" s="141"/>
      <c r="H13" s="141"/>
      <c r="I13" s="141"/>
      <c r="J13" s="141"/>
    </row>
    <row r="14" spans="1:10" x14ac:dyDescent="0.25">
      <c r="A14" s="141" t="s">
        <v>38</v>
      </c>
      <c r="B14" s="1239">
        <v>421123</v>
      </c>
      <c r="C14" s="1106">
        <v>8.0804842115846824</v>
      </c>
      <c r="D14" s="1106"/>
      <c r="E14" s="141"/>
      <c r="F14" s="141"/>
      <c r="G14" s="141"/>
      <c r="H14" s="141"/>
      <c r="I14" s="141"/>
      <c r="J14" s="141"/>
    </row>
    <row r="15" spans="1:10" x14ac:dyDescent="0.25">
      <c r="A15" s="141" t="s">
        <v>3007</v>
      </c>
      <c r="B15" s="1239">
        <v>186669</v>
      </c>
      <c r="C15" s="1106">
        <v>3.581794172468141</v>
      </c>
      <c r="D15" s="1106"/>
      <c r="E15" s="141"/>
      <c r="F15" s="141"/>
      <c r="G15" s="141"/>
      <c r="H15" s="141"/>
      <c r="I15" s="141"/>
      <c r="J15" s="141"/>
    </row>
    <row r="16" spans="1:10" x14ac:dyDescent="0.25">
      <c r="A16" s="141" t="s">
        <v>3008</v>
      </c>
      <c r="B16" s="1239">
        <v>266530</v>
      </c>
      <c r="C16" s="1106">
        <v>5.1141625057611799</v>
      </c>
      <c r="D16" s="1106"/>
      <c r="E16" s="141"/>
      <c r="F16" s="141"/>
      <c r="G16" s="141"/>
      <c r="H16" s="141"/>
      <c r="I16" s="141"/>
      <c r="J16" s="141"/>
    </row>
    <row r="17" spans="1:10" x14ac:dyDescent="0.25">
      <c r="A17" s="141" t="s">
        <v>3009</v>
      </c>
      <c r="B17" s="1239">
        <v>72489</v>
      </c>
      <c r="C17" s="1106">
        <v>1.3909148158936036</v>
      </c>
      <c r="D17" s="141"/>
      <c r="E17" s="141"/>
      <c r="F17" s="141"/>
      <c r="G17" s="141"/>
      <c r="H17" s="141"/>
      <c r="I17" s="141"/>
      <c r="J17" s="141"/>
    </row>
    <row r="18" spans="1:10" x14ac:dyDescent="0.25">
      <c r="A18" s="141"/>
      <c r="B18" s="1239"/>
      <c r="C18" s="1106"/>
      <c r="D18" s="141"/>
      <c r="E18" s="141"/>
      <c r="F18" s="141"/>
      <c r="G18" s="141"/>
      <c r="H18" s="141"/>
      <c r="I18" s="141"/>
      <c r="J18" s="141"/>
    </row>
    <row r="19" spans="1:10" ht="30.75" customHeight="1" x14ac:dyDescent="0.25">
      <c r="A19" s="462" t="s">
        <v>3084</v>
      </c>
      <c r="B19" s="462"/>
      <c r="C19" s="462"/>
      <c r="D19" s="141"/>
      <c r="E19" s="141"/>
      <c r="F19" s="141"/>
      <c r="G19" s="141"/>
      <c r="H19" s="141"/>
      <c r="I19" s="141"/>
      <c r="J19" s="141"/>
    </row>
    <row r="20" spans="1:10" ht="23.25" customHeight="1" x14ac:dyDescent="0.25">
      <c r="A20" s="462" t="s">
        <v>3052</v>
      </c>
      <c r="B20" s="462"/>
      <c r="C20" s="462"/>
    </row>
    <row r="21" spans="1:10" ht="26.25" customHeight="1" x14ac:dyDescent="0.25">
      <c r="A21" s="462" t="s">
        <v>2936</v>
      </c>
      <c r="B21" s="462"/>
      <c r="C21" s="462"/>
    </row>
  </sheetData>
  <mergeCells count="6">
    <mergeCell ref="A2:C2"/>
    <mergeCell ref="A4:A5"/>
    <mergeCell ref="B4:C4"/>
    <mergeCell ref="A19:C19"/>
    <mergeCell ref="A20:C20"/>
    <mergeCell ref="A21:C21"/>
  </mergeCells>
  <pageMargins left="0.70866141732283472" right="0.70866141732283472" top="0.74803149606299213" bottom="0.74803149606299213" header="0.31496062992125984" footer="0.31496062992125984"/>
  <pageSetup paperSize="14" scale="150" orientation="portrait" r:id="rId1"/>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46848-C362-4065-9127-2579A7420128}">
  <sheetPr codeName="Hoja246">
    <tabColor theme="8"/>
  </sheetPr>
  <dimension ref="A2:A20"/>
  <sheetViews>
    <sheetView workbookViewId="0">
      <selection activeCell="A20" sqref="A20"/>
    </sheetView>
  </sheetViews>
  <sheetFormatPr baseColWidth="10" defaultColWidth="11.44140625" defaultRowHeight="10.199999999999999" x14ac:dyDescent="0.2"/>
  <cols>
    <col min="1" max="16384" width="11.44140625" style="24"/>
  </cols>
  <sheetData>
    <row r="2" spans="1:1" x14ac:dyDescent="0.2">
      <c r="A2" s="24" t="s">
        <v>2885</v>
      </c>
    </row>
    <row r="4" spans="1:1" x14ac:dyDescent="0.2">
      <c r="A4" s="182" t="s">
        <v>2886</v>
      </c>
    </row>
    <row r="5" spans="1:1" x14ac:dyDescent="0.2">
      <c r="A5" s="182" t="s">
        <v>2887</v>
      </c>
    </row>
    <row r="6" spans="1:1" x14ac:dyDescent="0.2">
      <c r="A6" s="182" t="s">
        <v>2888</v>
      </c>
    </row>
    <row r="7" spans="1:1" x14ac:dyDescent="0.2">
      <c r="A7" s="182" t="s">
        <v>2889</v>
      </c>
    </row>
    <row r="8" spans="1:1" x14ac:dyDescent="0.2">
      <c r="A8" s="182" t="s">
        <v>2890</v>
      </c>
    </row>
    <row r="9" spans="1:1" x14ac:dyDescent="0.2">
      <c r="A9" s="182" t="s">
        <v>2891</v>
      </c>
    </row>
    <row r="10" spans="1:1" x14ac:dyDescent="0.2">
      <c r="A10" s="182" t="s">
        <v>2892</v>
      </c>
    </row>
    <row r="11" spans="1:1" x14ac:dyDescent="0.2">
      <c r="A11" s="182" t="s">
        <v>2893</v>
      </c>
    </row>
    <row r="12" spans="1:1" x14ac:dyDescent="0.2">
      <c r="A12" s="182" t="s">
        <v>2894</v>
      </c>
    </row>
    <row r="13" spans="1:1" x14ac:dyDescent="0.2">
      <c r="A13" s="182" t="s">
        <v>2895</v>
      </c>
    </row>
    <row r="14" spans="1:1" x14ac:dyDescent="0.2">
      <c r="A14" s="182" t="s">
        <v>2896</v>
      </c>
    </row>
    <row r="15" spans="1:1" x14ac:dyDescent="0.2">
      <c r="A15" s="182" t="s">
        <v>2897</v>
      </c>
    </row>
    <row r="16" spans="1:1" x14ac:dyDescent="0.2">
      <c r="A16" s="182" t="s">
        <v>2898</v>
      </c>
    </row>
    <row r="17" spans="1:1" x14ac:dyDescent="0.2">
      <c r="A17" s="182" t="s">
        <v>2899</v>
      </c>
    </row>
    <row r="18" spans="1:1" x14ac:dyDescent="0.2">
      <c r="A18" s="182" t="s">
        <v>2900</v>
      </c>
    </row>
    <row r="19" spans="1:1" x14ac:dyDescent="0.2">
      <c r="A19" s="182" t="s">
        <v>2901</v>
      </c>
    </row>
    <row r="20" spans="1:1" x14ac:dyDescent="0.2">
      <c r="A20" s="182" t="s">
        <v>2902</v>
      </c>
    </row>
  </sheetData>
  <hyperlinks>
    <hyperlink ref="A4" location="'3.7.2-01'!A1" display="CUADRO 3.7.2-01: NÚMERO DE CANALES DE TELEVISIÓN ABIERTA, SEGÚN COBERTURA. 2013/1" xr:uid="{E798654F-A316-49B3-8475-391200384BF1}"/>
    <hyperlink ref="A5" location="'3.7.2-02'!A1" display="CUADRO 3.7.2-02: NÚMERO DE PERMISIONARIOS DE CANALES DE TELEVISIÓN POR CABLE. 2009-2013" xr:uid="{FF2EF92F-7997-42E7-9E8B-9BEEA3D98AB3}"/>
    <hyperlink ref="A6" location="'3.7.2-03'!A1" display="CUADRO 3.7.2-03: HORAS DE EMISIÓN DE PROGRAMACIÓN DE TELEVISIÓN ABIERTA, SEGÚN PÚBLICO OBJETIVO. 2013" xr:uid="{BBD13BA1-CFE7-49A0-BFEB-A410F13B12F4}"/>
    <hyperlink ref="A7" location="'3.7.2-04'!A1" display="CUADRO 3.7.2-04: HORAS DE EMISIÓN Y CONSUMO DE PROGRAMACIÓN DE TELEVISIÓN ABIERTA, SEGÚN GÉNERO TELEVISIVO. 2013" xr:uid="{244B7F95-0960-46B0-A1B9-8CFB7E835AD3}"/>
    <hyperlink ref="A8" location="'3.7.2-05'!A1" display="CUADRO 3.7.2-05: HORAS DE EMISIÓN Y CONSUMO DE PROGRAMACIÓN DE TELEVISIÓN ABIERTA, SEGÚN PROCEDENCIA. 2013" xr:uid="{E80C9553-3DA0-49F5-BC38-4C618F9F3634}"/>
    <hyperlink ref="A9" location="'3.7.2-06'!A1" display="CUADRO 3.7.2-06: HORAS DE EMISIÓN DE PROGRAMACIÓN NACIONAL DE TELEVISIÓN ABIERTA, SEGÚN GÉNERO TELEVISIVO. 2013" xr:uid="{67418B81-D3C0-44BE-87A3-9D439B20D373}"/>
    <hyperlink ref="A10" location="'3.7.2-07'!A1" display="CUADRO 3.7.2-07: HORAS DE EMISIÓN DE PROGRAMACIÓN EXTRANJERA DE TELEVISIÓN ABIERTA, SEGÚN GÉNERO TELEVISIVO. 2013" xr:uid="{D1E9CD74-3F3B-46C2-A930-ECA1A08A8605}"/>
    <hyperlink ref="A11" location="'3.7.2-08'!A1" display="CUADRO 3.7.2-08: CONSUMO PROMEDIO ANUAL DE TELEVISIÓN ABIERTA POR HORAS, SEGÚN RANGO ETARIO. 2013" xr:uid="{132F400A-FA7C-4996-A63E-19B2E00CA29A}"/>
    <hyperlink ref="A12" location="'3.7.2-09'!A1" display="CUADRO 3.7.2-09: CONSUMO PROMEDIO ANUAL DE TELEVISIÓN ABIERTA PARA NIÑOS DE 4 A 12 AÑOS DE EDAD, SEGÚN GÉNERO TELEVISIVO. 2013" xr:uid="{EFB12582-12EF-44B6-A312-C7719F57EEE2}"/>
    <hyperlink ref="A13" location="'3.7.2-10'!A1" display="CUADRO 3.7.2-10: HORAS DE EMISIÓN DE PROGRAMACIÓN INFANTIL DE TELEVISIÓN ABIERTA, SEGÚN PROCEDENCIA. 2013" xr:uid="{7382AD1B-FDEE-4D1B-BD36-36D3061CFD4D}"/>
    <hyperlink ref="A14" location="'3.7.2-11'!A1" display="CUADRO 3.7.2-11: HORAS DE EMISIÓN Y CONSUMO DE PROGRAMACIÓN INFANTIL PARA NIÑOS MENORES DE 12 AÑOS, SEGÚN CATEGORÍA. 2013" xr:uid="{D82795E1-3406-4136-BA71-8CD4FB0081F7}"/>
    <hyperlink ref="A15" location="'3.7.2-12'!A1" display="CUADRO 3.7.2-12: HORAS DE EMISIÓN DE PROGRAMACIÓN CULTURAL/1 EN TELEVISIÓN ABIERTA, SEGÚN GÉNERO TELEVISIVO. 2010-2013" xr:uid="{2D624462-1629-4798-BF39-7D9E14EBEE1C}"/>
    <hyperlink ref="A16" location="'3.7.2-13'!A1" display="CUADRO 3.7.2-13: HORAS DE EMISIÓN ANUAL (TIEMPO Y PORCENTAJE DE OFERTA Y CONSUMO) FINANCIADAS POR EL FONDO DEL CONSEJO NACIONAL DE TELEVISIÓN (CNTV), SEGÚN TIPO DE PROGRAMACIÓN. 2013" xr:uid="{060C8B68-8931-4E6B-8AB7-548353B84D01}"/>
    <hyperlink ref="A17" location="'3.7.2-14'!A1" display="CUADRO 3.7.2-14: NÚMERO DE ACTORES FAVORECIDOS POR LA DISTRIBUCIÓN DE DERECHOS DE COMUNICACIÓN PÚBLICA DE LA CORPORACIÓN DE ACTORES DE CHILE (CHILEACTORES) POR TIPO DE REPARTO Y SEXO, SEGÚN AFILIACIÓN. 2013/a" xr:uid="{4E2408AC-AA4D-425C-9A84-94203D1E04CE}"/>
    <hyperlink ref="A18" location="'3.7.2-15'!A1" display="CUADRO 3.7.2-15: NÚMERO DE EXPLOTACIONES DE PRODUCCIONES NACIONALES Y EXTRANJERAS DE LA CORPORACIÓN DE ACTORES DE CHILE (CHILEACTORES), SEGÚN TIPO DE PRODUCCIÓN. 2009-2013/a" xr:uid="{C8222CBE-EBCE-471D-83E8-BD0D00CB24E7}"/>
    <hyperlink ref="A19" location="'3.7.2-16'!A1" display="CUADRO 3.7.2-16: NÚMERO DE EXPLOTACIONES DE PRODUCCIONES NACIONALES Y EXTRANJERAS DE LA CORPORACIÓN DE ACTORES DE CHILE (CHILEACTORES), SEGÚN TIPO DE SERIE. 2009-2013" xr:uid="{E8FEC0DF-CDB3-4C7C-8F60-B1F92118A8A3}"/>
    <hyperlink ref="A20" location="'3.7.2-17'!A1" display="CUADRO 3.7.2-17: NÚMERO DE EXPLOTACIONES DE PRODUCCIONES NACIONALES Y EXTRANJERAS DE LA CORPORACIÓN DE ACTORES DE CHILE (CHILEACTORES), SEGÚN TIPO DE PRODUCCIÓN. 2009-2013 " xr:uid="{F93ED47E-1216-4737-80DF-A9D7A54D8BD2}"/>
  </hyperlinks>
  <pageMargins left="0.7" right="0.7" top="0.75" bottom="0.75" header="0.3" footer="0.3"/>
  <pageSetup paperSize="14" scale="90" orientation="landscape" r:id="rId1"/>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CA6DA-70BF-481A-A42A-9C9182C40153}">
  <sheetPr codeName="Hoja247"/>
  <dimension ref="A1:I11"/>
  <sheetViews>
    <sheetView workbookViewId="0">
      <selection activeCell="A4" sqref="A4:A6"/>
    </sheetView>
  </sheetViews>
  <sheetFormatPr baseColWidth="10" defaultRowHeight="13.2" x14ac:dyDescent="0.25"/>
  <cols>
    <col min="1" max="1" width="18.88671875" customWidth="1"/>
    <col min="2" max="2" width="18" customWidth="1"/>
    <col min="3" max="3" width="17.5546875" customWidth="1"/>
  </cols>
  <sheetData>
    <row r="1" spans="1:9" x14ac:dyDescent="0.25">
      <c r="A1" s="691"/>
    </row>
    <row r="2" spans="1:9" s="2" customFormat="1" ht="28.5" customHeight="1" x14ac:dyDescent="0.2">
      <c r="A2" s="308" t="s">
        <v>3085</v>
      </c>
      <c r="B2" s="308"/>
      <c r="C2" s="308"/>
    </row>
    <row r="3" spans="1:9" s="2" customFormat="1" ht="10.199999999999999" x14ac:dyDescent="0.2">
      <c r="A3" s="24"/>
    </row>
    <row r="4" spans="1:9" s="2" customFormat="1" ht="10.199999999999999" x14ac:dyDescent="0.2">
      <c r="A4" s="644" t="s">
        <v>3086</v>
      </c>
      <c r="B4" s="644" t="s">
        <v>3087</v>
      </c>
      <c r="C4" s="644" t="s">
        <v>3088</v>
      </c>
      <c r="D4" s="1031"/>
    </row>
    <row r="5" spans="1:9" s="2" customFormat="1" ht="10.199999999999999" x14ac:dyDescent="0.2">
      <c r="A5" s="336" t="s">
        <v>1254</v>
      </c>
      <c r="B5" s="1250" t="s">
        <v>3089</v>
      </c>
      <c r="C5" s="2">
        <v>6</v>
      </c>
      <c r="D5" s="1250"/>
    </row>
    <row r="6" spans="1:9" s="2" customFormat="1" ht="10.199999999999999" x14ac:dyDescent="0.2">
      <c r="A6" s="336" t="s">
        <v>1255</v>
      </c>
      <c r="B6" s="1250" t="s">
        <v>3089</v>
      </c>
      <c r="C6" s="2">
        <v>83</v>
      </c>
      <c r="D6" s="1250"/>
      <c r="I6" s="771"/>
    </row>
    <row r="7" spans="1:9" s="2" customFormat="1" ht="12" x14ac:dyDescent="0.2">
      <c r="A7" s="336" t="s">
        <v>1255</v>
      </c>
      <c r="B7" s="336" t="s">
        <v>3090</v>
      </c>
      <c r="C7" s="2">
        <v>19</v>
      </c>
      <c r="D7" s="336"/>
      <c r="I7" s="1010"/>
    </row>
    <row r="8" spans="1:9" s="2" customFormat="1" ht="4.5" customHeight="1" x14ac:dyDescent="0.2">
      <c r="A8" s="336"/>
    </row>
    <row r="9" spans="1:9" s="2" customFormat="1" ht="68.25" customHeight="1" x14ac:dyDescent="0.2">
      <c r="A9" s="697" t="s">
        <v>3091</v>
      </c>
      <c r="B9" s="697"/>
      <c r="C9" s="697"/>
    </row>
    <row r="10" spans="1:9" s="2" customFormat="1" ht="10.199999999999999" x14ac:dyDescent="0.2">
      <c r="A10" s="2" t="s">
        <v>3092</v>
      </c>
    </row>
    <row r="11" spans="1:9" s="2" customFormat="1" ht="10.199999999999999" x14ac:dyDescent="0.2">
      <c r="A11" s="1251" t="s">
        <v>3093</v>
      </c>
      <c r="B11" s="1251"/>
      <c r="C11" s="1251"/>
      <c r="D11" s="442"/>
      <c r="E11" s="442"/>
    </row>
  </sheetData>
  <mergeCells count="3">
    <mergeCell ref="A2:C2"/>
    <mergeCell ref="A9:C9"/>
    <mergeCell ref="A11:C11"/>
  </mergeCells>
  <pageMargins left="0.7" right="0.7" top="0.75" bottom="0.75" header="0.3" footer="0.3"/>
  <pageSetup paperSize="14" scale="90" orientation="landscape" r:id="rId1"/>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9736E-D506-4769-9834-BEB30BBE0E9C}">
  <sheetPr codeName="Hoja248"/>
  <dimension ref="A1:I10"/>
  <sheetViews>
    <sheetView workbookViewId="0">
      <selection activeCell="A4" sqref="A4:A6"/>
    </sheetView>
  </sheetViews>
  <sheetFormatPr baseColWidth="10" defaultRowHeight="13.2" x14ac:dyDescent="0.25"/>
  <cols>
    <col min="1" max="3" width="19.44140625" customWidth="1"/>
  </cols>
  <sheetData>
    <row r="1" spans="1:9" x14ac:dyDescent="0.25">
      <c r="A1" s="691"/>
    </row>
    <row r="2" spans="1:9" s="141" customFormat="1" ht="22.5" customHeight="1" x14ac:dyDescent="0.2">
      <c r="A2" s="1252" t="s">
        <v>3094</v>
      </c>
      <c r="B2" s="1252"/>
      <c r="C2" s="1252"/>
      <c r="D2" s="1252"/>
      <c r="E2" s="1252"/>
      <c r="F2" s="1252"/>
      <c r="G2" s="651"/>
      <c r="H2" s="651"/>
      <c r="I2" s="651"/>
    </row>
    <row r="3" spans="1:9" s="141" customFormat="1" ht="10.199999999999999" x14ac:dyDescent="0.2">
      <c r="A3" s="1253"/>
      <c r="B3" s="1253"/>
      <c r="C3" s="1253"/>
      <c r="D3" s="1253"/>
      <c r="E3" s="1253"/>
      <c r="F3" s="1253"/>
      <c r="G3" s="651"/>
      <c r="H3" s="651"/>
      <c r="I3" s="651"/>
    </row>
    <row r="4" spans="1:9" s="141" customFormat="1" ht="10.199999999999999" x14ac:dyDescent="0.2">
      <c r="A4" s="1254" t="s">
        <v>3095</v>
      </c>
      <c r="B4" s="311" t="s">
        <v>825</v>
      </c>
      <c r="C4" s="311"/>
      <c r="D4" s="311"/>
      <c r="E4" s="311"/>
      <c r="F4" s="311"/>
      <c r="G4" s="651"/>
      <c r="H4" s="651"/>
      <c r="I4" s="651"/>
    </row>
    <row r="5" spans="1:9" s="141" customFormat="1" ht="10.199999999999999" x14ac:dyDescent="0.2">
      <c r="A5" s="1255"/>
      <c r="B5" s="644">
        <v>2009</v>
      </c>
      <c r="C5" s="621">
        <v>2010</v>
      </c>
      <c r="D5" s="644">
        <v>2011</v>
      </c>
      <c r="E5" s="621">
        <v>2012</v>
      </c>
      <c r="F5" s="644">
        <v>2013</v>
      </c>
      <c r="G5" s="651"/>
      <c r="H5" s="651"/>
      <c r="I5" s="651"/>
    </row>
    <row r="6" spans="1:9" s="717" customFormat="1" ht="20.399999999999999" x14ac:dyDescent="0.25">
      <c r="A6" s="705" t="s">
        <v>3096</v>
      </c>
      <c r="B6" s="932" t="s">
        <v>193</v>
      </c>
      <c r="C6" s="932" t="s">
        <v>193</v>
      </c>
      <c r="D6" s="932" t="s">
        <v>193</v>
      </c>
      <c r="E6" s="331">
        <v>212</v>
      </c>
      <c r="F6" s="331">
        <v>243</v>
      </c>
      <c r="G6" s="794"/>
      <c r="H6" s="794"/>
      <c r="I6" s="794"/>
    </row>
    <row r="7" spans="1:9" s="141" customFormat="1" ht="10.199999999999999" x14ac:dyDescent="0.2">
      <c r="A7" s="309"/>
      <c r="B7" s="1256"/>
      <c r="C7" s="1256"/>
      <c r="D7" s="1256"/>
      <c r="E7" s="342"/>
      <c r="F7" s="342"/>
      <c r="G7" s="651"/>
      <c r="H7" s="651"/>
      <c r="I7" s="651"/>
    </row>
    <row r="8" spans="1:9" s="141" customFormat="1" ht="21" customHeight="1" x14ac:dyDescent="0.2">
      <c r="A8" s="1257" t="s">
        <v>3097</v>
      </c>
      <c r="B8" s="1257"/>
      <c r="C8" s="1257"/>
      <c r="D8" s="1257"/>
      <c r="E8" s="1257"/>
      <c r="F8" s="1257"/>
      <c r="G8" s="651"/>
      <c r="H8" s="651"/>
      <c r="I8" s="651"/>
    </row>
    <row r="9" spans="1:9" s="141" customFormat="1" ht="10.199999999999999" x14ac:dyDescent="0.2">
      <c r="A9" s="1258" t="s">
        <v>198</v>
      </c>
      <c r="B9" s="1258"/>
      <c r="C9" s="1258"/>
      <c r="D9" s="1258"/>
      <c r="E9" s="1258"/>
      <c r="F9" s="1258"/>
      <c r="G9" s="651"/>
      <c r="H9" s="651"/>
      <c r="I9" s="651"/>
    </row>
    <row r="10" spans="1:9" s="141" customFormat="1" ht="10.199999999999999" x14ac:dyDescent="0.2">
      <c r="A10" s="1183" t="s">
        <v>3038</v>
      </c>
      <c r="B10" s="1183"/>
      <c r="C10" s="1183"/>
      <c r="D10" s="1183"/>
      <c r="E10" s="1183"/>
      <c r="F10" s="1183"/>
      <c r="G10" s="651"/>
      <c r="H10" s="651"/>
      <c r="I10" s="651"/>
    </row>
  </sheetData>
  <mergeCells count="6">
    <mergeCell ref="A2:F2"/>
    <mergeCell ref="A4:A5"/>
    <mergeCell ref="B4:F4"/>
    <mergeCell ref="A8:F8"/>
    <mergeCell ref="A9:F9"/>
    <mergeCell ref="A10:F10"/>
  </mergeCells>
  <pageMargins left="0.7" right="0.7" top="0.75" bottom="0.75" header="0.3" footer="0.3"/>
  <pageSetup paperSize="14" scale="90" orientation="landscape" r:id="rId1"/>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E3E0D-0027-4F97-AFA1-3C81BF2379D7}">
  <sheetPr codeName="Hoja249"/>
  <dimension ref="A1:J14"/>
  <sheetViews>
    <sheetView workbookViewId="0">
      <selection activeCell="A4" sqref="A4:A6"/>
    </sheetView>
  </sheetViews>
  <sheetFormatPr baseColWidth="10" defaultRowHeight="13.2" x14ac:dyDescent="0.25"/>
  <cols>
    <col min="1" max="1" width="19.6640625" customWidth="1"/>
  </cols>
  <sheetData>
    <row r="1" spans="1:10" x14ac:dyDescent="0.25">
      <c r="A1" s="1009"/>
    </row>
    <row r="2" spans="1:10" s="442" customFormat="1" ht="28.5" customHeight="1" x14ac:dyDescent="0.3">
      <c r="A2" s="1041" t="s">
        <v>2888</v>
      </c>
      <c r="B2" s="1041"/>
      <c r="C2" s="1041"/>
      <c r="D2" s="1041"/>
      <c r="E2" s="1041"/>
      <c r="F2" s="1259"/>
      <c r="G2" s="651"/>
      <c r="H2" s="972"/>
      <c r="I2" s="651"/>
      <c r="J2" s="651"/>
    </row>
    <row r="3" spans="1:10" s="442" customFormat="1" ht="15.75" customHeight="1" x14ac:dyDescent="0.3">
      <c r="A3" s="1260"/>
      <c r="B3" s="1260"/>
      <c r="C3" s="1260"/>
      <c r="D3" s="1260"/>
      <c r="E3" s="1260"/>
      <c r="F3" s="1259"/>
      <c r="G3" s="651"/>
      <c r="H3" s="972"/>
      <c r="I3" s="651"/>
      <c r="J3" s="651"/>
    </row>
    <row r="4" spans="1:10" s="442" customFormat="1" ht="12.75" customHeight="1" x14ac:dyDescent="0.2">
      <c r="A4" s="1261" t="s">
        <v>3098</v>
      </c>
      <c r="B4" s="1262" t="s">
        <v>3099</v>
      </c>
      <c r="C4" s="1262"/>
      <c r="D4" s="1262" t="s">
        <v>3100</v>
      </c>
      <c r="E4" s="1262"/>
      <c r="H4" s="651"/>
      <c r="I4" s="651"/>
      <c r="J4" s="651"/>
    </row>
    <row r="5" spans="1:10" s="442" customFormat="1" ht="10.199999999999999" x14ac:dyDescent="0.2">
      <c r="A5" s="1263"/>
      <c r="B5" s="1264" t="s">
        <v>3083</v>
      </c>
      <c r="C5" s="1264" t="s">
        <v>801</v>
      </c>
      <c r="D5" s="1264" t="s">
        <v>3083</v>
      </c>
      <c r="E5" s="1264" t="s">
        <v>801</v>
      </c>
      <c r="H5" s="1265"/>
      <c r="I5" s="1265"/>
      <c r="J5" s="1265"/>
    </row>
    <row r="6" spans="1:10" s="442" customFormat="1" ht="10.199999999999999" x14ac:dyDescent="0.2">
      <c r="A6" s="712" t="s">
        <v>3</v>
      </c>
      <c r="B6" s="1045">
        <f>SUM(B7:B10)</f>
        <v>54583.416666666672</v>
      </c>
      <c r="C6" s="1266">
        <f>SUM(C7:C10)</f>
        <v>99.999999999999986</v>
      </c>
      <c r="D6" s="1045">
        <f>SUM(D7:D10)</f>
        <v>929.25194444444446</v>
      </c>
      <c r="E6" s="1266">
        <f>SUM(E7:E10)</f>
        <v>100</v>
      </c>
      <c r="H6" s="1267"/>
      <c r="I6" s="1268"/>
      <c r="J6" s="1268"/>
    </row>
    <row r="7" spans="1:10" s="442" customFormat="1" ht="10.199999999999999" x14ac:dyDescent="0.2">
      <c r="A7" s="442" t="s">
        <v>3101</v>
      </c>
      <c r="B7" s="1269">
        <v>1114.1833333333334</v>
      </c>
      <c r="C7" s="1270">
        <f>+B7/$B$6*100</f>
        <v>2.0412487919865772</v>
      </c>
      <c r="D7" s="1269">
        <v>1.6741666666666666</v>
      </c>
      <c r="E7" s="1270">
        <f>+D7/$D$6*100</f>
        <v>0.18016283707295025</v>
      </c>
      <c r="H7" s="1271"/>
      <c r="I7" s="1269"/>
      <c r="J7" s="1272"/>
    </row>
    <row r="8" spans="1:10" s="442" customFormat="1" ht="10.199999999999999" x14ac:dyDescent="0.2">
      <c r="A8" s="442" t="s">
        <v>3102</v>
      </c>
      <c r="B8" s="1269">
        <v>3260.4833333333331</v>
      </c>
      <c r="C8" s="1270">
        <f>+B8/$B$6*100</f>
        <v>5.9733954604649444</v>
      </c>
      <c r="D8" s="1269">
        <v>19.837499999999999</v>
      </c>
      <c r="E8" s="1270">
        <f>+D8/$D$6*100</f>
        <v>2.1347816508320463</v>
      </c>
      <c r="H8" s="1271"/>
      <c r="I8" s="1269"/>
      <c r="J8" s="1272"/>
    </row>
    <row r="9" spans="1:10" s="442" customFormat="1" ht="10.199999999999999" x14ac:dyDescent="0.2">
      <c r="A9" s="442" t="s">
        <v>3103</v>
      </c>
      <c r="B9" s="1269">
        <v>520.63333333333333</v>
      </c>
      <c r="C9" s="1270">
        <f>+B9/$B$6*100</f>
        <v>0.95383060483877125</v>
      </c>
      <c r="D9" s="1269">
        <v>10.253888888888889</v>
      </c>
      <c r="E9" s="1270">
        <f>+D9/$D$6*100</f>
        <v>1.103456274715594</v>
      </c>
      <c r="G9" s="1273"/>
      <c r="H9" s="1271"/>
      <c r="I9" s="1269"/>
      <c r="J9" s="1272"/>
    </row>
    <row r="10" spans="1:10" s="442" customFormat="1" ht="10.199999999999999" x14ac:dyDescent="0.2">
      <c r="A10" s="442" t="s">
        <v>3104</v>
      </c>
      <c r="B10" s="1269">
        <v>49688.116666666669</v>
      </c>
      <c r="C10" s="1270">
        <f>+B10/$B$6*100</f>
        <v>91.031525142709697</v>
      </c>
      <c r="D10" s="1269">
        <v>897.48638888888888</v>
      </c>
      <c r="E10" s="1270">
        <f>+D10/$D$6*100</f>
        <v>96.581599237379407</v>
      </c>
      <c r="G10" s="1273"/>
      <c r="H10" s="1271"/>
      <c r="I10" s="1269"/>
      <c r="J10" s="1272"/>
    </row>
    <row r="11" spans="1:10" s="442" customFormat="1" ht="6.75" customHeight="1" x14ac:dyDescent="0.2">
      <c r="B11" s="1269"/>
      <c r="C11" s="1270"/>
      <c r="D11" s="1269"/>
      <c r="E11" s="1270"/>
      <c r="G11" s="1273"/>
      <c r="H11" s="1271"/>
      <c r="I11" s="1269"/>
      <c r="J11" s="1272"/>
    </row>
    <row r="12" spans="1:10" s="442" customFormat="1" ht="25.5" customHeight="1" x14ac:dyDescent="0.2">
      <c r="A12" s="1274" t="s">
        <v>3105</v>
      </c>
      <c r="B12" s="1274"/>
      <c r="C12" s="1274"/>
      <c r="D12" s="1274"/>
      <c r="E12" s="1274"/>
      <c r="G12" s="1273"/>
      <c r="H12" s="1271"/>
      <c r="I12" s="1269"/>
      <c r="J12" s="651"/>
    </row>
    <row r="13" spans="1:10" s="442" customFormat="1" ht="12.75" customHeight="1" x14ac:dyDescent="0.2">
      <c r="A13" s="1274" t="s">
        <v>3106</v>
      </c>
      <c r="B13" s="1274"/>
      <c r="C13" s="1274"/>
      <c r="D13" s="1274"/>
      <c r="E13" s="1274"/>
      <c r="G13" s="1273"/>
      <c r="H13" s="1238"/>
      <c r="I13" s="1269"/>
      <c r="J13" s="651"/>
    </row>
    <row r="14" spans="1:10" s="442" customFormat="1" ht="10.199999999999999" x14ac:dyDescent="0.2">
      <c r="A14" s="1251" t="s">
        <v>3093</v>
      </c>
      <c r="B14" s="1251"/>
      <c r="C14" s="1251"/>
      <c r="D14" s="1251"/>
      <c r="E14" s="1251"/>
      <c r="G14" s="1273"/>
      <c r="H14" s="651"/>
      <c r="I14" s="1269"/>
      <c r="J14" s="651"/>
    </row>
  </sheetData>
  <mergeCells count="7">
    <mergeCell ref="A14:E14"/>
    <mergeCell ref="A2:E2"/>
    <mergeCell ref="A4:A5"/>
    <mergeCell ref="B4:C4"/>
    <mergeCell ref="D4:E4"/>
    <mergeCell ref="A12:E12"/>
    <mergeCell ref="A13:E13"/>
  </mergeCells>
  <pageMargins left="0.7" right="0.7" top="0.75" bottom="0.75" header="0.3" footer="0.3"/>
  <pageSetup paperSize="14" scale="9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0162DE-5555-44CF-8E74-FAB58943E5F7}">
  <sheetPr codeName="Hoja25"/>
  <dimension ref="A2:G82"/>
  <sheetViews>
    <sheetView workbookViewId="0">
      <selection activeCell="E20" sqref="E20"/>
    </sheetView>
  </sheetViews>
  <sheetFormatPr baseColWidth="10" defaultColWidth="11.44140625" defaultRowHeight="10.199999999999999" x14ac:dyDescent="0.2"/>
  <cols>
    <col min="1" max="1" width="75.44140625" style="94" customWidth="1"/>
    <col min="2" max="2" width="16.109375" style="62" customWidth="1"/>
    <col min="3" max="16384" width="11.44140625" style="62"/>
  </cols>
  <sheetData>
    <row r="2" spans="1:2" ht="23.25" customHeight="1" x14ac:dyDescent="0.2">
      <c r="A2" s="223" t="s">
        <v>465</v>
      </c>
      <c r="B2" s="223"/>
    </row>
    <row r="3" spans="1:2" x14ac:dyDescent="0.2">
      <c r="A3" s="97"/>
    </row>
    <row r="4" spans="1:2" ht="34.5" customHeight="1" x14ac:dyDescent="0.2">
      <c r="A4" s="170" t="s">
        <v>76</v>
      </c>
      <c r="B4" s="72" t="s">
        <v>466</v>
      </c>
    </row>
    <row r="5" spans="1:2" x14ac:dyDescent="0.2">
      <c r="A5" s="97" t="s">
        <v>3</v>
      </c>
      <c r="B5" s="117">
        <f>SUM(B6+B10+B21+B36+B57)</f>
        <v>216286331.26999998</v>
      </c>
    </row>
    <row r="6" spans="1:2" x14ac:dyDescent="0.2">
      <c r="A6" s="224" t="s">
        <v>29</v>
      </c>
      <c r="B6" s="117">
        <f>SUM(B7)</f>
        <v>0</v>
      </c>
    </row>
    <row r="7" spans="1:2" x14ac:dyDescent="0.2">
      <c r="A7" s="225" t="s">
        <v>30</v>
      </c>
      <c r="B7" s="117">
        <f>SUM(B8:B9)</f>
        <v>0</v>
      </c>
    </row>
    <row r="8" spans="1:2" x14ac:dyDescent="0.2">
      <c r="A8" s="226" t="s">
        <v>467</v>
      </c>
      <c r="B8" s="121">
        <v>0</v>
      </c>
    </row>
    <row r="9" spans="1:2" x14ac:dyDescent="0.2">
      <c r="A9" s="226" t="s">
        <v>468</v>
      </c>
      <c r="B9" s="121">
        <v>0</v>
      </c>
    </row>
    <row r="10" spans="1:2" x14ac:dyDescent="0.2">
      <c r="A10" s="224" t="s">
        <v>70</v>
      </c>
      <c r="B10" s="117">
        <f>SUM(B11+B16+B18)</f>
        <v>5471766.0700000003</v>
      </c>
    </row>
    <row r="11" spans="1:2" x14ac:dyDescent="0.2">
      <c r="A11" s="225" t="s">
        <v>458</v>
      </c>
      <c r="B11" s="117">
        <f>SUM(B12:B15)</f>
        <v>5142244.28</v>
      </c>
    </row>
    <row r="12" spans="1:2" x14ac:dyDescent="0.2">
      <c r="A12" s="226" t="s">
        <v>469</v>
      </c>
      <c r="B12" s="121">
        <v>311463</v>
      </c>
    </row>
    <row r="13" spans="1:2" x14ac:dyDescent="0.2">
      <c r="A13" s="226" t="s">
        <v>470</v>
      </c>
      <c r="B13" s="121">
        <v>8541.67</v>
      </c>
    </row>
    <row r="14" spans="1:2" x14ac:dyDescent="0.2">
      <c r="A14" s="226" t="s">
        <v>471</v>
      </c>
      <c r="B14" s="121">
        <v>3528204.85</v>
      </c>
    </row>
    <row r="15" spans="1:2" x14ac:dyDescent="0.2">
      <c r="A15" s="226" t="s">
        <v>472</v>
      </c>
      <c r="B15" s="121">
        <v>1294034.76</v>
      </c>
    </row>
    <row r="16" spans="1:2" x14ac:dyDescent="0.2">
      <c r="A16" s="225" t="s">
        <v>459</v>
      </c>
      <c r="B16" s="117">
        <f>SUM(B17)</f>
        <v>140798.25</v>
      </c>
    </row>
    <row r="17" spans="1:2" x14ac:dyDescent="0.2">
      <c r="A17" s="226" t="s">
        <v>473</v>
      </c>
      <c r="B17" s="121">
        <v>140798.25</v>
      </c>
    </row>
    <row r="18" spans="1:2" x14ac:dyDescent="0.2">
      <c r="A18" s="225" t="s">
        <v>460</v>
      </c>
      <c r="B18" s="117">
        <f>SUM(B19:B20)</f>
        <v>188723.53999999998</v>
      </c>
    </row>
    <row r="19" spans="1:2" x14ac:dyDescent="0.2">
      <c r="A19" s="226" t="s">
        <v>474</v>
      </c>
      <c r="B19" s="121">
        <v>0</v>
      </c>
    </row>
    <row r="20" spans="1:2" x14ac:dyDescent="0.2">
      <c r="A20" s="226" t="s">
        <v>475</v>
      </c>
      <c r="B20" s="121">
        <v>188723.53999999998</v>
      </c>
    </row>
    <row r="21" spans="1:2" x14ac:dyDescent="0.2">
      <c r="A21" s="224" t="s">
        <v>33</v>
      </c>
      <c r="B21" s="117">
        <f>SUM(B22+B28+B34)</f>
        <v>31998869.999999996</v>
      </c>
    </row>
    <row r="22" spans="1:2" x14ac:dyDescent="0.2">
      <c r="A22" s="225" t="s">
        <v>168</v>
      </c>
      <c r="B22" s="117">
        <f>SUM(B23:B25)</f>
        <v>29433393.669999998</v>
      </c>
    </row>
    <row r="23" spans="1:2" ht="20.399999999999999" x14ac:dyDescent="0.2">
      <c r="A23" s="226" t="s">
        <v>476</v>
      </c>
      <c r="B23" s="121">
        <v>5164129.34</v>
      </c>
    </row>
    <row r="24" spans="1:2" ht="20.399999999999999" x14ac:dyDescent="0.2">
      <c r="A24" s="226" t="s">
        <v>477</v>
      </c>
      <c r="B24" s="121">
        <v>17895879.459999997</v>
      </c>
    </row>
    <row r="25" spans="1:2" x14ac:dyDescent="0.2">
      <c r="A25" s="226" t="s">
        <v>478</v>
      </c>
      <c r="B25" s="121">
        <v>6373384.8700000001</v>
      </c>
    </row>
    <row r="26" spans="1:2" x14ac:dyDescent="0.2">
      <c r="A26" s="225" t="s">
        <v>155</v>
      </c>
      <c r="B26" s="117">
        <f>SUM(B27)</f>
        <v>0</v>
      </c>
    </row>
    <row r="27" spans="1:2" x14ac:dyDescent="0.2">
      <c r="A27" s="226" t="s">
        <v>479</v>
      </c>
      <c r="B27" s="121">
        <v>0</v>
      </c>
    </row>
    <row r="28" spans="1:2" x14ac:dyDescent="0.2">
      <c r="A28" s="225" t="s">
        <v>156</v>
      </c>
      <c r="B28" s="117">
        <f>SUM(B29:B33)</f>
        <v>2332484.9299999997</v>
      </c>
    </row>
    <row r="29" spans="1:2" x14ac:dyDescent="0.2">
      <c r="A29" s="226" t="s">
        <v>480</v>
      </c>
      <c r="B29" s="121">
        <v>0</v>
      </c>
    </row>
    <row r="30" spans="1:2" ht="20.399999999999999" x14ac:dyDescent="0.2">
      <c r="A30" s="226" t="s">
        <v>481</v>
      </c>
      <c r="B30" s="121">
        <v>42007</v>
      </c>
    </row>
    <row r="31" spans="1:2" x14ac:dyDescent="0.2">
      <c r="A31" s="226" t="s">
        <v>482</v>
      </c>
      <c r="B31" s="121">
        <v>803417</v>
      </c>
    </row>
    <row r="32" spans="1:2" x14ac:dyDescent="0.2">
      <c r="A32" s="226" t="s">
        <v>483</v>
      </c>
      <c r="B32" s="121">
        <v>1487060.93</v>
      </c>
    </row>
    <row r="33" spans="1:2" x14ac:dyDescent="0.2">
      <c r="A33" s="226" t="s">
        <v>484</v>
      </c>
      <c r="B33" s="121">
        <v>0</v>
      </c>
    </row>
    <row r="34" spans="1:2" x14ac:dyDescent="0.2">
      <c r="A34" s="225" t="s">
        <v>60</v>
      </c>
      <c r="B34" s="117">
        <f>SUM(B35)</f>
        <v>232991.4</v>
      </c>
    </row>
    <row r="35" spans="1:2" x14ac:dyDescent="0.2">
      <c r="A35" s="226" t="s">
        <v>485</v>
      </c>
      <c r="B35" s="121">
        <v>232991.4</v>
      </c>
    </row>
    <row r="36" spans="1:2" x14ac:dyDescent="0.2">
      <c r="A36" s="224" t="s">
        <v>64</v>
      </c>
      <c r="B36" s="117">
        <f>SUM(B37+B45+B50+B55)</f>
        <v>10183703.609999999</v>
      </c>
    </row>
    <row r="37" spans="1:2" x14ac:dyDescent="0.2">
      <c r="A37" s="225" t="s">
        <v>36</v>
      </c>
      <c r="B37" s="117">
        <f>SUM(B38:B44)</f>
        <v>1282455.53</v>
      </c>
    </row>
    <row r="38" spans="1:2" x14ac:dyDescent="0.2">
      <c r="A38" s="226" t="s">
        <v>486</v>
      </c>
      <c r="B38" s="121">
        <v>0</v>
      </c>
    </row>
    <row r="39" spans="1:2" ht="20.399999999999999" x14ac:dyDescent="0.2">
      <c r="A39" s="226" t="s">
        <v>487</v>
      </c>
      <c r="B39" s="121">
        <v>0</v>
      </c>
    </row>
    <row r="40" spans="1:2" x14ac:dyDescent="0.2">
      <c r="A40" s="226" t="s">
        <v>488</v>
      </c>
      <c r="B40" s="121">
        <v>529886.04</v>
      </c>
    </row>
    <row r="41" spans="1:2" x14ac:dyDescent="0.2">
      <c r="A41" s="226" t="s">
        <v>489</v>
      </c>
      <c r="B41" s="121">
        <v>0</v>
      </c>
    </row>
    <row r="42" spans="1:2" x14ac:dyDescent="0.2">
      <c r="A42" s="226" t="s">
        <v>490</v>
      </c>
      <c r="B42" s="121">
        <v>0</v>
      </c>
    </row>
    <row r="43" spans="1:2" x14ac:dyDescent="0.2">
      <c r="A43" s="226" t="s">
        <v>491</v>
      </c>
      <c r="B43" s="121">
        <v>697597.99</v>
      </c>
    </row>
    <row r="44" spans="1:2" x14ac:dyDescent="0.2">
      <c r="A44" s="226" t="s">
        <v>492</v>
      </c>
      <c r="B44" s="121">
        <v>54971.5</v>
      </c>
    </row>
    <row r="45" spans="1:2" x14ac:dyDescent="0.2">
      <c r="A45" s="225" t="s">
        <v>37</v>
      </c>
      <c r="B45" s="117">
        <f>SUM(B46:B49)</f>
        <v>1827911.8999999997</v>
      </c>
    </row>
    <row r="46" spans="1:2" x14ac:dyDescent="0.2">
      <c r="A46" s="226" t="s">
        <v>493</v>
      </c>
      <c r="B46" s="121">
        <v>0</v>
      </c>
    </row>
    <row r="47" spans="1:2" x14ac:dyDescent="0.2">
      <c r="A47" s="226" t="s">
        <v>494</v>
      </c>
      <c r="B47" s="121">
        <v>0</v>
      </c>
    </row>
    <row r="48" spans="1:2" x14ac:dyDescent="0.2">
      <c r="A48" s="226" t="s">
        <v>495</v>
      </c>
      <c r="B48" s="121">
        <v>1755258.7599999998</v>
      </c>
    </row>
    <row r="49" spans="1:2" x14ac:dyDescent="0.2">
      <c r="A49" s="226" t="s">
        <v>496</v>
      </c>
      <c r="B49" s="121">
        <v>72653.14</v>
      </c>
    </row>
    <row r="50" spans="1:2" x14ac:dyDescent="0.2">
      <c r="A50" s="225" t="s">
        <v>38</v>
      </c>
      <c r="B50" s="117">
        <f>SUM(B51:B54)</f>
        <v>6739356.7599999998</v>
      </c>
    </row>
    <row r="51" spans="1:2" x14ac:dyDescent="0.2">
      <c r="A51" s="226" t="s">
        <v>497</v>
      </c>
      <c r="B51" s="121">
        <v>0</v>
      </c>
    </row>
    <row r="52" spans="1:2" x14ac:dyDescent="0.2">
      <c r="A52" s="226" t="s">
        <v>498</v>
      </c>
      <c r="B52" s="121">
        <v>6498928.9199999999</v>
      </c>
    </row>
    <row r="53" spans="1:2" x14ac:dyDescent="0.2">
      <c r="A53" s="226" t="s">
        <v>499</v>
      </c>
      <c r="B53" s="121">
        <v>35219.839999999997</v>
      </c>
    </row>
    <row r="54" spans="1:2" x14ac:dyDescent="0.2">
      <c r="A54" s="226" t="s">
        <v>500</v>
      </c>
      <c r="B54" s="121">
        <v>205208</v>
      </c>
    </row>
    <row r="55" spans="1:2" x14ac:dyDescent="0.2">
      <c r="A55" s="225" t="s">
        <v>461</v>
      </c>
      <c r="B55" s="117">
        <f>SUM(B56)</f>
        <v>333979.42</v>
      </c>
    </row>
    <row r="56" spans="1:2" x14ac:dyDescent="0.2">
      <c r="A56" s="226" t="s">
        <v>501</v>
      </c>
      <c r="B56" s="121">
        <v>333979.42</v>
      </c>
    </row>
    <row r="57" spans="1:2" x14ac:dyDescent="0.2">
      <c r="A57" s="225" t="s">
        <v>65</v>
      </c>
      <c r="B57" s="117">
        <f>SUM(B58+B60)</f>
        <v>168631991.58999997</v>
      </c>
    </row>
    <row r="58" spans="1:2" x14ac:dyDescent="0.2">
      <c r="A58" s="225" t="s">
        <v>462</v>
      </c>
      <c r="B58" s="117">
        <f>SUM(B59)</f>
        <v>3591169</v>
      </c>
    </row>
    <row r="59" spans="1:2" x14ac:dyDescent="0.2">
      <c r="A59" s="226" t="s">
        <v>502</v>
      </c>
      <c r="B59" s="121">
        <v>3591169</v>
      </c>
    </row>
    <row r="60" spans="1:2" x14ac:dyDescent="0.2">
      <c r="A60" s="224" t="s">
        <v>41</v>
      </c>
      <c r="B60" s="117">
        <f>SUM(B61:B78)</f>
        <v>165040822.58999997</v>
      </c>
    </row>
    <row r="61" spans="1:2" x14ac:dyDescent="0.2">
      <c r="A61" s="226" t="s">
        <v>503</v>
      </c>
      <c r="B61" s="121">
        <v>2808412.05</v>
      </c>
    </row>
    <row r="62" spans="1:2" x14ac:dyDescent="0.2">
      <c r="A62" s="226" t="s">
        <v>504</v>
      </c>
      <c r="B62" s="121">
        <v>2800061.63</v>
      </c>
    </row>
    <row r="63" spans="1:2" ht="20.399999999999999" x14ac:dyDescent="0.2">
      <c r="A63" s="226" t="s">
        <v>505</v>
      </c>
      <c r="B63" s="121">
        <v>19421506.75</v>
      </c>
    </row>
    <row r="64" spans="1:2" x14ac:dyDescent="0.2">
      <c r="A64" s="226" t="s">
        <v>506</v>
      </c>
      <c r="B64" s="121">
        <v>20001491.579999998</v>
      </c>
    </row>
    <row r="65" spans="1:7" ht="20.399999999999999" x14ac:dyDescent="0.2">
      <c r="A65" s="226" t="s">
        <v>507</v>
      </c>
      <c r="B65" s="121">
        <v>10163933.129999999</v>
      </c>
    </row>
    <row r="66" spans="1:7" x14ac:dyDescent="0.2">
      <c r="A66" s="226" t="s">
        <v>508</v>
      </c>
      <c r="B66" s="121">
        <v>4952</v>
      </c>
    </row>
    <row r="67" spans="1:7" x14ac:dyDescent="0.2">
      <c r="A67" s="226" t="s">
        <v>509</v>
      </c>
      <c r="B67" s="121">
        <v>944915.9800000001</v>
      </c>
    </row>
    <row r="68" spans="1:7" x14ac:dyDescent="0.2">
      <c r="A68" s="226" t="s">
        <v>510</v>
      </c>
      <c r="B68" s="121">
        <v>48131170.239999995</v>
      </c>
    </row>
    <row r="69" spans="1:7" x14ac:dyDescent="0.2">
      <c r="A69" s="226" t="s">
        <v>511</v>
      </c>
      <c r="B69" s="121">
        <v>234293.39</v>
      </c>
    </row>
    <row r="70" spans="1:7" ht="20.399999999999999" x14ac:dyDescent="0.2">
      <c r="A70" s="226" t="s">
        <v>512</v>
      </c>
      <c r="B70" s="121">
        <v>14680723.390000001</v>
      </c>
    </row>
    <row r="71" spans="1:7" x14ac:dyDescent="0.2">
      <c r="A71" s="226" t="s">
        <v>513</v>
      </c>
      <c r="B71" s="121">
        <v>28267227.500000007</v>
      </c>
    </row>
    <row r="72" spans="1:7" x14ac:dyDescent="0.2">
      <c r="A72" s="226" t="s">
        <v>514</v>
      </c>
      <c r="B72" s="121">
        <v>16641891.479999997</v>
      </c>
    </row>
    <row r="73" spans="1:7" ht="20.399999999999999" x14ac:dyDescent="0.2">
      <c r="A73" s="226" t="s">
        <v>515</v>
      </c>
      <c r="B73" s="121">
        <v>0</v>
      </c>
    </row>
    <row r="74" spans="1:7" x14ac:dyDescent="0.2">
      <c r="A74" s="227" t="s">
        <v>516</v>
      </c>
      <c r="B74" s="121">
        <v>0</v>
      </c>
    </row>
    <row r="75" spans="1:7" x14ac:dyDescent="0.2">
      <c r="A75" s="227" t="s">
        <v>517</v>
      </c>
      <c r="B75" s="121">
        <v>908073.47</v>
      </c>
    </row>
    <row r="76" spans="1:7" ht="20.399999999999999" x14ac:dyDescent="0.2">
      <c r="A76" s="226" t="s">
        <v>518</v>
      </c>
      <c r="B76" s="121">
        <v>0</v>
      </c>
    </row>
    <row r="77" spans="1:7" x14ac:dyDescent="0.2">
      <c r="A77" s="226" t="s">
        <v>519</v>
      </c>
      <c r="B77" s="121">
        <v>32170</v>
      </c>
    </row>
    <row r="78" spans="1:7" ht="20.399999999999999" x14ac:dyDescent="0.2">
      <c r="A78" s="226" t="s">
        <v>520</v>
      </c>
      <c r="B78" s="121">
        <v>0</v>
      </c>
    </row>
    <row r="80" spans="1:7" x14ac:dyDescent="0.2">
      <c r="A80" s="221" t="s">
        <v>521</v>
      </c>
      <c r="B80" s="221"/>
      <c r="C80" s="228"/>
      <c r="D80" s="228"/>
      <c r="E80" s="228"/>
      <c r="F80" s="228"/>
      <c r="G80" s="228"/>
    </row>
    <row r="81" spans="1:2" x14ac:dyDescent="0.2">
      <c r="A81" s="140" t="s">
        <v>19</v>
      </c>
    </row>
    <row r="82" spans="1:2" ht="21" customHeight="1" x14ac:dyDescent="0.2">
      <c r="A82" s="77" t="s">
        <v>450</v>
      </c>
      <c r="B82" s="77"/>
    </row>
  </sheetData>
  <mergeCells count="3">
    <mergeCell ref="A2:B2"/>
    <mergeCell ref="A80:B80"/>
    <mergeCell ref="A82:B82"/>
  </mergeCells>
  <pageMargins left="0.23622047244094491" right="0.23622047244094491" top="0.74803149606299213" bottom="0.74803149606299213" header="0.31496062992125984" footer="0.31496062992125984"/>
  <pageSetup paperSize="14" scale="80" orientation="portrait" verticalDpi="599" r:id="rId1"/>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FC78B-4576-440B-B7BB-8B6ABF69A3F3}">
  <sheetPr codeName="Hoja250"/>
  <dimension ref="A1:O29"/>
  <sheetViews>
    <sheetView workbookViewId="0">
      <selection activeCell="A4" sqref="A4:A6"/>
    </sheetView>
  </sheetViews>
  <sheetFormatPr baseColWidth="10" defaultRowHeight="13.2" x14ac:dyDescent="0.25"/>
  <cols>
    <col min="1" max="1" width="23.6640625" customWidth="1"/>
  </cols>
  <sheetData>
    <row r="1" spans="1:15" x14ac:dyDescent="0.25">
      <c r="A1" s="1009"/>
    </row>
    <row r="2" spans="1:15" s="442" customFormat="1" ht="33" customHeight="1" x14ac:dyDescent="0.2">
      <c r="A2" s="1041" t="s">
        <v>2889</v>
      </c>
      <c r="B2" s="1041"/>
      <c r="C2" s="1041"/>
      <c r="D2" s="1041"/>
      <c r="E2" s="1041"/>
      <c r="G2" s="1273"/>
      <c r="H2" s="1271"/>
      <c r="I2" s="1269"/>
      <c r="J2" s="1272"/>
      <c r="K2" s="485"/>
      <c r="M2" s="651"/>
      <c r="N2" s="651"/>
      <c r="O2" s="651"/>
    </row>
    <row r="3" spans="1:15" s="442" customFormat="1" ht="14.25" customHeight="1" x14ac:dyDescent="0.2">
      <c r="A3" s="1260"/>
      <c r="B3" s="1260"/>
      <c r="C3" s="1260"/>
      <c r="D3" s="1260"/>
      <c r="E3" s="1260"/>
      <c r="G3" s="1273"/>
      <c r="H3" s="1271"/>
      <c r="I3" s="1269"/>
      <c r="J3" s="1272"/>
      <c r="K3" s="485"/>
      <c r="M3" s="651"/>
      <c r="N3" s="651"/>
      <c r="O3" s="651"/>
    </row>
    <row r="4" spans="1:15" s="442" customFormat="1" ht="12.75" customHeight="1" x14ac:dyDescent="0.2">
      <c r="A4" s="1043" t="s">
        <v>3107</v>
      </c>
      <c r="B4" s="1262" t="s">
        <v>3099</v>
      </c>
      <c r="C4" s="1262"/>
      <c r="D4" s="1262" t="s">
        <v>3100</v>
      </c>
      <c r="E4" s="1262"/>
      <c r="G4" s="1273"/>
      <c r="H4" s="1271"/>
      <c r="I4" s="1269"/>
      <c r="J4" s="1272"/>
      <c r="K4" s="1275"/>
      <c r="M4" s="651"/>
      <c r="N4" s="651"/>
      <c r="O4" s="651"/>
    </row>
    <row r="5" spans="1:15" s="442" customFormat="1" ht="10.199999999999999" x14ac:dyDescent="0.2">
      <c r="A5" s="1044"/>
      <c r="B5" s="1264" t="s">
        <v>3083</v>
      </c>
      <c r="C5" s="1264" t="s">
        <v>801</v>
      </c>
      <c r="D5" s="1264" t="s">
        <v>3083</v>
      </c>
      <c r="E5" s="1264" t="s">
        <v>801</v>
      </c>
      <c r="G5" s="1276"/>
      <c r="H5" s="1276"/>
      <c r="I5" s="1276"/>
      <c r="J5" s="1276"/>
      <c r="K5" s="1277"/>
      <c r="M5" s="651"/>
      <c r="N5" s="785"/>
      <c r="O5" s="785"/>
    </row>
    <row r="6" spans="1:15" s="442" customFormat="1" ht="10.199999999999999" x14ac:dyDescent="0.2">
      <c r="A6" s="712" t="s">
        <v>3</v>
      </c>
      <c r="B6" s="1278">
        <f>SUM(B7:B21)</f>
        <v>54583.416666666672</v>
      </c>
      <c r="C6" s="1278">
        <f>SUM(C7:C21)</f>
        <v>99.999999999999986</v>
      </c>
      <c r="D6" s="1278">
        <f>SUM(D7:D21)</f>
        <v>929.25194444444435</v>
      </c>
      <c r="E6" s="1278">
        <f>SUM(E7:E21)</f>
        <v>100.00000000000001</v>
      </c>
      <c r="G6" s="1278"/>
      <c r="H6" s="1278"/>
      <c r="I6" s="1278"/>
      <c r="J6" s="1278"/>
      <c r="K6" s="1270"/>
      <c r="M6" s="1272"/>
      <c r="N6" s="1279"/>
      <c r="O6" s="785"/>
    </row>
    <row r="7" spans="1:15" s="442" customFormat="1" ht="10.199999999999999" x14ac:dyDescent="0.2">
      <c r="A7" s="1280" t="s">
        <v>3108</v>
      </c>
      <c r="B7" s="1281">
        <v>7785.6166666666668</v>
      </c>
      <c r="C7" s="1282">
        <f t="shared" ref="C7:C19" si="0">+B7/$B$6*100</f>
        <v>14.263703414193261</v>
      </c>
      <c r="D7" s="1283">
        <v>128.46083333333334</v>
      </c>
      <c r="E7" s="1282">
        <f t="shared" ref="E7:E19" si="1">+D7/$D$6*100</f>
        <v>13.82411240582703</v>
      </c>
      <c r="G7" s="1283"/>
      <c r="H7" s="1282"/>
      <c r="I7" s="1283"/>
      <c r="J7" s="1282"/>
      <c r="K7" s="1270"/>
      <c r="M7" s="651"/>
      <c r="N7" s="1279"/>
      <c r="O7" s="1284"/>
    </row>
    <row r="8" spans="1:15" s="442" customFormat="1" ht="10.199999999999999" x14ac:dyDescent="0.2">
      <c r="A8" s="1280" t="s">
        <v>3109</v>
      </c>
      <c r="B8" s="1281">
        <v>701.7166666666667</v>
      </c>
      <c r="C8" s="1282">
        <f t="shared" si="0"/>
        <v>1.2855858235330939</v>
      </c>
      <c r="D8" s="1283">
        <v>8.93</v>
      </c>
      <c r="E8" s="1282">
        <f t="shared" si="1"/>
        <v>0.96098803487990792</v>
      </c>
      <c r="G8" s="1283"/>
      <c r="H8" s="1282"/>
      <c r="I8" s="1283"/>
      <c r="J8" s="1282"/>
      <c r="K8" s="1270"/>
      <c r="M8" s="1272"/>
      <c r="N8" s="1279"/>
      <c r="O8" s="1284"/>
    </row>
    <row r="9" spans="1:15" s="442" customFormat="1" ht="10.199999999999999" x14ac:dyDescent="0.2">
      <c r="A9" s="1280" t="s">
        <v>2379</v>
      </c>
      <c r="B9" s="1281">
        <v>959.83333333333337</v>
      </c>
      <c r="C9" s="1282">
        <f t="shared" si="0"/>
        <v>1.7584705977548125</v>
      </c>
      <c r="D9" s="1283">
        <v>30.580555555555556</v>
      </c>
      <c r="E9" s="1282">
        <f t="shared" si="1"/>
        <v>3.2908788341398862</v>
      </c>
      <c r="G9" s="1283"/>
      <c r="H9" s="1282"/>
      <c r="I9" s="1283"/>
      <c r="J9" s="1282"/>
      <c r="K9" s="1270"/>
      <c r="M9" s="1272"/>
      <c r="N9" s="1279"/>
      <c r="O9" s="1284"/>
    </row>
    <row r="10" spans="1:15" s="442" customFormat="1" ht="10.199999999999999" x14ac:dyDescent="0.2">
      <c r="A10" s="1280" t="s">
        <v>3110</v>
      </c>
      <c r="B10" s="1281">
        <v>9059.7833333333328</v>
      </c>
      <c r="C10" s="1282">
        <f t="shared" si="0"/>
        <v>16.598050995341989</v>
      </c>
      <c r="D10" s="1283">
        <v>226.77416666666667</v>
      </c>
      <c r="E10" s="1282">
        <f t="shared" si="1"/>
        <v>24.403948576319006</v>
      </c>
      <c r="G10" s="1283"/>
      <c r="H10" s="1282"/>
      <c r="I10" s="1283"/>
      <c r="J10" s="1282"/>
      <c r="K10" s="1270"/>
      <c r="M10" s="1272"/>
      <c r="N10" s="1279"/>
      <c r="O10" s="1284"/>
    </row>
    <row r="11" spans="1:15" s="442" customFormat="1" ht="10.199999999999999" x14ac:dyDescent="0.2">
      <c r="A11" s="1280" t="s">
        <v>3111</v>
      </c>
      <c r="B11" s="1281">
        <v>768.8</v>
      </c>
      <c r="C11" s="1282">
        <f t="shared" si="0"/>
        <v>1.4084863992574055</v>
      </c>
      <c r="D11" s="1283">
        <v>1.2411111111111111</v>
      </c>
      <c r="E11" s="1282">
        <f t="shared" si="1"/>
        <v>0.13356023826811711</v>
      </c>
      <c r="G11" s="1283"/>
      <c r="H11" s="1282"/>
      <c r="I11" s="1283"/>
      <c r="J11" s="1282"/>
      <c r="K11" s="1270"/>
      <c r="M11" s="1272"/>
      <c r="N11" s="1279"/>
      <c r="O11" s="1284"/>
    </row>
    <row r="12" spans="1:15" s="442" customFormat="1" ht="10.199999999999999" x14ac:dyDescent="0.2">
      <c r="A12" s="1280" t="s">
        <v>1205</v>
      </c>
      <c r="B12" s="1281">
        <v>9228.6833333333325</v>
      </c>
      <c r="C12" s="1282">
        <f t="shared" si="0"/>
        <v>16.907485637426507</v>
      </c>
      <c r="D12" s="1283">
        <v>173.74138888888888</v>
      </c>
      <c r="E12" s="1282">
        <f t="shared" si="1"/>
        <v>18.696908833778185</v>
      </c>
      <c r="G12" s="1283"/>
      <c r="H12" s="1282"/>
      <c r="I12" s="1283"/>
      <c r="J12" s="1282"/>
      <c r="K12" s="1270"/>
      <c r="M12" s="1272"/>
      <c r="N12" s="1279"/>
      <c r="O12" s="1284"/>
    </row>
    <row r="13" spans="1:15" s="442" customFormat="1" ht="10.199999999999999" x14ac:dyDescent="0.2">
      <c r="A13" s="1280" t="s">
        <v>3112</v>
      </c>
      <c r="B13" s="1281">
        <v>3962.7333333333331</v>
      </c>
      <c r="C13" s="1282">
        <f t="shared" si="0"/>
        <v>7.2599583817429272</v>
      </c>
      <c r="D13" s="1283">
        <v>65.835833333333326</v>
      </c>
      <c r="E13" s="1282">
        <f t="shared" si="1"/>
        <v>7.0848206158657483</v>
      </c>
      <c r="G13" s="1283"/>
      <c r="H13" s="1282"/>
      <c r="I13" s="1283"/>
      <c r="J13" s="1282"/>
      <c r="K13" s="1280"/>
      <c r="L13" s="1285"/>
      <c r="M13" s="1270"/>
      <c r="N13" s="1286"/>
      <c r="O13" s="1270"/>
    </row>
    <row r="14" spans="1:15" s="442" customFormat="1" ht="10.199999999999999" x14ac:dyDescent="0.2">
      <c r="A14" s="442" t="s">
        <v>38</v>
      </c>
      <c r="B14" s="1281">
        <v>3396.6333333333332</v>
      </c>
      <c r="C14" s="1282">
        <f t="shared" si="0"/>
        <v>6.2228301941523751</v>
      </c>
      <c r="D14" s="1283">
        <v>6.3147222222222226</v>
      </c>
      <c r="E14" s="1282">
        <f t="shared" si="1"/>
        <v>0.67954899206560127</v>
      </c>
      <c r="G14" s="1283"/>
      <c r="H14" s="1282"/>
      <c r="I14" s="1283"/>
      <c r="J14" s="1282"/>
      <c r="K14" s="1270"/>
      <c r="M14" s="1272"/>
      <c r="N14" s="1279"/>
      <c r="O14" s="1284"/>
    </row>
    <row r="15" spans="1:15" s="442" customFormat="1" ht="10.199999999999999" x14ac:dyDescent="0.2">
      <c r="A15" s="442" t="s">
        <v>3113</v>
      </c>
      <c r="B15" s="1281">
        <v>932.81666666666672</v>
      </c>
      <c r="C15" s="1282">
        <f t="shared" si="0"/>
        <v>1.7089744901152824</v>
      </c>
      <c r="D15" s="1283">
        <v>20.135555555555555</v>
      </c>
      <c r="E15" s="1282">
        <f t="shared" si="1"/>
        <v>2.1668564349998372</v>
      </c>
      <c r="G15" s="1283"/>
      <c r="H15" s="1282"/>
      <c r="I15" s="1283"/>
      <c r="J15" s="1282"/>
      <c r="K15" s="1270"/>
      <c r="M15" s="1272"/>
      <c r="N15" s="1279"/>
      <c r="O15" s="1284"/>
    </row>
    <row r="16" spans="1:15" s="442" customFormat="1" ht="10.199999999999999" x14ac:dyDescent="0.2">
      <c r="A16" s="1280" t="s">
        <v>3114</v>
      </c>
      <c r="B16" s="1281">
        <v>1420</v>
      </c>
      <c r="C16" s="1282">
        <f t="shared" si="0"/>
        <v>2.6015227457668004</v>
      </c>
      <c r="D16" s="1283">
        <v>33.551666666666669</v>
      </c>
      <c r="E16" s="1282">
        <f t="shared" si="1"/>
        <v>3.6106103266456566</v>
      </c>
      <c r="G16" s="1283"/>
      <c r="H16" s="1282"/>
      <c r="I16" s="1283"/>
      <c r="J16" s="1282"/>
      <c r="K16" s="1270"/>
      <c r="M16" s="1272"/>
      <c r="N16" s="1279"/>
      <c r="O16" s="1284"/>
    </row>
    <row r="17" spans="1:15" s="442" customFormat="1" ht="10.199999999999999" x14ac:dyDescent="0.2">
      <c r="A17" s="1280" t="s">
        <v>3115</v>
      </c>
      <c r="B17" s="1281">
        <v>9302.5833333333339</v>
      </c>
      <c r="C17" s="1282">
        <f t="shared" si="0"/>
        <v>17.042874743702683</v>
      </c>
      <c r="D17" s="1283">
        <v>84.523055555555558</v>
      </c>
      <c r="E17" s="1282">
        <f t="shared" si="1"/>
        <v>9.0958169160558384</v>
      </c>
      <c r="G17" s="1283"/>
      <c r="H17" s="1282"/>
      <c r="I17" s="1283"/>
      <c r="J17" s="1282"/>
      <c r="K17" s="1270"/>
      <c r="M17" s="1272"/>
      <c r="N17" s="1279"/>
      <c r="O17" s="1284"/>
    </row>
    <row r="18" spans="1:15" s="442" customFormat="1" ht="10.199999999999999" x14ac:dyDescent="0.2">
      <c r="A18" s="1280" t="s">
        <v>3116</v>
      </c>
      <c r="B18" s="1281">
        <v>6001.1166666666668</v>
      </c>
      <c r="C18" s="1282">
        <f t="shared" si="0"/>
        <v>10.994395428403925</v>
      </c>
      <c r="D18" s="1283">
        <v>148.33777777777777</v>
      </c>
      <c r="E18" s="1282">
        <f t="shared" si="1"/>
        <v>15.96313880908389</v>
      </c>
      <c r="G18" s="1283"/>
      <c r="H18" s="1282"/>
      <c r="I18" s="1283"/>
      <c r="J18" s="1282"/>
      <c r="K18" s="1270"/>
      <c r="M18" s="1272"/>
      <c r="N18" s="1279"/>
      <c r="O18" s="1284"/>
    </row>
    <row r="19" spans="1:15" s="442" customFormat="1" ht="10.199999999999999" x14ac:dyDescent="0.2">
      <c r="A19" s="1280" t="s">
        <v>3117</v>
      </c>
      <c r="B19" s="1281">
        <v>1063.0999999999999</v>
      </c>
      <c r="C19" s="1282">
        <f t="shared" si="0"/>
        <v>1.947661148608933</v>
      </c>
      <c r="D19" s="1283">
        <v>0.82527777777777778</v>
      </c>
      <c r="E19" s="1282">
        <f t="shared" si="1"/>
        <v>8.8810982071301683E-2</v>
      </c>
      <c r="G19" s="1283"/>
      <c r="H19" s="1282"/>
      <c r="I19" s="1283"/>
      <c r="J19" s="1282"/>
      <c r="K19" s="1270"/>
      <c r="M19" s="1272"/>
      <c r="N19" s="1279"/>
      <c r="O19" s="1284"/>
    </row>
    <row r="20" spans="1:15" s="442" customFormat="1" ht="12" x14ac:dyDescent="0.2">
      <c r="A20" s="442" t="s">
        <v>3118</v>
      </c>
      <c r="B20" s="1281" t="s">
        <v>193</v>
      </c>
      <c r="C20" s="1281" t="s">
        <v>193</v>
      </c>
      <c r="D20" s="1287" t="s">
        <v>193</v>
      </c>
      <c r="E20" s="1287" t="s">
        <v>193</v>
      </c>
      <c r="G20" s="1287"/>
      <c r="H20" s="1282"/>
      <c r="I20" s="1283"/>
      <c r="J20" s="1287"/>
      <c r="K20" s="1270"/>
      <c r="M20" s="1272"/>
      <c r="N20" s="1279"/>
      <c r="O20" s="1284"/>
    </row>
    <row r="21" spans="1:15" s="442" customFormat="1" ht="12" x14ac:dyDescent="0.2">
      <c r="A21" s="442" t="s">
        <v>3119</v>
      </c>
      <c r="B21" s="1281" t="s">
        <v>193</v>
      </c>
      <c r="C21" s="1281" t="s">
        <v>193</v>
      </c>
      <c r="D21" s="1287" t="s">
        <v>193</v>
      </c>
      <c r="E21" s="1287" t="s">
        <v>193</v>
      </c>
      <c r="G21" s="1287"/>
      <c r="H21" s="1282"/>
      <c r="I21" s="1283"/>
      <c r="J21" s="1287"/>
      <c r="K21" s="1270"/>
      <c r="M21" s="1272"/>
      <c r="N21" s="1279"/>
      <c r="O21" s="1284"/>
    </row>
    <row r="22" spans="1:15" s="442" customFormat="1" ht="10.199999999999999" x14ac:dyDescent="0.2">
      <c r="B22" s="1279"/>
      <c r="C22" s="1270"/>
      <c r="D22" s="1286"/>
      <c r="E22" s="1270"/>
      <c r="G22" s="1273"/>
      <c r="H22" s="1288"/>
      <c r="I22" s="1289"/>
      <c r="J22" s="1286"/>
      <c r="K22" s="1270"/>
      <c r="M22" s="1272"/>
      <c r="N22" s="1279"/>
      <c r="O22" s="1284"/>
    </row>
    <row r="23" spans="1:15" s="442" customFormat="1" ht="20.25" customHeight="1" x14ac:dyDescent="0.2">
      <c r="A23" s="1274" t="s">
        <v>3120</v>
      </c>
      <c r="B23" s="1274"/>
      <c r="C23" s="1274"/>
      <c r="D23" s="1274"/>
      <c r="E23" s="1274"/>
      <c r="G23" s="1273"/>
      <c r="H23" s="1288"/>
      <c r="I23" s="1289"/>
      <c r="J23" s="485"/>
      <c r="K23" s="485"/>
    </row>
    <row r="24" spans="1:15" s="442" customFormat="1" ht="33" customHeight="1" x14ac:dyDescent="0.2">
      <c r="A24" s="1290" t="s">
        <v>3121</v>
      </c>
      <c r="B24" s="1290"/>
      <c r="C24" s="1290"/>
      <c r="D24" s="1290"/>
      <c r="E24" s="1290"/>
      <c r="G24" s="651"/>
      <c r="H24" s="2"/>
      <c r="I24" s="2"/>
      <c r="J24" s="485"/>
      <c r="K24" s="485"/>
    </row>
    <row r="25" spans="1:15" s="442" customFormat="1" ht="10.199999999999999" x14ac:dyDescent="0.2">
      <c r="A25" s="1274" t="s">
        <v>3122</v>
      </c>
      <c r="B25" s="1274"/>
      <c r="C25" s="1274"/>
      <c r="D25" s="1274"/>
      <c r="E25" s="1274"/>
      <c r="G25" s="651"/>
      <c r="H25" s="2"/>
      <c r="I25" s="2"/>
      <c r="J25" s="485"/>
      <c r="K25" s="485"/>
    </row>
    <row r="26" spans="1:15" s="442" customFormat="1" ht="22.5" customHeight="1" x14ac:dyDescent="0.2">
      <c r="A26" s="1290" t="s">
        <v>3123</v>
      </c>
      <c r="B26" s="1290"/>
      <c r="C26" s="1290"/>
      <c r="D26" s="1290"/>
      <c r="E26" s="1290"/>
      <c r="G26" s="651"/>
      <c r="H26" s="2"/>
      <c r="I26" s="2"/>
      <c r="J26" s="485"/>
      <c r="K26" s="485"/>
    </row>
    <row r="27" spans="1:15" s="442" customFormat="1" ht="10.199999999999999" x14ac:dyDescent="0.2">
      <c r="A27" s="1274" t="s">
        <v>198</v>
      </c>
      <c r="B27" s="1274"/>
      <c r="C27" s="1274"/>
      <c r="D27" s="1274"/>
      <c r="E27" s="1274"/>
      <c r="G27" s="651"/>
      <c r="H27" s="2"/>
      <c r="I27" s="2"/>
      <c r="J27" s="485"/>
      <c r="K27" s="485"/>
    </row>
    <row r="28" spans="1:15" s="442" customFormat="1" x14ac:dyDescent="0.25">
      <c r="A28" s="442" t="s">
        <v>3093</v>
      </c>
      <c r="C28" s="1291"/>
      <c r="D28" s="1291"/>
      <c r="E28" s="1292"/>
      <c r="G28" s="1293"/>
      <c r="H28" s="1293"/>
      <c r="I28" s="1293"/>
      <c r="J28" s="1291"/>
      <c r="K28" s="1291"/>
    </row>
    <row r="29" spans="1:15" s="442" customFormat="1" ht="10.199999999999999" x14ac:dyDescent="0.2">
      <c r="G29" s="1294"/>
      <c r="H29" s="1295"/>
      <c r="I29" s="1295"/>
    </row>
  </sheetData>
  <mergeCells count="9">
    <mergeCell ref="A25:E25"/>
    <mergeCell ref="A26:E26"/>
    <mergeCell ref="A27:E27"/>
    <mergeCell ref="A2:E2"/>
    <mergeCell ref="A4:A5"/>
    <mergeCell ref="B4:C4"/>
    <mergeCell ref="D4:E4"/>
    <mergeCell ref="A23:E23"/>
    <mergeCell ref="A24:E24"/>
  </mergeCells>
  <pageMargins left="0.7" right="0.7" top="0.75" bottom="0.75" header="0.3" footer="0.3"/>
  <pageSetup paperSize="14" scale="90" orientation="landscape" r:id="rId1"/>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D0C9F-52A8-4794-A376-63101CF4E228}">
  <sheetPr codeName="Hoja251"/>
  <dimension ref="A1:I12"/>
  <sheetViews>
    <sheetView workbookViewId="0">
      <selection activeCell="A4" sqref="A4:A6"/>
    </sheetView>
  </sheetViews>
  <sheetFormatPr baseColWidth="10" defaultRowHeight="13.2" x14ac:dyDescent="0.25"/>
  <cols>
    <col min="1" max="1" width="23.6640625" customWidth="1"/>
  </cols>
  <sheetData>
    <row r="1" spans="1:9" x14ac:dyDescent="0.25">
      <c r="A1" s="1009"/>
    </row>
    <row r="2" spans="1:9" s="442" customFormat="1" ht="24" customHeight="1" x14ac:dyDescent="0.2">
      <c r="A2" s="1041" t="s">
        <v>2890</v>
      </c>
      <c r="B2" s="1041"/>
      <c r="C2" s="1041"/>
      <c r="D2" s="1041"/>
      <c r="E2" s="1041"/>
      <c r="G2" s="1296"/>
      <c r="H2" s="909"/>
      <c r="I2" s="1297"/>
    </row>
    <row r="3" spans="1:9" s="442" customFormat="1" ht="10.199999999999999" x14ac:dyDescent="0.2">
      <c r="A3" s="1260"/>
      <c r="B3" s="1260"/>
      <c r="C3" s="1260"/>
      <c r="D3" s="1260"/>
      <c r="E3" s="1260"/>
      <c r="G3" s="1296"/>
      <c r="H3" s="909"/>
      <c r="I3" s="1297"/>
    </row>
    <row r="4" spans="1:9" s="442" customFormat="1" ht="12.75" customHeight="1" x14ac:dyDescent="0.2">
      <c r="A4" s="1043" t="s">
        <v>3124</v>
      </c>
      <c r="B4" s="1262" t="s">
        <v>3099</v>
      </c>
      <c r="C4" s="1262"/>
      <c r="D4" s="1262" t="s">
        <v>3125</v>
      </c>
      <c r="E4" s="1262"/>
      <c r="G4" s="1296"/>
      <c r="H4" s="909"/>
      <c r="I4" s="1297"/>
    </row>
    <row r="5" spans="1:9" s="442" customFormat="1" ht="10.199999999999999" x14ac:dyDescent="0.2">
      <c r="A5" s="1044"/>
      <c r="B5" s="1264" t="s">
        <v>3083</v>
      </c>
      <c r="C5" s="1264" t="s">
        <v>801</v>
      </c>
      <c r="D5" s="1264" t="s">
        <v>3083</v>
      </c>
      <c r="E5" s="1264" t="s">
        <v>801</v>
      </c>
      <c r="G5" s="794"/>
      <c r="H5" s="794"/>
      <c r="I5" s="794"/>
    </row>
    <row r="6" spans="1:9" s="442" customFormat="1" ht="10.199999999999999" x14ac:dyDescent="0.2">
      <c r="A6" s="712" t="s">
        <v>3</v>
      </c>
      <c r="B6" s="1045">
        <f>SUM(B7:B8)</f>
        <v>54583.416666666672</v>
      </c>
      <c r="C6" s="1045">
        <f>SUM(C7:C8)</f>
        <v>100</v>
      </c>
      <c r="D6" s="1045">
        <f>SUM(D7:D8)</f>
        <v>929.25194444444446</v>
      </c>
      <c r="E6" s="1045">
        <f>SUM(E7:E8)</f>
        <v>100</v>
      </c>
      <c r="G6" s="1293"/>
      <c r="H6" s="1293"/>
      <c r="I6" s="1293"/>
    </row>
    <row r="7" spans="1:9" s="442" customFormat="1" ht="10.199999999999999" x14ac:dyDescent="0.2">
      <c r="A7" s="442" t="s">
        <v>1254</v>
      </c>
      <c r="B7" s="909">
        <v>31987.266666666666</v>
      </c>
      <c r="C7" s="1270">
        <f>+B7/$B$6*100</f>
        <v>58.602536484677117</v>
      </c>
      <c r="D7" s="1020">
        <v>666.03416666666669</v>
      </c>
      <c r="E7" s="1270">
        <f>+D7/$D$6*100</f>
        <v>71.674229002001908</v>
      </c>
      <c r="G7" s="1294"/>
      <c r="H7" s="1295"/>
      <c r="I7" s="1295"/>
    </row>
    <row r="8" spans="1:9" s="442" customFormat="1" ht="10.199999999999999" x14ac:dyDescent="0.2">
      <c r="A8" s="442" t="s">
        <v>138</v>
      </c>
      <c r="B8" s="909">
        <v>22596.15</v>
      </c>
      <c r="C8" s="1270">
        <f>+B8/$B$6*100</f>
        <v>41.397463515322876</v>
      </c>
      <c r="D8" s="1020">
        <v>263.21777777777777</v>
      </c>
      <c r="E8" s="1270">
        <f>+D8/$D$6*100</f>
        <v>28.325770997998092</v>
      </c>
      <c r="G8" s="1296"/>
      <c r="H8" s="1020"/>
      <c r="I8" s="1297"/>
    </row>
    <row r="9" spans="1:9" s="442" customFormat="1" ht="7.5" customHeight="1" x14ac:dyDescent="0.2">
      <c r="B9" s="909"/>
      <c r="C9" s="1270"/>
      <c r="D9" s="1020"/>
      <c r="E9" s="1270"/>
      <c r="G9" s="1296"/>
      <c r="H9" s="1020"/>
      <c r="I9" s="1297"/>
    </row>
    <row r="10" spans="1:9" s="442" customFormat="1" ht="23.25" customHeight="1" x14ac:dyDescent="0.2">
      <c r="A10" s="1290" t="s">
        <v>3126</v>
      </c>
      <c r="B10" s="1290"/>
      <c r="C10" s="1290"/>
      <c r="D10" s="1290"/>
      <c r="E10" s="1290"/>
      <c r="G10" s="1296"/>
      <c r="H10" s="1020"/>
      <c r="I10" s="1297"/>
    </row>
    <row r="11" spans="1:9" s="442" customFormat="1" ht="12.75" customHeight="1" x14ac:dyDescent="0.2">
      <c r="A11" s="1298" t="s">
        <v>3106</v>
      </c>
      <c r="B11" s="1298"/>
      <c r="C11" s="1298"/>
      <c r="D11" s="1298"/>
      <c r="E11" s="1298"/>
      <c r="G11" s="1296"/>
      <c r="H11" s="1020"/>
      <c r="I11" s="1297"/>
    </row>
    <row r="12" spans="1:9" s="442" customFormat="1" ht="10.199999999999999" x14ac:dyDescent="0.2">
      <c r="A12" s="1299" t="s">
        <v>3127</v>
      </c>
      <c r="G12" s="794"/>
      <c r="H12" s="794"/>
      <c r="I12" s="794"/>
    </row>
  </sheetData>
  <mergeCells count="6">
    <mergeCell ref="A2:E2"/>
    <mergeCell ref="A4:A5"/>
    <mergeCell ref="B4:C4"/>
    <mergeCell ref="D4:E4"/>
    <mergeCell ref="A10:E10"/>
    <mergeCell ref="A11:E11"/>
  </mergeCells>
  <pageMargins left="0.7" right="0.7" top="0.75" bottom="0.75" header="0.3" footer="0.3"/>
  <pageSetup paperSize="14" scale="90" orientation="landscape" r:id="rId1"/>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A52438-B66F-4A16-AD17-5D0A3410B99A}">
  <sheetPr codeName="Hoja252"/>
  <dimension ref="A1:K26"/>
  <sheetViews>
    <sheetView workbookViewId="0">
      <selection activeCell="A4" sqref="A4:A6"/>
    </sheetView>
  </sheetViews>
  <sheetFormatPr baseColWidth="10" defaultRowHeight="13.2" x14ac:dyDescent="0.25"/>
  <cols>
    <col min="1" max="1" width="29.44140625" customWidth="1"/>
  </cols>
  <sheetData>
    <row r="1" spans="1:11" x14ac:dyDescent="0.25">
      <c r="A1" s="1009"/>
    </row>
    <row r="2" spans="1:11" s="442" customFormat="1" ht="23.25" customHeight="1" x14ac:dyDescent="0.2">
      <c r="A2" s="1041" t="s">
        <v>2891</v>
      </c>
      <c r="B2" s="1041"/>
      <c r="C2" s="1041"/>
      <c r="D2" s="1041"/>
      <c r="E2" s="1041"/>
      <c r="F2" s="1270"/>
      <c r="G2" s="972"/>
      <c r="H2" s="651"/>
      <c r="I2" s="651"/>
    </row>
    <row r="3" spans="1:11" s="442" customFormat="1" ht="10.199999999999999" x14ac:dyDescent="0.2">
      <c r="A3" s="1260"/>
      <c r="B3" s="1260"/>
      <c r="C3" s="1260"/>
      <c r="D3" s="1260"/>
      <c r="E3" s="1260"/>
      <c r="F3" s="1270"/>
      <c r="G3" s="972"/>
      <c r="H3" s="651"/>
      <c r="I3" s="651"/>
    </row>
    <row r="4" spans="1:11" s="442" customFormat="1" ht="12.75" customHeight="1" x14ac:dyDescent="0.2">
      <c r="A4" s="1043" t="s">
        <v>3107</v>
      </c>
      <c r="B4" s="1262" t="s">
        <v>3099</v>
      </c>
      <c r="C4" s="1262"/>
      <c r="D4" s="1262" t="s">
        <v>3100</v>
      </c>
      <c r="E4" s="1262"/>
      <c r="F4" s="1270"/>
      <c r="G4" s="1300"/>
      <c r="H4" s="1301"/>
      <c r="I4" s="1301"/>
      <c r="J4" s="1301"/>
      <c r="K4" s="1301"/>
    </row>
    <row r="5" spans="1:11" s="442" customFormat="1" ht="10.199999999999999" x14ac:dyDescent="0.2">
      <c r="A5" s="1044"/>
      <c r="B5" s="1264" t="s">
        <v>3083</v>
      </c>
      <c r="C5" s="1264" t="s">
        <v>801</v>
      </c>
      <c r="D5" s="1264" t="s">
        <v>3083</v>
      </c>
      <c r="E5" s="1264" t="s">
        <v>801</v>
      </c>
      <c r="F5" s="1270"/>
      <c r="G5" s="1300"/>
      <c r="H5" s="1302"/>
      <c r="I5" s="1302"/>
      <c r="J5" s="1302"/>
      <c r="K5" s="1302"/>
    </row>
    <row r="6" spans="1:11" s="442" customFormat="1" ht="10.199999999999999" x14ac:dyDescent="0.2">
      <c r="A6" s="712" t="s">
        <v>3</v>
      </c>
      <c r="B6" s="1045">
        <f>SUM(B7:B20)</f>
        <v>31987.266666666666</v>
      </c>
      <c r="C6" s="1045">
        <f>SUM(C7:C20)</f>
        <v>100</v>
      </c>
      <c r="D6" s="1045">
        <f>SUM(D7:D20)</f>
        <v>666.03416666666658</v>
      </c>
      <c r="E6" s="1045">
        <f>SUM(E7:E20)</f>
        <v>100</v>
      </c>
      <c r="F6" s="1270"/>
      <c r="G6" s="712"/>
      <c r="H6" s="1045"/>
      <c r="I6" s="1266"/>
      <c r="J6" s="1045"/>
      <c r="K6" s="1266"/>
    </row>
    <row r="7" spans="1:11" s="442" customFormat="1" ht="10.199999999999999" x14ac:dyDescent="0.2">
      <c r="A7" s="442" t="s">
        <v>3108</v>
      </c>
      <c r="B7" s="1269">
        <v>7330.15</v>
      </c>
      <c r="C7" s="1270">
        <f t="shared" ref="C7:C19" si="0">+B7/$B$6*100</f>
        <v>22.915837343609642</v>
      </c>
      <c r="D7" s="1269">
        <v>120.97694444444444</v>
      </c>
      <c r="E7" s="1270">
        <f t="shared" ref="E7:E19" si="1">+D7/$D$6*100</f>
        <v>18.163774547768867</v>
      </c>
      <c r="F7" s="1270"/>
      <c r="H7" s="1237"/>
      <c r="I7" s="1270"/>
      <c r="J7" s="1237"/>
      <c r="K7" s="1270"/>
    </row>
    <row r="8" spans="1:11" s="442" customFormat="1" ht="10.199999999999999" x14ac:dyDescent="0.2">
      <c r="A8" s="442" t="s">
        <v>3109</v>
      </c>
      <c r="B8" s="1269">
        <v>431.5</v>
      </c>
      <c r="C8" s="1270">
        <f t="shared" si="0"/>
        <v>1.3489742793486577</v>
      </c>
      <c r="D8" s="1269">
        <v>5.0783333333333331</v>
      </c>
      <c r="E8" s="1270">
        <f t="shared" si="1"/>
        <v>0.76247339663505753</v>
      </c>
      <c r="F8" s="1270"/>
      <c r="H8" s="1237"/>
      <c r="I8" s="1270"/>
      <c r="J8" s="1237"/>
      <c r="K8" s="1270"/>
    </row>
    <row r="9" spans="1:11" s="442" customFormat="1" ht="10.199999999999999" x14ac:dyDescent="0.2">
      <c r="A9" s="442" t="s">
        <v>2379</v>
      </c>
      <c r="B9" s="1269">
        <v>898.8</v>
      </c>
      <c r="C9" s="1270">
        <f t="shared" si="0"/>
        <v>2.8098680933454769</v>
      </c>
      <c r="D9" s="1269">
        <v>30.276666666666667</v>
      </c>
      <c r="E9" s="1270">
        <f t="shared" si="1"/>
        <v>4.5458128399318865</v>
      </c>
      <c r="F9" s="1270"/>
      <c r="H9" s="1237"/>
      <c r="I9" s="1270"/>
      <c r="J9" s="1237"/>
      <c r="K9" s="1270"/>
    </row>
    <row r="10" spans="1:11" s="442" customFormat="1" ht="10.199999999999999" x14ac:dyDescent="0.2">
      <c r="A10" s="442" t="s">
        <v>3110</v>
      </c>
      <c r="B10" s="1269">
        <v>8940.5</v>
      </c>
      <c r="C10" s="1270">
        <f t="shared" si="0"/>
        <v>27.950184344186958</v>
      </c>
      <c r="D10" s="1269">
        <v>226.31638888888889</v>
      </c>
      <c r="E10" s="1270">
        <f t="shared" si="1"/>
        <v>33.979696570454557</v>
      </c>
      <c r="F10" s="1270"/>
      <c r="H10" s="1237"/>
      <c r="I10" s="1270"/>
      <c r="J10" s="1237"/>
      <c r="K10" s="1270"/>
    </row>
    <row r="11" spans="1:11" s="442" customFormat="1" ht="10.199999999999999" x14ac:dyDescent="0.2">
      <c r="A11" s="442" t="s">
        <v>3111</v>
      </c>
      <c r="B11" s="1269">
        <v>22.7</v>
      </c>
      <c r="C11" s="1270">
        <f t="shared" si="0"/>
        <v>7.0965738450091589E-2</v>
      </c>
      <c r="D11" s="1303">
        <v>0.16222222222222221</v>
      </c>
      <c r="E11" s="1270">
        <f t="shared" si="1"/>
        <v>2.4356441507213302E-2</v>
      </c>
      <c r="F11" s="1270"/>
      <c r="H11" s="1237"/>
      <c r="I11" s="1270"/>
      <c r="J11" s="1304"/>
      <c r="K11" s="1270"/>
    </row>
    <row r="12" spans="1:11" s="442" customFormat="1" ht="10.199999999999999" x14ac:dyDescent="0.2">
      <c r="A12" s="442" t="s">
        <v>1205</v>
      </c>
      <c r="B12" s="1269">
        <v>8663.8833333333332</v>
      </c>
      <c r="C12" s="1270">
        <f t="shared" si="0"/>
        <v>27.085413153984188</v>
      </c>
      <c r="D12" s="1269">
        <v>170.78444444444443</v>
      </c>
      <c r="E12" s="1270">
        <f t="shared" si="1"/>
        <v>25.64199450895704</v>
      </c>
      <c r="F12" s="1270"/>
      <c r="H12" s="1237"/>
      <c r="I12" s="1270"/>
      <c r="J12" s="1237"/>
      <c r="K12" s="1270"/>
    </row>
    <row r="13" spans="1:11" s="442" customFormat="1" ht="10.199999999999999" x14ac:dyDescent="0.2">
      <c r="A13" s="442" t="s">
        <v>3112</v>
      </c>
      <c r="B13" s="1269">
        <v>37.133333333333333</v>
      </c>
      <c r="C13" s="1270">
        <f t="shared" si="0"/>
        <v>0.11608785996094279</v>
      </c>
      <c r="D13" s="1269">
        <v>0.79027777777777775</v>
      </c>
      <c r="E13" s="1270">
        <f t="shared" si="1"/>
        <v>0.11865423987674974</v>
      </c>
      <c r="F13" s="1270"/>
      <c r="H13" s="1237"/>
      <c r="I13" s="1270"/>
      <c r="J13" s="1237"/>
      <c r="K13" s="1270"/>
    </row>
    <row r="14" spans="1:11" s="442" customFormat="1" ht="10.199999999999999" x14ac:dyDescent="0.2">
      <c r="A14" s="1305" t="s">
        <v>38</v>
      </c>
      <c r="B14" s="1269">
        <v>1753.3333333333333</v>
      </c>
      <c r="C14" s="1270">
        <f t="shared" si="0"/>
        <v>5.4813477863066336</v>
      </c>
      <c r="D14" s="1269">
        <v>4.6180555555555554</v>
      </c>
      <c r="E14" s="1270">
        <f t="shared" si="1"/>
        <v>0.69336616448188559</v>
      </c>
      <c r="F14" s="1270"/>
      <c r="G14" s="1305"/>
      <c r="H14" s="1237"/>
      <c r="I14" s="1270"/>
      <c r="J14" s="1237"/>
      <c r="K14" s="1270"/>
    </row>
    <row r="15" spans="1:11" s="442" customFormat="1" ht="10.199999999999999" x14ac:dyDescent="0.2">
      <c r="A15" s="442" t="s">
        <v>3113</v>
      </c>
      <c r="B15" s="1269">
        <v>852.4</v>
      </c>
      <c r="C15" s="1270">
        <f t="shared" si="0"/>
        <v>2.6648103724607082</v>
      </c>
      <c r="D15" s="1269">
        <v>19.520833333333332</v>
      </c>
      <c r="E15" s="1270">
        <f t="shared" si="1"/>
        <v>2.9309056967798197</v>
      </c>
      <c r="F15" s="1270"/>
      <c r="H15" s="1237"/>
      <c r="I15" s="1270"/>
      <c r="J15" s="1237"/>
      <c r="K15" s="1270"/>
    </row>
    <row r="16" spans="1:11" s="442" customFormat="1" ht="10.199999999999999" x14ac:dyDescent="0.2">
      <c r="A16" s="442" t="s">
        <v>3114</v>
      </c>
      <c r="B16" s="1269">
        <v>716.7833333333333</v>
      </c>
      <c r="C16" s="1270">
        <f t="shared" si="0"/>
        <v>2.2408395840845001</v>
      </c>
      <c r="D16" s="1269">
        <v>31.523333333333333</v>
      </c>
      <c r="E16" s="1270">
        <f t="shared" si="1"/>
        <v>4.7329904246654024</v>
      </c>
      <c r="F16" s="1270"/>
      <c r="H16" s="1237"/>
      <c r="I16" s="1270"/>
      <c r="J16" s="1237"/>
      <c r="K16" s="1270"/>
    </row>
    <row r="17" spans="1:11" s="442" customFormat="1" ht="10.199999999999999" x14ac:dyDescent="0.2">
      <c r="A17" s="442" t="s">
        <v>3115</v>
      </c>
      <c r="B17" s="1269">
        <v>243.65</v>
      </c>
      <c r="C17" s="1270">
        <f t="shared" si="0"/>
        <v>0.76170934684426506</v>
      </c>
      <c r="D17" s="1269">
        <v>6.9994444444444444</v>
      </c>
      <c r="E17" s="1270">
        <f t="shared" si="1"/>
        <v>1.0509137210595221</v>
      </c>
      <c r="F17" s="1270"/>
      <c r="H17" s="1237"/>
      <c r="I17" s="1270"/>
      <c r="J17" s="1237"/>
      <c r="K17" s="1270"/>
    </row>
    <row r="18" spans="1:11" s="442" customFormat="1" ht="10.199999999999999" x14ac:dyDescent="0.2">
      <c r="A18" s="442" t="s">
        <v>3116</v>
      </c>
      <c r="B18" s="1269">
        <v>1033.3333333333333</v>
      </c>
      <c r="C18" s="1270">
        <f t="shared" si="0"/>
        <v>3.2304521174050507</v>
      </c>
      <c r="D18" s="1269">
        <v>48.161944444444444</v>
      </c>
      <c r="E18" s="1270">
        <f t="shared" si="1"/>
        <v>7.2311522223376095</v>
      </c>
      <c r="F18" s="1270"/>
      <c r="H18" s="1237"/>
      <c r="I18" s="1270"/>
      <c r="J18" s="1237"/>
      <c r="K18" s="1270"/>
    </row>
    <row r="19" spans="1:11" s="442" customFormat="1" ht="10.199999999999999" x14ac:dyDescent="0.2">
      <c r="A19" s="442" t="s">
        <v>3117</v>
      </c>
      <c r="B19" s="1269">
        <v>1063.0999999999999</v>
      </c>
      <c r="C19" s="1270">
        <f t="shared" si="0"/>
        <v>3.3235099800128802</v>
      </c>
      <c r="D19" s="1269">
        <v>0.82527777777777778</v>
      </c>
      <c r="E19" s="1270">
        <f t="shared" si="1"/>
        <v>0.12390922554440192</v>
      </c>
      <c r="F19" s="1270"/>
      <c r="H19" s="1237"/>
      <c r="I19" s="1270"/>
      <c r="J19" s="1237"/>
      <c r="K19" s="1270"/>
    </row>
    <row r="20" spans="1:11" s="442" customFormat="1" ht="10.199999999999999" x14ac:dyDescent="0.2">
      <c r="A20" s="1305" t="s">
        <v>3128</v>
      </c>
      <c r="B20" s="1306" t="s">
        <v>193</v>
      </c>
      <c r="C20" s="1282" t="s">
        <v>193</v>
      </c>
      <c r="D20" s="1306" t="s">
        <v>193</v>
      </c>
      <c r="E20" s="1282" t="s">
        <v>193</v>
      </c>
      <c r="F20" s="1270"/>
      <c r="G20" s="1305"/>
      <c r="H20" s="1307"/>
      <c r="I20" s="1307"/>
      <c r="J20" s="1307"/>
      <c r="K20" s="1307"/>
    </row>
    <row r="21" spans="1:11" s="442" customFormat="1" ht="6" customHeight="1" x14ac:dyDescent="0.2">
      <c r="A21" s="1305"/>
      <c r="B21" s="909"/>
      <c r="C21" s="1270"/>
      <c r="D21" s="1286"/>
      <c r="E21" s="1270"/>
      <c r="F21" s="1270"/>
      <c r="G21" s="1296"/>
      <c r="H21" s="1237"/>
      <c r="I21" s="651"/>
    </row>
    <row r="22" spans="1:11" s="442" customFormat="1" ht="12.75" customHeight="1" x14ac:dyDescent="0.2">
      <c r="A22" s="1298" t="s">
        <v>3129</v>
      </c>
      <c r="B22" s="1298"/>
      <c r="C22" s="1298"/>
      <c r="D22" s="1298"/>
      <c r="E22" s="1298"/>
      <c r="F22" s="1270"/>
      <c r="G22" s="485"/>
      <c r="H22" s="485"/>
      <c r="I22" s="485"/>
      <c r="J22" s="485"/>
      <c r="K22" s="485"/>
    </row>
    <row r="23" spans="1:11" s="442" customFormat="1" ht="12.75" customHeight="1" x14ac:dyDescent="0.2">
      <c r="A23" s="1298" t="s">
        <v>3130</v>
      </c>
      <c r="B23" s="1298"/>
      <c r="C23" s="1298"/>
      <c r="D23" s="1298"/>
      <c r="E23" s="1298"/>
      <c r="F23" s="1270"/>
      <c r="G23" s="485"/>
      <c r="H23" s="485"/>
      <c r="I23" s="485"/>
      <c r="J23" s="485"/>
      <c r="K23" s="485"/>
    </row>
    <row r="24" spans="1:11" s="442" customFormat="1" ht="12.75" customHeight="1" x14ac:dyDescent="0.2">
      <c r="A24" s="1274" t="s">
        <v>198</v>
      </c>
      <c r="B24" s="1274"/>
      <c r="C24" s="1274"/>
      <c r="D24" s="1274"/>
      <c r="E24" s="1274"/>
      <c r="F24" s="1270"/>
      <c r="G24" s="485"/>
      <c r="H24" s="485"/>
      <c r="I24" s="485"/>
      <c r="J24" s="485"/>
      <c r="K24" s="485"/>
    </row>
    <row r="25" spans="1:11" s="442" customFormat="1" ht="12.75" customHeight="1" x14ac:dyDescent="0.2">
      <c r="A25" s="1251" t="s">
        <v>3093</v>
      </c>
      <c r="B25" s="1251"/>
      <c r="C25" s="1251"/>
      <c r="D25" s="1251"/>
      <c r="E25" s="1251"/>
      <c r="F25" s="1270"/>
    </row>
    <row r="26" spans="1:11" s="442" customFormat="1" ht="10.199999999999999" x14ac:dyDescent="0.2">
      <c r="A26" s="1299"/>
      <c r="B26" s="1270"/>
      <c r="F26" s="1270"/>
      <c r="G26" s="1308"/>
      <c r="H26" s="1309"/>
      <c r="I26" s="1309"/>
    </row>
  </sheetData>
  <mergeCells count="10">
    <mergeCell ref="A22:E22"/>
    <mergeCell ref="A23:E23"/>
    <mergeCell ref="A24:E24"/>
    <mergeCell ref="A25:E25"/>
    <mergeCell ref="A2:E2"/>
    <mergeCell ref="A4:A5"/>
    <mergeCell ref="B4:C4"/>
    <mergeCell ref="D4:E4"/>
    <mergeCell ref="H4:I4"/>
    <mergeCell ref="J4:K4"/>
  </mergeCells>
  <pageMargins left="0.7" right="0.7" top="0.75" bottom="0.75" header="0.3" footer="0.3"/>
  <pageSetup paperSize="14" scale="90" orientation="landscape" r:id="rId1"/>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80A7BD-6451-45F7-BD32-FF21C9FECFDD}">
  <sheetPr codeName="Hoja253"/>
  <dimension ref="A1:K40"/>
  <sheetViews>
    <sheetView workbookViewId="0">
      <selection activeCell="A4" sqref="A4:A6"/>
    </sheetView>
  </sheetViews>
  <sheetFormatPr baseColWidth="10" defaultColWidth="11.44140625" defaultRowHeight="10.199999999999999" x14ac:dyDescent="0.2"/>
  <cols>
    <col min="1" max="1" width="29.88671875" style="442" customWidth="1"/>
    <col min="2" max="4" width="11.44140625" style="442"/>
    <col min="5" max="5" width="12" style="442" customWidth="1"/>
    <col min="6" max="6" width="11.109375" style="442" customWidth="1"/>
    <col min="7" max="7" width="21.33203125" style="442" customWidth="1"/>
    <col min="8" max="16384" width="11.44140625" style="442"/>
  </cols>
  <sheetData>
    <row r="1" spans="1:11" ht="13.2" x14ac:dyDescent="0.2">
      <c r="A1" s="1009"/>
      <c r="G1" s="794"/>
      <c r="H1" s="794"/>
      <c r="I1" s="794"/>
    </row>
    <row r="2" spans="1:11" ht="23.25" customHeight="1" x14ac:dyDescent="0.2">
      <c r="A2" s="1310" t="s">
        <v>2892</v>
      </c>
      <c r="B2" s="1310"/>
      <c r="C2" s="1310"/>
      <c r="D2" s="1310"/>
      <c r="E2" s="1310"/>
      <c r="G2" s="972"/>
      <c r="H2" s="2"/>
      <c r="I2" s="2"/>
    </row>
    <row r="3" spans="1:11" ht="15" customHeight="1" x14ac:dyDescent="0.2">
      <c r="A3" s="1260"/>
      <c r="B3" s="1260"/>
      <c r="C3" s="1260"/>
      <c r="D3" s="1260"/>
      <c r="E3" s="1260"/>
      <c r="G3" s="972"/>
      <c r="H3" s="2"/>
      <c r="I3" s="2"/>
    </row>
    <row r="4" spans="1:11" ht="12.75" customHeight="1" x14ac:dyDescent="0.2">
      <c r="A4" s="1043" t="s">
        <v>3107</v>
      </c>
      <c r="B4" s="1262" t="s">
        <v>3099</v>
      </c>
      <c r="C4" s="1262"/>
      <c r="D4" s="1262" t="s">
        <v>3100</v>
      </c>
      <c r="E4" s="1262"/>
      <c r="G4" s="1300"/>
      <c r="H4" s="1311"/>
      <c r="I4" s="1311"/>
      <c r="J4" s="1301"/>
      <c r="K4" s="1301"/>
    </row>
    <row r="5" spans="1:11" x14ac:dyDescent="0.2">
      <c r="A5" s="1044"/>
      <c r="B5" s="1264" t="s">
        <v>3083</v>
      </c>
      <c r="C5" s="1264" t="s">
        <v>801</v>
      </c>
      <c r="D5" s="1264" t="s">
        <v>3083</v>
      </c>
      <c r="E5" s="1264" t="s">
        <v>801</v>
      </c>
      <c r="G5" s="1300"/>
      <c r="H5" s="1302"/>
      <c r="I5" s="1302"/>
      <c r="J5" s="1302"/>
      <c r="K5" s="1302"/>
    </row>
    <row r="6" spans="1:11" x14ac:dyDescent="0.2">
      <c r="A6" s="712" t="s">
        <v>3</v>
      </c>
      <c r="B6" s="1312">
        <f>SUM(B7:B20)</f>
        <v>22596.15</v>
      </c>
      <c r="C6" s="1045">
        <f>SUM(C7:C20)</f>
        <v>100</v>
      </c>
      <c r="D6" s="1313">
        <f>SUM(D7:D20)</f>
        <v>263.21777777777777</v>
      </c>
      <c r="E6" s="1045">
        <f>SUM(E7:E20)</f>
        <v>100</v>
      </c>
      <c r="G6" s="712"/>
      <c r="H6" s="1312"/>
      <c r="I6" s="1266"/>
      <c r="J6" s="1312"/>
      <c r="K6" s="1266"/>
    </row>
    <row r="7" spans="1:11" x14ac:dyDescent="0.2">
      <c r="A7" s="442" t="s">
        <v>3108</v>
      </c>
      <c r="B7" s="315">
        <v>455.46666666666698</v>
      </c>
      <c r="C7" s="1314">
        <f>B7/$B$6*100</f>
        <v>2.0156826125984599</v>
      </c>
      <c r="D7" s="1315">
        <v>7.483888888888889</v>
      </c>
      <c r="E7" s="1314">
        <f>D7/$D$6*100</f>
        <v>2.8432307848169662</v>
      </c>
      <c r="H7" s="315"/>
      <c r="I7" s="1314"/>
      <c r="J7" s="315"/>
      <c r="K7" s="1314"/>
    </row>
    <row r="8" spans="1:11" x14ac:dyDescent="0.2">
      <c r="A8" s="442" t="s">
        <v>3109</v>
      </c>
      <c r="B8" s="315">
        <v>270.21666666666664</v>
      </c>
      <c r="C8" s="1314">
        <f t="shared" ref="C8:C18" si="0">B8/$B$6*100</f>
        <v>1.1958526858188967</v>
      </c>
      <c r="D8" s="1315">
        <v>3.8516666666666666</v>
      </c>
      <c r="E8" s="1314">
        <f>D8/$D$6*100</f>
        <v>1.4633003512089693</v>
      </c>
      <c r="H8" s="315"/>
      <c r="I8" s="1314"/>
      <c r="J8" s="315"/>
      <c r="K8" s="1314"/>
    </row>
    <row r="9" spans="1:11" x14ac:dyDescent="0.2">
      <c r="A9" s="442" t="s">
        <v>2379</v>
      </c>
      <c r="B9" s="315">
        <v>61.033333333333331</v>
      </c>
      <c r="C9" s="1314">
        <f t="shared" si="0"/>
        <v>0.270105010514328</v>
      </c>
      <c r="D9" s="1315">
        <v>0.30388888888888888</v>
      </c>
      <c r="E9" s="1314">
        <f>D9/$D$6*100</f>
        <v>0.11545150614615696</v>
      </c>
      <c r="H9" s="315"/>
      <c r="I9" s="1314"/>
      <c r="J9" s="315"/>
      <c r="K9" s="1314"/>
    </row>
    <row r="10" spans="1:11" x14ac:dyDescent="0.2">
      <c r="A10" s="442" t="s">
        <v>3110</v>
      </c>
      <c r="B10" s="315">
        <v>119.28333333333333</v>
      </c>
      <c r="C10" s="1314">
        <f t="shared" si="0"/>
        <v>0.52789228843556679</v>
      </c>
      <c r="D10" s="1315">
        <v>0.45777777777777778</v>
      </c>
      <c r="E10" s="1314">
        <f>D10/$D$6*100</f>
        <v>0.17391598000810485</v>
      </c>
      <c r="H10" s="315"/>
      <c r="I10" s="1314"/>
      <c r="J10" s="315"/>
      <c r="K10" s="1314"/>
    </row>
    <row r="11" spans="1:11" x14ac:dyDescent="0.2">
      <c r="A11" s="442" t="s">
        <v>3111</v>
      </c>
      <c r="B11" s="315">
        <v>746.1</v>
      </c>
      <c r="C11" s="1314">
        <f t="shared" si="0"/>
        <v>3.3018899237259447</v>
      </c>
      <c r="D11" s="1315">
        <v>1.0788888888888888</v>
      </c>
      <c r="E11" s="1314">
        <f>D11/$D$6*100</f>
        <v>0.40988450628123729</v>
      </c>
      <c r="H11" s="315"/>
      <c r="I11" s="1314"/>
      <c r="J11" s="315"/>
      <c r="K11" s="1314"/>
    </row>
    <row r="12" spans="1:11" x14ac:dyDescent="0.2">
      <c r="A12" s="442" t="s">
        <v>1205</v>
      </c>
      <c r="B12" s="315">
        <v>564.79999999999995</v>
      </c>
      <c r="C12" s="1314">
        <f t="shared" si="0"/>
        <v>2.4995408509856762</v>
      </c>
      <c r="D12" s="1315">
        <v>2.9569444444444444</v>
      </c>
      <c r="E12" s="1314">
        <f t="shared" ref="E12:E18" si="1">D12/$D$6*100</f>
        <v>1.1233832567877888</v>
      </c>
      <c r="H12" s="315"/>
      <c r="I12" s="1314"/>
      <c r="J12" s="315"/>
      <c r="K12" s="1314"/>
    </row>
    <row r="13" spans="1:11" x14ac:dyDescent="0.2">
      <c r="A13" s="442" t="s">
        <v>3112</v>
      </c>
      <c r="B13" s="315">
        <v>3925.6</v>
      </c>
      <c r="C13" s="1314">
        <f t="shared" si="0"/>
        <v>17.372871042190813</v>
      </c>
      <c r="D13" s="1315">
        <v>65.045555555555552</v>
      </c>
      <c r="E13" s="1314">
        <f t="shared" si="1"/>
        <v>24.711687829258409</v>
      </c>
      <c r="H13" s="315"/>
      <c r="I13" s="1314"/>
      <c r="J13" s="315"/>
      <c r="K13" s="1314"/>
    </row>
    <row r="14" spans="1:11" x14ac:dyDescent="0.2">
      <c r="A14" s="1305" t="s">
        <v>38</v>
      </c>
      <c r="B14" s="315">
        <v>1643.3</v>
      </c>
      <c r="C14" s="1314">
        <f t="shared" si="0"/>
        <v>7.2724778336132472</v>
      </c>
      <c r="D14" s="1315">
        <v>1.6966666666666668</v>
      </c>
      <c r="E14" s="1314">
        <f t="shared" si="1"/>
        <v>0.64458665405916526</v>
      </c>
      <c r="G14" s="1305"/>
      <c r="H14" s="315"/>
      <c r="I14" s="1314"/>
      <c r="J14" s="315"/>
      <c r="K14" s="1314"/>
    </row>
    <row r="15" spans="1:11" x14ac:dyDescent="0.2">
      <c r="A15" s="442" t="s">
        <v>3113</v>
      </c>
      <c r="B15" s="315">
        <v>80.416666666666671</v>
      </c>
      <c r="C15" s="1314">
        <f t="shared" si="0"/>
        <v>0.35588658539913509</v>
      </c>
      <c r="D15" s="1315">
        <v>0.61472222222222217</v>
      </c>
      <c r="E15" s="1314">
        <f t="shared" si="1"/>
        <v>0.23354130082399024</v>
      </c>
      <c r="H15" s="315"/>
      <c r="I15" s="1314"/>
      <c r="J15" s="315"/>
      <c r="K15" s="1314"/>
    </row>
    <row r="16" spans="1:11" x14ac:dyDescent="0.2">
      <c r="A16" s="442" t="s">
        <v>3114</v>
      </c>
      <c r="B16" s="315">
        <v>703.2166666666667</v>
      </c>
      <c r="C16" s="1314">
        <f t="shared" si="0"/>
        <v>3.1121083311390065</v>
      </c>
      <c r="D16" s="1315">
        <v>2.0283333333333333</v>
      </c>
      <c r="E16" s="1314">
        <f t="shared" si="1"/>
        <v>0.77059131433202754</v>
      </c>
      <c r="H16" s="315"/>
      <c r="I16" s="1314"/>
      <c r="J16" s="315"/>
      <c r="K16" s="1314"/>
    </row>
    <row r="17" spans="1:11" x14ac:dyDescent="0.2">
      <c r="A17" s="442" t="s">
        <v>3115</v>
      </c>
      <c r="B17" s="315">
        <v>9058.9333333333325</v>
      </c>
      <c r="C17" s="1314">
        <f t="shared" si="0"/>
        <v>40.090605405493115</v>
      </c>
      <c r="D17" s="1315">
        <v>77.523611111111109</v>
      </c>
      <c r="E17" s="1314">
        <f t="shared" si="1"/>
        <v>29.452270194515741</v>
      </c>
      <c r="H17" s="315"/>
      <c r="I17" s="1314"/>
      <c r="J17" s="315"/>
      <c r="K17" s="1314"/>
    </row>
    <row r="18" spans="1:11" x14ac:dyDescent="0.2">
      <c r="A18" s="442" t="s">
        <v>3116</v>
      </c>
      <c r="B18" s="315">
        <v>4967.7833333333338</v>
      </c>
      <c r="C18" s="1314">
        <f t="shared" si="0"/>
        <v>21.985087430085805</v>
      </c>
      <c r="D18" s="1315">
        <v>100.17583333333333</v>
      </c>
      <c r="E18" s="1314">
        <f t="shared" si="1"/>
        <v>38.058156321761452</v>
      </c>
      <c r="H18" s="315"/>
      <c r="I18" s="1314"/>
      <c r="J18" s="315"/>
      <c r="K18" s="1314"/>
    </row>
    <row r="19" spans="1:11" x14ac:dyDescent="0.2">
      <c r="A19" s="442" t="s">
        <v>3117</v>
      </c>
      <c r="B19" s="315">
        <v>0</v>
      </c>
      <c r="C19" s="315">
        <v>0</v>
      </c>
      <c r="D19" s="315">
        <v>0</v>
      </c>
      <c r="E19" s="315">
        <v>0</v>
      </c>
      <c r="H19" s="315"/>
      <c r="I19" s="1314"/>
      <c r="J19" s="315"/>
      <c r="K19" s="1314"/>
    </row>
    <row r="20" spans="1:11" x14ac:dyDescent="0.2">
      <c r="A20" s="1305" t="s">
        <v>3128</v>
      </c>
      <c r="B20" s="1306" t="s">
        <v>193</v>
      </c>
      <c r="C20" s="1316" t="s">
        <v>193</v>
      </c>
      <c r="D20" s="1306" t="s">
        <v>193</v>
      </c>
      <c r="E20" s="1316" t="s">
        <v>193</v>
      </c>
      <c r="G20" s="1305"/>
      <c r="H20" s="1307"/>
      <c r="I20" s="1317"/>
      <c r="J20" s="1307"/>
      <c r="K20" s="1317"/>
    </row>
    <row r="21" spans="1:11" ht="6" customHeight="1" x14ac:dyDescent="0.2"/>
    <row r="22" spans="1:11" ht="12.75" customHeight="1" x14ac:dyDescent="0.2">
      <c r="A22" s="1274" t="s">
        <v>3131</v>
      </c>
      <c r="B22" s="1274"/>
      <c r="C22" s="1274"/>
      <c r="D22" s="1274"/>
      <c r="E22" s="1274"/>
      <c r="F22" s="1270"/>
      <c r="G22" s="1274"/>
      <c r="H22" s="1274"/>
      <c r="I22" s="1274"/>
      <c r="J22" s="1274"/>
      <c r="K22" s="1274"/>
    </row>
    <row r="23" spans="1:11" ht="12.75" customHeight="1" x14ac:dyDescent="0.2">
      <c r="A23" s="1274" t="s">
        <v>3106</v>
      </c>
      <c r="B23" s="1274"/>
      <c r="C23" s="1274"/>
      <c r="D23" s="1274"/>
      <c r="E23" s="1274"/>
      <c r="F23" s="1270"/>
      <c r="G23" s="1274"/>
      <c r="H23" s="1274"/>
      <c r="I23" s="1274"/>
      <c r="J23" s="1274"/>
      <c r="K23" s="1274"/>
    </row>
    <row r="24" spans="1:11" ht="12.75" customHeight="1" x14ac:dyDescent="0.2">
      <c r="A24" s="1274" t="s">
        <v>1313</v>
      </c>
      <c r="B24" s="1274"/>
      <c r="C24" s="1274"/>
      <c r="D24" s="1274"/>
      <c r="E24" s="1274"/>
      <c r="F24" s="1270"/>
      <c r="G24" s="1274"/>
      <c r="H24" s="1274"/>
      <c r="I24" s="1274"/>
      <c r="J24" s="1274"/>
      <c r="K24" s="1274"/>
    </row>
    <row r="25" spans="1:11" x14ac:dyDescent="0.2">
      <c r="A25" s="1318" t="s">
        <v>3127</v>
      </c>
      <c r="B25" s="1318"/>
      <c r="C25" s="1318"/>
      <c r="D25" s="1318"/>
      <c r="E25" s="1318"/>
      <c r="G25" s="1319"/>
      <c r="H25" s="1319"/>
      <c r="I25" s="1319"/>
      <c r="J25" s="1319"/>
      <c r="K25" s="1319"/>
    </row>
    <row r="26" spans="1:11" x14ac:dyDescent="0.2">
      <c r="G26" s="1320"/>
      <c r="H26" s="1020"/>
      <c r="I26" s="1321"/>
    </row>
    <row r="27" spans="1:11" x14ac:dyDescent="0.2">
      <c r="G27" s="1320"/>
      <c r="H27" s="1020"/>
      <c r="I27" s="1321"/>
    </row>
    <row r="28" spans="1:11" x14ac:dyDescent="0.2">
      <c r="G28" s="1320"/>
      <c r="H28" s="1020"/>
      <c r="I28" s="1321"/>
    </row>
    <row r="29" spans="1:11" x14ac:dyDescent="0.2">
      <c r="G29" s="1320"/>
      <c r="H29" s="1020"/>
      <c r="I29" s="1321"/>
    </row>
    <row r="30" spans="1:11" x14ac:dyDescent="0.2">
      <c r="G30" s="1320"/>
      <c r="H30" s="1020"/>
      <c r="I30" s="1321"/>
    </row>
    <row r="31" spans="1:11" x14ac:dyDescent="0.2">
      <c r="G31" s="1320"/>
      <c r="H31" s="1020"/>
      <c r="I31" s="1321"/>
    </row>
    <row r="32" spans="1:11" x14ac:dyDescent="0.2">
      <c r="G32" s="1320"/>
      <c r="H32" s="1020"/>
      <c r="I32" s="1321"/>
    </row>
    <row r="33" spans="7:9" x14ac:dyDescent="0.2">
      <c r="G33" s="1320"/>
      <c r="H33" s="1020"/>
      <c r="I33" s="1321"/>
    </row>
    <row r="34" spans="7:9" x14ac:dyDescent="0.2">
      <c r="G34" s="1320"/>
      <c r="H34" s="1020"/>
      <c r="I34" s="1321"/>
    </row>
    <row r="35" spans="7:9" x14ac:dyDescent="0.2">
      <c r="G35" s="1320"/>
      <c r="H35" s="1020"/>
      <c r="I35" s="1321"/>
    </row>
    <row r="36" spans="7:9" x14ac:dyDescent="0.2">
      <c r="G36" s="1320"/>
      <c r="H36" s="1020"/>
      <c r="I36" s="1321"/>
    </row>
    <row r="37" spans="7:9" x14ac:dyDescent="0.2">
      <c r="G37" s="1320"/>
      <c r="H37" s="1020"/>
      <c r="I37" s="1321"/>
    </row>
    <row r="38" spans="7:9" x14ac:dyDescent="0.2">
      <c r="G38" s="1320"/>
      <c r="H38" s="1020"/>
      <c r="I38" s="1321"/>
    </row>
    <row r="39" spans="7:9" x14ac:dyDescent="0.2">
      <c r="G39" s="1320"/>
      <c r="H39" s="1020"/>
      <c r="I39" s="2"/>
    </row>
    <row r="40" spans="7:9" x14ac:dyDescent="0.2">
      <c r="G40" s="794"/>
      <c r="H40" s="2"/>
      <c r="I40" s="2"/>
    </row>
  </sheetData>
  <mergeCells count="13">
    <mergeCell ref="A23:E23"/>
    <mergeCell ref="G23:K23"/>
    <mergeCell ref="A24:E24"/>
    <mergeCell ref="G24:K24"/>
    <mergeCell ref="A25:E25"/>
    <mergeCell ref="G25:K25"/>
    <mergeCell ref="A2:E2"/>
    <mergeCell ref="A4:A5"/>
    <mergeCell ref="B4:C4"/>
    <mergeCell ref="D4:E4"/>
    <mergeCell ref="J4:K4"/>
    <mergeCell ref="A22:E22"/>
    <mergeCell ref="G22:K22"/>
  </mergeCells>
  <pageMargins left="0.7" right="0.7" top="0.75" bottom="0.75" header="0.3" footer="0.3"/>
  <pageSetup paperSize="14" scale="90" orientation="landscape" r:id="rId1"/>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88038-5965-480C-9B95-2F6F906E34AA}">
  <sheetPr codeName="Hoja254"/>
  <dimension ref="A1:E14"/>
  <sheetViews>
    <sheetView workbookViewId="0">
      <selection activeCell="A4" sqref="A4:A6"/>
    </sheetView>
  </sheetViews>
  <sheetFormatPr baseColWidth="10" defaultRowHeight="13.2" x14ac:dyDescent="0.25"/>
  <cols>
    <col min="1" max="1" width="31.88671875" customWidth="1"/>
  </cols>
  <sheetData>
    <row r="1" spans="1:5" x14ac:dyDescent="0.25">
      <c r="A1" s="1009"/>
    </row>
    <row r="2" spans="1:5" s="2" customFormat="1" ht="34.5" customHeight="1" x14ac:dyDescent="0.2">
      <c r="A2" s="1322" t="s">
        <v>2893</v>
      </c>
      <c r="B2" s="1322"/>
    </row>
    <row r="3" spans="1:5" s="2" customFormat="1" ht="10.199999999999999" x14ac:dyDescent="0.2"/>
    <row r="4" spans="1:5" s="324" customFormat="1" ht="18" customHeight="1" x14ac:dyDescent="0.25">
      <c r="A4" s="621" t="s">
        <v>3132</v>
      </c>
      <c r="B4" s="621" t="s">
        <v>3133</v>
      </c>
    </row>
    <row r="5" spans="1:5" s="2" customFormat="1" ht="10.199999999999999" x14ac:dyDescent="0.2">
      <c r="A5" s="1323" t="s">
        <v>3134</v>
      </c>
      <c r="B5" s="909">
        <v>554.16777777777781</v>
      </c>
      <c r="D5" s="1020"/>
    </row>
    <row r="6" spans="1:5" s="2" customFormat="1" ht="10.199999999999999" x14ac:dyDescent="0.2">
      <c r="A6" s="1323" t="s">
        <v>3135</v>
      </c>
      <c r="B6" s="909">
        <v>675.38361111111112</v>
      </c>
      <c r="D6" s="1020"/>
    </row>
    <row r="7" spans="1:5" s="2" customFormat="1" ht="10.199999999999999" x14ac:dyDescent="0.2">
      <c r="A7" s="1323" t="s">
        <v>3136</v>
      </c>
      <c r="B7" s="909">
        <v>618.49749999999995</v>
      </c>
      <c r="D7" s="1020"/>
    </row>
    <row r="8" spans="1:5" s="2" customFormat="1" ht="10.199999999999999" x14ac:dyDescent="0.2">
      <c r="A8" s="1323" t="s">
        <v>3137</v>
      </c>
      <c r="B8" s="909">
        <v>771.22944444444443</v>
      </c>
      <c r="D8" s="1020"/>
    </row>
    <row r="9" spans="1:5" s="2" customFormat="1" ht="10.199999999999999" x14ac:dyDescent="0.2">
      <c r="A9" s="1323" t="s">
        <v>3138</v>
      </c>
      <c r="B9" s="909">
        <v>939.11777777777775</v>
      </c>
      <c r="D9" s="1020"/>
    </row>
    <row r="10" spans="1:5" s="2" customFormat="1" ht="10.199999999999999" x14ac:dyDescent="0.2">
      <c r="A10" s="1323" t="s">
        <v>3139</v>
      </c>
      <c r="B10" s="909">
        <v>1210.9027777777778</v>
      </c>
      <c r="D10" s="1020"/>
    </row>
    <row r="11" spans="1:5" s="2" customFormat="1" ht="10.199999999999999" x14ac:dyDescent="0.2">
      <c r="A11" s="1323" t="s">
        <v>3140</v>
      </c>
      <c r="B11" s="909">
        <v>1687.3908333333334</v>
      </c>
      <c r="D11" s="1020"/>
    </row>
    <row r="12" spans="1:5" s="2" customFormat="1" ht="6.75" customHeight="1" x14ac:dyDescent="0.2">
      <c r="A12" s="1324"/>
      <c r="B12" s="909"/>
      <c r="D12" s="1020"/>
    </row>
    <row r="13" spans="1:5" s="2" customFormat="1" ht="12.75" customHeight="1" x14ac:dyDescent="0.2">
      <c r="A13" s="1325" t="s">
        <v>3141</v>
      </c>
      <c r="B13" s="1325"/>
    </row>
    <row r="14" spans="1:5" s="2" customFormat="1" ht="10.199999999999999" x14ac:dyDescent="0.2">
      <c r="A14" s="1251" t="s">
        <v>3093</v>
      </c>
      <c r="B14" s="1251"/>
      <c r="C14" s="442"/>
      <c r="D14" s="442"/>
      <c r="E14" s="442"/>
    </row>
  </sheetData>
  <mergeCells count="3">
    <mergeCell ref="A2:B2"/>
    <mergeCell ref="A13:B13"/>
    <mergeCell ref="A14:B14"/>
  </mergeCells>
  <pageMargins left="0.7" right="0.7" top="0.75" bottom="0.75" header="0.3" footer="0.3"/>
  <pageSetup paperSize="14" scale="90" orientation="landscape" r:id="rId1"/>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15463-F3DB-4BBD-8CFB-63FE742F6EF5}">
  <sheetPr codeName="Hoja255"/>
  <dimension ref="A2:C22"/>
  <sheetViews>
    <sheetView workbookViewId="0">
      <selection activeCell="A4" sqref="A4:A6"/>
    </sheetView>
  </sheetViews>
  <sheetFormatPr baseColWidth="10" defaultRowHeight="13.2" x14ac:dyDescent="0.25"/>
  <cols>
    <col min="1" max="1" width="21" customWidth="1"/>
    <col min="2" max="2" width="15.44140625" customWidth="1"/>
    <col min="3" max="3" width="19" customWidth="1"/>
  </cols>
  <sheetData>
    <row r="2" spans="1:3" s="2" customFormat="1" ht="33.75" customHeight="1" x14ac:dyDescent="0.2">
      <c r="A2" s="1322" t="s">
        <v>2894</v>
      </c>
      <c r="B2" s="1322"/>
      <c r="C2" s="1322"/>
    </row>
    <row r="3" spans="1:3" s="2" customFormat="1" ht="10.199999999999999" x14ac:dyDescent="0.2"/>
    <row r="4" spans="1:3" s="2" customFormat="1" ht="12.75" customHeight="1" x14ac:dyDescent="0.2">
      <c r="A4" s="1326" t="s">
        <v>3107</v>
      </c>
      <c r="B4" s="936" t="s">
        <v>3142</v>
      </c>
      <c r="C4" s="937"/>
    </row>
    <row r="5" spans="1:3" s="2" customFormat="1" ht="10.199999999999999" x14ac:dyDescent="0.2">
      <c r="A5" s="1327"/>
      <c r="B5" s="1033" t="s">
        <v>3083</v>
      </c>
      <c r="C5" s="1033" t="s">
        <v>1643</v>
      </c>
    </row>
    <row r="6" spans="1:3" s="2" customFormat="1" ht="10.199999999999999" x14ac:dyDescent="0.2">
      <c r="A6" s="1328" t="s">
        <v>3</v>
      </c>
      <c r="B6" s="1329">
        <f>SUM(B7:B19)</f>
        <v>554.16777777777781</v>
      </c>
      <c r="C6" s="1329">
        <f>SUM(C7:C19)</f>
        <v>100</v>
      </c>
    </row>
    <row r="7" spans="1:3" s="2" customFormat="1" ht="10.199999999999999" x14ac:dyDescent="0.2">
      <c r="A7" s="2" t="s">
        <v>3117</v>
      </c>
      <c r="B7" s="1321">
        <v>0.2961111111111111</v>
      </c>
      <c r="C7" s="1321">
        <v>5.3433476825109121E-2</v>
      </c>
    </row>
    <row r="8" spans="1:3" s="2" customFormat="1" ht="10.199999999999999" x14ac:dyDescent="0.2">
      <c r="A8" s="2" t="s">
        <v>3111</v>
      </c>
      <c r="B8" s="1020">
        <v>1.7147222222222223</v>
      </c>
      <c r="C8" s="1321">
        <v>0.30942293850037395</v>
      </c>
    </row>
    <row r="9" spans="1:3" s="2" customFormat="1" ht="10.199999999999999" x14ac:dyDescent="0.2">
      <c r="A9" s="2" t="s">
        <v>38</v>
      </c>
      <c r="B9" s="1020">
        <v>4.7305555555555552</v>
      </c>
      <c r="C9" s="1321">
        <v>0.85363237366942624</v>
      </c>
    </row>
    <row r="10" spans="1:3" s="2" customFormat="1" ht="10.199999999999999" x14ac:dyDescent="0.2">
      <c r="A10" s="2" t="s">
        <v>3109</v>
      </c>
      <c r="B10" s="1020">
        <v>4.7511111111111113</v>
      </c>
      <c r="C10" s="1321">
        <v>0.85734163941525932</v>
      </c>
    </row>
    <row r="11" spans="1:3" s="2" customFormat="1" ht="10.199999999999999" x14ac:dyDescent="0.2">
      <c r="A11" s="2" t="s">
        <v>3113</v>
      </c>
      <c r="B11" s="1020">
        <v>8.7688888888888883</v>
      </c>
      <c r="C11" s="1321">
        <v>1.582352717087284</v>
      </c>
    </row>
    <row r="12" spans="1:3" s="2" customFormat="1" ht="10.199999999999999" x14ac:dyDescent="0.2">
      <c r="A12" s="2" t="s">
        <v>2379</v>
      </c>
      <c r="B12" s="1020">
        <v>16.5825</v>
      </c>
      <c r="C12" s="1321">
        <v>2.9923248274188925</v>
      </c>
    </row>
    <row r="13" spans="1:3" s="2" customFormat="1" ht="10.199999999999999" x14ac:dyDescent="0.2">
      <c r="A13" s="2" t="s">
        <v>3114</v>
      </c>
      <c r="B13" s="1020">
        <v>18.449166666666667</v>
      </c>
      <c r="C13" s="1321">
        <v>3.3291662573107623</v>
      </c>
    </row>
    <row r="14" spans="1:3" s="2" customFormat="1" ht="10.199999999999999" x14ac:dyDescent="0.2">
      <c r="A14" s="2" t="s">
        <v>3108</v>
      </c>
      <c r="B14" s="1020">
        <v>47.906388888888891</v>
      </c>
      <c r="C14" s="1321">
        <v>8.6447445719407074</v>
      </c>
    </row>
    <row r="15" spans="1:3" s="2" customFormat="1" ht="10.199999999999999" x14ac:dyDescent="0.2">
      <c r="A15" s="2" t="s">
        <v>3112</v>
      </c>
      <c r="B15" s="1020">
        <v>61.542777777777779</v>
      </c>
      <c r="C15" s="1321">
        <v>11.105441392598712</v>
      </c>
    </row>
    <row r="16" spans="1:3" s="2" customFormat="1" ht="10.199999999999999" x14ac:dyDescent="0.2">
      <c r="A16" s="2" t="s">
        <v>1205</v>
      </c>
      <c r="B16" s="1020">
        <v>85.800555555555562</v>
      </c>
      <c r="C16" s="1321">
        <v>15.482775974384012</v>
      </c>
    </row>
    <row r="17" spans="1:3" s="2" customFormat="1" ht="10.199999999999999" x14ac:dyDescent="0.2">
      <c r="A17" s="2" t="s">
        <v>3116</v>
      </c>
      <c r="B17" s="1020">
        <v>91.291388888888889</v>
      </c>
      <c r="C17" s="1321">
        <v>16.473601055436479</v>
      </c>
    </row>
    <row r="18" spans="1:3" s="2" customFormat="1" ht="10.199999999999999" x14ac:dyDescent="0.2">
      <c r="A18" s="2" t="s">
        <v>3115</v>
      </c>
      <c r="B18" s="1020">
        <v>99.87444444444445</v>
      </c>
      <c r="C18" s="1321">
        <v>18.022420005172922</v>
      </c>
    </row>
    <row r="19" spans="1:3" s="2" customFormat="1" ht="10.199999999999999" x14ac:dyDescent="0.2">
      <c r="A19" s="2" t="s">
        <v>3110</v>
      </c>
      <c r="B19" s="1020">
        <v>112.45916666666666</v>
      </c>
      <c r="C19" s="1321">
        <v>20.293342770240059</v>
      </c>
    </row>
    <row r="20" spans="1:3" s="2" customFormat="1" ht="6.75" customHeight="1" x14ac:dyDescent="0.2">
      <c r="B20" s="1020"/>
      <c r="C20" s="1321"/>
    </row>
    <row r="21" spans="1:3" s="2" customFormat="1" ht="12.75" customHeight="1" x14ac:dyDescent="0.2">
      <c r="A21" s="1330" t="s">
        <v>3141</v>
      </c>
      <c r="B21" s="1330"/>
      <c r="C21" s="1330"/>
    </row>
    <row r="22" spans="1:3" s="2" customFormat="1" ht="10.199999999999999" x14ac:dyDescent="0.2">
      <c r="A22" s="1251" t="s">
        <v>3093</v>
      </c>
      <c r="B22" s="1251"/>
      <c r="C22" s="1251"/>
    </row>
  </sheetData>
  <mergeCells count="5">
    <mergeCell ref="A2:C2"/>
    <mergeCell ref="A4:A5"/>
    <mergeCell ref="B4:C4"/>
    <mergeCell ref="A21:C21"/>
    <mergeCell ref="A22:C22"/>
  </mergeCells>
  <pageMargins left="0.7" right="0.7" top="0.75" bottom="0.75" header="0.3" footer="0.3"/>
  <pageSetup paperSize="14" scale="90" orientation="landscape" r:id="rId1"/>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640836-3B06-4FC3-B3E2-73BC9EA386F3}">
  <sheetPr codeName="Hoja256"/>
  <dimension ref="A2:L13"/>
  <sheetViews>
    <sheetView workbookViewId="0">
      <selection activeCell="A4" sqref="A4:A6"/>
    </sheetView>
  </sheetViews>
  <sheetFormatPr baseColWidth="10" defaultRowHeight="13.2" x14ac:dyDescent="0.25"/>
  <cols>
    <col min="1" max="1" width="20.6640625" customWidth="1"/>
  </cols>
  <sheetData>
    <row r="2" spans="1:12" s="2" customFormat="1" ht="22.5" customHeight="1" x14ac:dyDescent="0.2">
      <c r="A2" s="1041" t="s">
        <v>2895</v>
      </c>
      <c r="B2" s="1041"/>
      <c r="C2" s="1041"/>
      <c r="D2" s="1041"/>
      <c r="E2" s="1041"/>
    </row>
    <row r="3" spans="1:12" s="2" customFormat="1" ht="10.199999999999999" x14ac:dyDescent="0.2">
      <c r="A3" s="342"/>
    </row>
    <row r="4" spans="1:12" s="2" customFormat="1" ht="13.5" customHeight="1" x14ac:dyDescent="0.2">
      <c r="A4" s="1254" t="s">
        <v>3124</v>
      </c>
      <c r="B4" s="685" t="s">
        <v>3143</v>
      </c>
      <c r="C4" s="685"/>
      <c r="D4" s="685"/>
      <c r="E4" s="685"/>
      <c r="H4" s="651"/>
    </row>
    <row r="5" spans="1:12" s="2" customFormat="1" ht="12.75" customHeight="1" x14ac:dyDescent="0.2">
      <c r="A5" s="1331"/>
      <c r="B5" s="1332" t="s">
        <v>3144</v>
      </c>
      <c r="C5" s="1332"/>
      <c r="D5" s="1332" t="s">
        <v>3145</v>
      </c>
      <c r="E5" s="1333"/>
      <c r="H5" s="1334"/>
      <c r="I5" s="1335"/>
      <c r="J5" s="1335"/>
      <c r="K5" s="1335"/>
      <c r="L5" s="1334"/>
    </row>
    <row r="6" spans="1:12" s="2" customFormat="1" ht="10.199999999999999" x14ac:dyDescent="0.2">
      <c r="A6" s="1255"/>
      <c r="B6" s="1336" t="s">
        <v>3146</v>
      </c>
      <c r="C6" s="1336" t="s">
        <v>801</v>
      </c>
      <c r="D6" s="1336" t="s">
        <v>3146</v>
      </c>
      <c r="E6" s="1336" t="s">
        <v>801</v>
      </c>
      <c r="H6" s="1334"/>
      <c r="I6" s="1337"/>
      <c r="J6" s="1337"/>
      <c r="K6" s="1337"/>
      <c r="L6" s="1337"/>
    </row>
    <row r="7" spans="1:12" s="2" customFormat="1" ht="10.199999999999999" x14ac:dyDescent="0.2">
      <c r="A7" s="1338" t="s">
        <v>3</v>
      </c>
      <c r="B7" s="977">
        <f>SUM(B8:B9)</f>
        <v>4374.666666666667</v>
      </c>
      <c r="C7" s="1339">
        <f>SUM(C8:C9)</f>
        <v>1</v>
      </c>
      <c r="D7" s="977">
        <f>SUM(D8:D9)</f>
        <v>21.511666666666667</v>
      </c>
      <c r="E7" s="1339">
        <f>SUM(E8:E9)</f>
        <v>0.99999999999999989</v>
      </c>
      <c r="H7" s="1340"/>
      <c r="I7" s="1337"/>
      <c r="J7" s="1337"/>
      <c r="K7" s="1337"/>
      <c r="L7" s="1337"/>
    </row>
    <row r="8" spans="1:12" s="2" customFormat="1" ht="10.199999999999999" x14ac:dyDescent="0.2">
      <c r="A8" s="1341" t="s">
        <v>1254</v>
      </c>
      <c r="B8" s="909">
        <v>124.05</v>
      </c>
      <c r="C8" s="1342">
        <f>B8/B7</f>
        <v>2.8356446205425174E-2</v>
      </c>
      <c r="D8" s="909">
        <v>0.63777777777777778</v>
      </c>
      <c r="E8" s="1342">
        <f>D8/D7</f>
        <v>2.9647994628237907E-2</v>
      </c>
      <c r="F8" s="1321"/>
      <c r="H8" s="1341"/>
      <c r="I8" s="909"/>
      <c r="J8" s="1321"/>
      <c r="K8" s="909"/>
      <c r="L8" s="1321"/>
    </row>
    <row r="9" spans="1:12" s="2" customFormat="1" ht="10.199999999999999" x14ac:dyDescent="0.2">
      <c r="A9" s="1341" t="s">
        <v>138</v>
      </c>
      <c r="B9" s="909">
        <v>4250.6166666666668</v>
      </c>
      <c r="C9" s="1342">
        <f>B9/B7</f>
        <v>0.97164355379457479</v>
      </c>
      <c r="D9" s="909">
        <v>20.873888888888889</v>
      </c>
      <c r="E9" s="1342">
        <f>D9/D7</f>
        <v>0.97035200537176203</v>
      </c>
      <c r="F9" s="1321"/>
      <c r="H9" s="1341"/>
      <c r="I9" s="909"/>
      <c r="J9" s="1321"/>
      <c r="K9" s="909"/>
      <c r="L9" s="1321"/>
    </row>
    <row r="10" spans="1:12" s="2" customFormat="1" ht="6" customHeight="1" x14ac:dyDescent="0.2">
      <c r="H10" s="1341"/>
      <c r="I10" s="909"/>
      <c r="K10" s="909"/>
    </row>
    <row r="11" spans="1:12" s="2" customFormat="1" ht="10.199999999999999" x14ac:dyDescent="0.2">
      <c r="A11" s="1325" t="s">
        <v>3147</v>
      </c>
      <c r="B11" s="1325"/>
      <c r="C11" s="1325"/>
    </row>
    <row r="12" spans="1:12" s="2" customFormat="1" ht="10.199999999999999" x14ac:dyDescent="0.2">
      <c r="A12" s="1343" t="s">
        <v>3148</v>
      </c>
      <c r="B12" s="1325"/>
      <c r="C12" s="1325"/>
      <c r="D12" s="1325"/>
      <c r="E12" s="443"/>
    </row>
    <row r="13" spans="1:12" s="2" customFormat="1" ht="10.199999999999999" x14ac:dyDescent="0.2">
      <c r="A13" s="1251" t="s">
        <v>3093</v>
      </c>
      <c r="B13" s="1251"/>
      <c r="C13" s="1251"/>
      <c r="D13" s="1251"/>
      <c r="E13" s="1251"/>
    </row>
  </sheetData>
  <mergeCells count="8">
    <mergeCell ref="A12:D12"/>
    <mergeCell ref="A13:E13"/>
    <mergeCell ref="A2:E2"/>
    <mergeCell ref="A4:A6"/>
    <mergeCell ref="B4:E4"/>
    <mergeCell ref="B5:C5"/>
    <mergeCell ref="D5:E5"/>
    <mergeCell ref="A11:C11"/>
  </mergeCells>
  <pageMargins left="0.7" right="0.7" top="0.75" bottom="0.75" header="0.3" footer="0.3"/>
  <pageSetup paperSize="14" scale="90" orientation="landscape" r:id="rId1"/>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CF5B11-9F43-49F3-A63D-7AC87D7EF042}">
  <sheetPr codeName="Hoja257"/>
  <dimension ref="A1:L14"/>
  <sheetViews>
    <sheetView workbookViewId="0">
      <selection activeCell="A4" sqref="A4:A6"/>
    </sheetView>
  </sheetViews>
  <sheetFormatPr baseColWidth="10" defaultRowHeight="13.2" x14ac:dyDescent="0.25"/>
  <cols>
    <col min="1" max="1" width="42.5546875" customWidth="1"/>
    <col min="2" max="5" width="15.5546875" customWidth="1"/>
  </cols>
  <sheetData>
    <row r="1" spans="1:12" x14ac:dyDescent="0.25">
      <c r="A1" s="1009"/>
    </row>
    <row r="2" spans="1:12" s="2" customFormat="1" ht="27.75" customHeight="1" x14ac:dyDescent="0.2">
      <c r="A2" s="1322" t="s">
        <v>2896</v>
      </c>
      <c r="B2" s="1322"/>
      <c r="C2" s="1322"/>
      <c r="D2" s="1322"/>
      <c r="E2" s="1322"/>
    </row>
    <row r="3" spans="1:12" s="2" customFormat="1" ht="10.199999999999999" x14ac:dyDescent="0.2">
      <c r="A3" s="1344"/>
      <c r="B3" s="651"/>
      <c r="C3" s="651"/>
      <c r="D3" s="651"/>
    </row>
    <row r="4" spans="1:12" s="2" customFormat="1" ht="15.75" customHeight="1" x14ac:dyDescent="0.2">
      <c r="A4" s="1345" t="s">
        <v>3149</v>
      </c>
      <c r="B4" s="1346" t="s">
        <v>3150</v>
      </c>
      <c r="C4" s="1346"/>
      <c r="D4" s="1346"/>
      <c r="E4" s="1346"/>
    </row>
    <row r="5" spans="1:12" s="2" customFormat="1" ht="12" x14ac:dyDescent="0.2">
      <c r="A5" s="1347"/>
      <c r="B5" s="1262" t="s">
        <v>3099</v>
      </c>
      <c r="C5" s="1262"/>
      <c r="D5" s="1262" t="s">
        <v>3100</v>
      </c>
      <c r="E5" s="1262"/>
    </row>
    <row r="6" spans="1:12" s="2" customFormat="1" ht="10.199999999999999" x14ac:dyDescent="0.2">
      <c r="A6" s="1348"/>
      <c r="B6" s="1264" t="s">
        <v>3083</v>
      </c>
      <c r="C6" s="1264" t="s">
        <v>801</v>
      </c>
      <c r="D6" s="1264" t="s">
        <v>3083</v>
      </c>
      <c r="E6" s="1264" t="s">
        <v>801</v>
      </c>
    </row>
    <row r="7" spans="1:12" s="2" customFormat="1" ht="10.199999999999999" x14ac:dyDescent="0.2">
      <c r="A7" s="342" t="s">
        <v>3</v>
      </c>
      <c r="B7" s="1349">
        <v>54583.416666666664</v>
      </c>
      <c r="C7" s="1339">
        <f>SUM(C8:C9)</f>
        <v>1</v>
      </c>
      <c r="D7" s="1349">
        <v>929.25194444444446</v>
      </c>
      <c r="E7" s="1350">
        <f>SUM(E8:E9)</f>
        <v>1</v>
      </c>
    </row>
    <row r="8" spans="1:12" s="2" customFormat="1" ht="10.199999999999999" x14ac:dyDescent="0.2">
      <c r="A8" s="651" t="s">
        <v>3151</v>
      </c>
      <c r="B8" s="1269">
        <v>4374.6666666666661</v>
      </c>
      <c r="C8" s="1342">
        <f>+B8/B7</f>
        <v>8.0146442524515221E-2</v>
      </c>
      <c r="D8" s="1269">
        <v>21.511666666666667</v>
      </c>
      <c r="E8" s="1342">
        <f>+D8/D7</f>
        <v>2.3149444879049963E-2</v>
      </c>
      <c r="I8" s="1269"/>
      <c r="J8" s="1272"/>
      <c r="K8" s="1269"/>
      <c r="L8" s="1272"/>
    </row>
    <row r="9" spans="1:12" s="2" customFormat="1" ht="10.199999999999999" x14ac:dyDescent="0.2">
      <c r="A9" s="651" t="s">
        <v>3104</v>
      </c>
      <c r="B9" s="1269">
        <v>50208.75</v>
      </c>
      <c r="C9" s="1342">
        <f>+B9/B7</f>
        <v>0.91985355747548481</v>
      </c>
      <c r="D9" s="1269">
        <v>907.74027777777781</v>
      </c>
      <c r="E9" s="1342">
        <f>+D9/D7</f>
        <v>0.97685055512095009</v>
      </c>
      <c r="I9" s="1269"/>
      <c r="J9" s="1272"/>
      <c r="K9" s="1269"/>
      <c r="L9" s="1272"/>
    </row>
    <row r="10" spans="1:12" s="2" customFormat="1" ht="10.199999999999999" x14ac:dyDescent="0.2">
      <c r="I10" s="1269"/>
      <c r="J10" s="651"/>
      <c r="K10" s="1269"/>
      <c r="L10" s="651"/>
    </row>
    <row r="11" spans="1:12" s="2" customFormat="1" ht="10.5" customHeight="1" x14ac:dyDescent="0.2">
      <c r="A11" s="1325" t="s">
        <v>3147</v>
      </c>
      <c r="B11" s="1325"/>
      <c r="C11" s="1325"/>
      <c r="D11" s="1325"/>
      <c r="E11" s="1325"/>
    </row>
    <row r="12" spans="1:12" s="2" customFormat="1" ht="12" customHeight="1" x14ac:dyDescent="0.2">
      <c r="A12" s="1325" t="s">
        <v>3148</v>
      </c>
      <c r="B12" s="1325"/>
      <c r="C12" s="1325"/>
      <c r="D12" s="1325"/>
      <c r="E12" s="1325"/>
      <c r="F12" s="1351"/>
      <c r="G12" s="1351"/>
    </row>
    <row r="13" spans="1:12" s="2" customFormat="1" ht="10.199999999999999" x14ac:dyDescent="0.2">
      <c r="A13" s="1251" t="s">
        <v>3093</v>
      </c>
      <c r="B13" s="1251"/>
      <c r="C13" s="1251"/>
      <c r="D13" s="1251"/>
      <c r="E13" s="1251"/>
      <c r="F13" s="1351"/>
      <c r="G13" s="1351"/>
    </row>
    <row r="14" spans="1:12" s="2" customFormat="1" ht="10.199999999999999" x14ac:dyDescent="0.2">
      <c r="A14" s="1351"/>
      <c r="B14" s="1351"/>
      <c r="C14" s="1351"/>
      <c r="D14" s="1351"/>
      <c r="E14" s="1351"/>
      <c r="F14" s="1351"/>
      <c r="G14" s="1351"/>
    </row>
  </sheetData>
  <mergeCells count="8">
    <mergeCell ref="A12:E12"/>
    <mergeCell ref="A13:E13"/>
    <mergeCell ref="A2:E2"/>
    <mergeCell ref="A4:A6"/>
    <mergeCell ref="B4:E4"/>
    <mergeCell ref="B5:C5"/>
    <mergeCell ref="D5:E5"/>
    <mergeCell ref="A11:E11"/>
  </mergeCells>
  <pageMargins left="0.7" right="0.7" top="0.75" bottom="0.75" header="0.3" footer="0.3"/>
  <pageSetup paperSize="14" scale="90" orientation="landscape" r:id="rId1"/>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55FD9-1711-4AF9-B5BC-C4EDEACBEE65}">
  <sheetPr codeName="Hoja258"/>
  <dimension ref="A1:I48"/>
  <sheetViews>
    <sheetView workbookViewId="0">
      <selection activeCell="A4" sqref="A4:A6"/>
    </sheetView>
  </sheetViews>
  <sheetFormatPr baseColWidth="10" defaultRowHeight="13.2" x14ac:dyDescent="0.25"/>
  <cols>
    <col min="1" max="1" width="26.88671875" customWidth="1"/>
    <col min="9" max="9" width="14.109375" customWidth="1"/>
  </cols>
  <sheetData>
    <row r="1" spans="1:9" x14ac:dyDescent="0.25">
      <c r="A1" s="1009"/>
    </row>
    <row r="2" spans="1:9" s="2" customFormat="1" ht="26.25" customHeight="1" x14ac:dyDescent="0.2">
      <c r="A2" s="308" t="s">
        <v>3152</v>
      </c>
      <c r="B2" s="308"/>
      <c r="C2" s="308"/>
      <c r="D2" s="308"/>
      <c r="E2" s="308"/>
      <c r="F2" s="308"/>
      <c r="G2" s="308"/>
      <c r="H2" s="308"/>
      <c r="I2" s="308"/>
    </row>
    <row r="3" spans="1:9" s="2" customFormat="1" ht="10.199999999999999" x14ac:dyDescent="0.2">
      <c r="A3" s="24"/>
    </row>
    <row r="4" spans="1:9" s="2" customFormat="1" ht="15.75" customHeight="1" x14ac:dyDescent="0.2">
      <c r="A4" s="275" t="s">
        <v>3107</v>
      </c>
      <c r="B4" s="685">
        <v>2010</v>
      </c>
      <c r="C4" s="685"/>
      <c r="D4" s="685">
        <v>2011</v>
      </c>
      <c r="E4" s="685"/>
      <c r="F4" s="685">
        <v>2012</v>
      </c>
      <c r="G4" s="685"/>
      <c r="H4" s="685">
        <v>2013</v>
      </c>
      <c r="I4" s="685"/>
    </row>
    <row r="5" spans="1:9" s="2" customFormat="1" ht="15.75" customHeight="1" x14ac:dyDescent="0.2">
      <c r="A5" s="277"/>
      <c r="B5" s="1033" t="s">
        <v>3083</v>
      </c>
      <c r="C5" s="1033" t="s">
        <v>801</v>
      </c>
      <c r="D5" s="1033" t="s">
        <v>3083</v>
      </c>
      <c r="E5" s="1033" t="s">
        <v>801</v>
      </c>
      <c r="F5" s="1033" t="s">
        <v>3083</v>
      </c>
      <c r="G5" s="1033" t="s">
        <v>801</v>
      </c>
      <c r="H5" s="1033" t="s">
        <v>3083</v>
      </c>
      <c r="I5" s="1033" t="s">
        <v>801</v>
      </c>
    </row>
    <row r="6" spans="1:9" s="2" customFormat="1" ht="12" x14ac:dyDescent="0.2">
      <c r="A6" s="342" t="s">
        <v>3153</v>
      </c>
      <c r="B6" s="977">
        <f>SUM(B7:B8)</f>
        <v>52936.483333333337</v>
      </c>
      <c r="C6" s="1339">
        <f t="shared" ref="C6:I6" si="0">SUM(C7:C8)</f>
        <v>1</v>
      </c>
      <c r="D6" s="977">
        <f t="shared" si="0"/>
        <v>51876.566666666666</v>
      </c>
      <c r="E6" s="1339">
        <f>SUM(E7:E8)</f>
        <v>1</v>
      </c>
      <c r="F6" s="977">
        <f t="shared" si="0"/>
        <v>54779.255555555559</v>
      </c>
      <c r="G6" s="1339">
        <f t="shared" si="0"/>
        <v>1</v>
      </c>
      <c r="H6" s="977">
        <f t="shared" si="0"/>
        <v>54583.416666666672</v>
      </c>
      <c r="I6" s="1339">
        <f t="shared" si="0"/>
        <v>1</v>
      </c>
    </row>
    <row r="7" spans="1:9" s="2" customFormat="1" ht="10.199999999999999" x14ac:dyDescent="0.2">
      <c r="A7" s="1352" t="s">
        <v>722</v>
      </c>
      <c r="B7" s="909">
        <v>875.4666666666667</v>
      </c>
      <c r="C7" s="1342">
        <f>+B7/B6</f>
        <v>1.6538058660866842E-2</v>
      </c>
      <c r="D7" s="909">
        <v>1178.5999999999999</v>
      </c>
      <c r="E7" s="1342">
        <f>+D7/D6</f>
        <v>2.2719313858473027E-2</v>
      </c>
      <c r="F7" s="909">
        <v>1208.3555555555556</v>
      </c>
      <c r="G7" s="1342">
        <f>+F7/F6</f>
        <v>2.2058634117984241E-2</v>
      </c>
      <c r="H7" s="909">
        <v>995.9</v>
      </c>
      <c r="I7" s="1342">
        <f>+H7/H6</f>
        <v>1.8245468327529268E-2</v>
      </c>
    </row>
    <row r="8" spans="1:9" s="2" customFormat="1" ht="10.199999999999999" x14ac:dyDescent="0.2">
      <c r="A8" s="1352" t="s">
        <v>3154</v>
      </c>
      <c r="B8" s="909">
        <v>52061.01666666667</v>
      </c>
      <c r="C8" s="1342">
        <f>+B8/B6</f>
        <v>0.98346194133913312</v>
      </c>
      <c r="D8" s="909">
        <v>50697.966666666667</v>
      </c>
      <c r="E8" s="1342">
        <f>+D8/D6</f>
        <v>0.97728068614152697</v>
      </c>
      <c r="F8" s="909">
        <v>53570.9</v>
      </c>
      <c r="G8" s="1342">
        <f>+F8/F6</f>
        <v>0.97794136588201575</v>
      </c>
      <c r="H8" s="909">
        <v>53587.51666666667</v>
      </c>
      <c r="I8" s="1342">
        <f>+H8/H6</f>
        <v>0.98175453167247073</v>
      </c>
    </row>
    <row r="9" spans="1:9" s="2" customFormat="1" ht="12" x14ac:dyDescent="0.2">
      <c r="A9" s="342" t="s">
        <v>3155</v>
      </c>
      <c r="B9" s="977">
        <f t="shared" ref="B9:I9" si="1">SUM(B10:B11)</f>
        <v>945.81231666667406</v>
      </c>
      <c r="C9" s="1339">
        <f t="shared" si="1"/>
        <v>1</v>
      </c>
      <c r="D9" s="977">
        <f t="shared" si="1"/>
        <v>979.88202777778065</v>
      </c>
      <c r="E9" s="1339">
        <f>SUM(E10:E11)</f>
        <v>0.99999999999999989</v>
      </c>
      <c r="F9" s="977">
        <f t="shared" si="1"/>
        <v>936.03062777777222</v>
      </c>
      <c r="G9" s="1339">
        <f t="shared" si="1"/>
        <v>1</v>
      </c>
      <c r="H9" s="977">
        <f t="shared" si="1"/>
        <v>929.25194444444446</v>
      </c>
      <c r="I9" s="1339">
        <f t="shared" si="1"/>
        <v>1</v>
      </c>
    </row>
    <row r="10" spans="1:9" s="2" customFormat="1" ht="10.199999999999999" x14ac:dyDescent="0.2">
      <c r="A10" s="1352" t="s">
        <v>722</v>
      </c>
      <c r="B10" s="1020">
        <v>21.236077777777759</v>
      </c>
      <c r="C10" s="1342">
        <f>+B10/B9</f>
        <v>2.2452739728131325E-2</v>
      </c>
      <c r="D10" s="1020">
        <v>23.519188888888898</v>
      </c>
      <c r="E10" s="1342">
        <f>+D10/D9</f>
        <v>2.4002061699434109E-2</v>
      </c>
      <c r="F10" s="1020">
        <v>25.552877777777791</v>
      </c>
      <c r="G10" s="1342">
        <f>+F10/F9</f>
        <v>2.7299189812242372E-2</v>
      </c>
      <c r="H10" s="1020">
        <v>20.639722222222222</v>
      </c>
      <c r="I10" s="1342">
        <f>+H10/H9</f>
        <v>2.2211115452184207E-2</v>
      </c>
    </row>
    <row r="11" spans="1:9" s="2" customFormat="1" ht="10.199999999999999" x14ac:dyDescent="0.2">
      <c r="A11" s="1352" t="s">
        <v>3154</v>
      </c>
      <c r="B11" s="1020">
        <v>924.57623888889634</v>
      </c>
      <c r="C11" s="1342">
        <f>+B11/B9</f>
        <v>0.97754726027186867</v>
      </c>
      <c r="D11" s="1020">
        <v>956.3628388888917</v>
      </c>
      <c r="E11" s="1342">
        <f>+D11/D9</f>
        <v>0.9759979383005658</v>
      </c>
      <c r="F11" s="1020">
        <v>910.47774999999444</v>
      </c>
      <c r="G11" s="1342">
        <f>+F11/F9</f>
        <v>0.97270081018775767</v>
      </c>
      <c r="H11" s="1020">
        <v>908.61222222222227</v>
      </c>
      <c r="I11" s="1342">
        <f>+H11/H9</f>
        <v>0.97778888454781587</v>
      </c>
    </row>
    <row r="12" spans="1:9" s="2" customFormat="1" ht="9.75" customHeight="1" x14ac:dyDescent="0.2"/>
    <row r="13" spans="1:9" s="2" customFormat="1" ht="143.25" customHeight="1" x14ac:dyDescent="0.2">
      <c r="A13" s="697" t="s">
        <v>3156</v>
      </c>
      <c r="B13" s="697"/>
      <c r="C13" s="697"/>
      <c r="D13" s="697"/>
      <c r="E13" s="697"/>
      <c r="F13" s="697"/>
      <c r="G13" s="697"/>
      <c r="H13" s="697"/>
      <c r="I13" s="697"/>
    </row>
    <row r="14" spans="1:9" s="2" customFormat="1" ht="10.5" customHeight="1" x14ac:dyDescent="0.2">
      <c r="A14" s="1325" t="s">
        <v>3157</v>
      </c>
      <c r="B14" s="1325"/>
      <c r="C14" s="1325"/>
      <c r="D14" s="1325"/>
      <c r="E14" s="1325"/>
      <c r="F14" s="1325"/>
      <c r="G14" s="1325"/>
      <c r="H14" s="1325"/>
      <c r="I14" s="1325"/>
    </row>
    <row r="15" spans="1:9" s="2" customFormat="1" ht="10.5" customHeight="1" x14ac:dyDescent="0.2">
      <c r="A15" s="1325" t="s">
        <v>3158</v>
      </c>
      <c r="B15" s="1325"/>
      <c r="C15" s="1325"/>
      <c r="D15" s="1325"/>
      <c r="E15" s="1325"/>
      <c r="F15" s="1325"/>
      <c r="G15" s="1325"/>
      <c r="H15" s="1325"/>
      <c r="I15" s="1325"/>
    </row>
    <row r="16" spans="1:9" s="2" customFormat="1" ht="10.199999999999999" x14ac:dyDescent="0.2">
      <c r="A16" s="1251" t="s">
        <v>3093</v>
      </c>
      <c r="B16" s="1251"/>
      <c r="C16" s="1251"/>
      <c r="D16" s="1251"/>
      <c r="E16" s="1251"/>
      <c r="F16" s="1251"/>
      <c r="G16" s="1251"/>
      <c r="H16" s="1251"/>
      <c r="I16" s="1251"/>
    </row>
    <row r="48" spans="1:1" x14ac:dyDescent="0.25">
      <c r="A48" s="701"/>
    </row>
  </sheetData>
  <mergeCells count="10">
    <mergeCell ref="A13:I13"/>
    <mergeCell ref="A14:I14"/>
    <mergeCell ref="A15:I15"/>
    <mergeCell ref="A16:I16"/>
    <mergeCell ref="A2:I2"/>
    <mergeCell ref="A4:A5"/>
    <mergeCell ref="B4:C4"/>
    <mergeCell ref="D4:E4"/>
    <mergeCell ref="F4:G4"/>
    <mergeCell ref="H4:I4"/>
  </mergeCells>
  <pageMargins left="0.7" right="0.7" top="0.75" bottom="0.75" header="0.3" footer="0.3"/>
  <pageSetup paperSize="14" scale="90" orientation="landscape" r:id="rId1"/>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7681A-1CCE-4904-AC6D-DDE34D17A0EB}">
  <sheetPr codeName="Hoja259"/>
  <dimension ref="A1:I38"/>
  <sheetViews>
    <sheetView workbookViewId="0">
      <selection activeCell="A4" sqref="A4:A6"/>
    </sheetView>
  </sheetViews>
  <sheetFormatPr baseColWidth="10" defaultColWidth="11.44140625" defaultRowHeight="10.199999999999999" x14ac:dyDescent="0.2"/>
  <cols>
    <col min="1" max="1" width="27.88671875" style="2" customWidth="1"/>
    <col min="2" max="5" width="17.44140625" style="2" customWidth="1"/>
    <col min="6" max="16384" width="11.44140625" style="2"/>
  </cols>
  <sheetData>
    <row r="1" spans="1:9" ht="13.2" x14ac:dyDescent="0.2">
      <c r="A1" s="1009"/>
    </row>
    <row r="2" spans="1:9" ht="33.75" customHeight="1" x14ac:dyDescent="0.2">
      <c r="A2" s="308" t="s">
        <v>2898</v>
      </c>
      <c r="B2" s="308"/>
      <c r="C2" s="308"/>
      <c r="D2" s="308"/>
      <c r="E2" s="308"/>
    </row>
    <row r="4" spans="1:9" x14ac:dyDescent="0.2">
      <c r="A4" s="1344" t="s">
        <v>3159</v>
      </c>
    </row>
    <row r="6" spans="1:9" s="324" customFormat="1" ht="13.5" customHeight="1" x14ac:dyDescent="0.25">
      <c r="A6" s="323" t="s">
        <v>3082</v>
      </c>
      <c r="B6" s="323" t="s">
        <v>3099</v>
      </c>
      <c r="C6" s="323"/>
      <c r="D6" s="326" t="s">
        <v>3160</v>
      </c>
      <c r="E6" s="326"/>
    </row>
    <row r="7" spans="1:9" s="324" customFormat="1" ht="13.5" customHeight="1" x14ac:dyDescent="0.25">
      <c r="A7" s="323"/>
      <c r="B7" s="1353" t="s">
        <v>3083</v>
      </c>
      <c r="C7" s="1353" t="s">
        <v>801</v>
      </c>
      <c r="D7" s="1353" t="s">
        <v>3083</v>
      </c>
      <c r="E7" s="1353" t="s">
        <v>801</v>
      </c>
    </row>
    <row r="8" spans="1:9" x14ac:dyDescent="0.2">
      <c r="A8" s="1328" t="s">
        <v>3</v>
      </c>
      <c r="B8" s="977">
        <f>SUM(B9:B10)</f>
        <v>54583.416666666664</v>
      </c>
      <c r="C8" s="1339">
        <f>SUM(C9:C10)</f>
        <v>1</v>
      </c>
      <c r="D8" s="977">
        <f>SUM(D9:D10)</f>
        <v>929.25194444444446</v>
      </c>
      <c r="E8" s="1339">
        <f>SUM(E9:E10)</f>
        <v>1</v>
      </c>
    </row>
    <row r="9" spans="1:9" ht="12" customHeight="1" x14ac:dyDescent="0.2">
      <c r="A9" s="1354" t="s">
        <v>3161</v>
      </c>
      <c r="B9" s="909">
        <v>54253.283333333333</v>
      </c>
      <c r="C9" s="1355">
        <f>B9/$B$8</f>
        <v>0.99395176495913751</v>
      </c>
      <c r="D9" s="1356">
        <v>923.13333333333333</v>
      </c>
      <c r="E9" s="1355">
        <f>D9/$D$8</f>
        <v>0.99341555199567633</v>
      </c>
    </row>
    <row r="10" spans="1:9" x14ac:dyDescent="0.2">
      <c r="A10" s="1354" t="s">
        <v>3162</v>
      </c>
      <c r="B10" s="909">
        <v>330.13333333333333</v>
      </c>
      <c r="C10" s="1355">
        <f>B10/$B$8</f>
        <v>6.0482350408625329E-3</v>
      </c>
      <c r="D10" s="1356">
        <v>6.118611111111111</v>
      </c>
      <c r="E10" s="1355">
        <f>D10/$D$8</f>
        <v>6.5844480043236687E-3</v>
      </c>
    </row>
    <row r="11" spans="1:9" ht="6" customHeight="1" x14ac:dyDescent="0.2">
      <c r="A11" s="1354"/>
      <c r="B11" s="909"/>
      <c r="C11" s="1355"/>
      <c r="D11" s="1356"/>
      <c r="E11" s="1355"/>
    </row>
    <row r="12" spans="1:9" x14ac:dyDescent="0.2">
      <c r="A12" s="1330" t="s">
        <v>3147</v>
      </c>
      <c r="B12" s="1330"/>
      <c r="C12" s="1330"/>
      <c r="D12" s="1330"/>
      <c r="E12" s="1330"/>
    </row>
    <row r="13" spans="1:9" x14ac:dyDescent="0.2">
      <c r="A13" s="1330" t="s">
        <v>3163</v>
      </c>
      <c r="B13" s="1330"/>
      <c r="C13" s="1330"/>
      <c r="D13" s="1330"/>
      <c r="E13" s="1330"/>
    </row>
    <row r="14" spans="1:9" x14ac:dyDescent="0.2">
      <c r="A14" s="1251" t="s">
        <v>3093</v>
      </c>
      <c r="B14" s="1251"/>
      <c r="C14" s="1251"/>
      <c r="D14" s="1251"/>
      <c r="E14" s="1251"/>
      <c r="F14" s="442"/>
      <c r="G14" s="442"/>
      <c r="H14" s="442"/>
      <c r="I14" s="442"/>
    </row>
    <row r="18" spans="1:3" x14ac:dyDescent="0.2">
      <c r="A18" s="1357"/>
      <c r="B18" s="1357"/>
      <c r="C18" s="1357"/>
    </row>
    <row r="20" spans="1:3" ht="12.75" customHeight="1" x14ac:dyDescent="0.2">
      <c r="A20" s="337"/>
      <c r="B20" s="342"/>
      <c r="C20" s="342"/>
    </row>
    <row r="21" spans="1:3" x14ac:dyDescent="0.2">
      <c r="A21" s="337"/>
      <c r="B21" s="664"/>
      <c r="C21" s="664"/>
    </row>
    <row r="22" spans="1:3" x14ac:dyDescent="0.2">
      <c r="A22" s="1328"/>
      <c r="B22" s="1329"/>
      <c r="C22" s="24"/>
    </row>
    <row r="23" spans="1:3" x14ac:dyDescent="0.2">
      <c r="B23" s="1321"/>
      <c r="C23" s="1321"/>
    </row>
    <row r="24" spans="1:3" x14ac:dyDescent="0.2">
      <c r="B24" s="1020"/>
      <c r="C24" s="1321"/>
    </row>
    <row r="25" spans="1:3" x14ac:dyDescent="0.2">
      <c r="B25" s="1020"/>
      <c r="C25" s="1321"/>
    </row>
    <row r="26" spans="1:3" x14ac:dyDescent="0.2">
      <c r="B26" s="1020"/>
      <c r="C26" s="1321"/>
    </row>
    <row r="27" spans="1:3" x14ac:dyDescent="0.2">
      <c r="B27" s="1020"/>
      <c r="C27" s="1321"/>
    </row>
    <row r="28" spans="1:3" x14ac:dyDescent="0.2">
      <c r="B28" s="1020"/>
      <c r="C28" s="1321"/>
    </row>
    <row r="29" spans="1:3" x14ac:dyDescent="0.2">
      <c r="B29" s="1020"/>
      <c r="C29" s="1321"/>
    </row>
    <row r="30" spans="1:3" x14ac:dyDescent="0.2">
      <c r="B30" s="1020"/>
      <c r="C30" s="1321"/>
    </row>
    <row r="31" spans="1:3" x14ac:dyDescent="0.2">
      <c r="B31" s="1020"/>
      <c r="C31" s="1321"/>
    </row>
    <row r="32" spans="1:3" x14ac:dyDescent="0.2">
      <c r="B32" s="1020"/>
      <c r="C32" s="1321"/>
    </row>
    <row r="33" spans="1:3" x14ac:dyDescent="0.2">
      <c r="B33" s="1020"/>
      <c r="C33" s="1321"/>
    </row>
    <row r="34" spans="1:3" x14ac:dyDescent="0.2">
      <c r="B34" s="1020"/>
      <c r="C34" s="1321"/>
    </row>
    <row r="35" spans="1:3" x14ac:dyDescent="0.2">
      <c r="B35" s="1020"/>
      <c r="C35" s="1321"/>
    </row>
    <row r="36" spans="1:3" ht="6.75" customHeight="1" x14ac:dyDescent="0.2">
      <c r="B36" s="1020"/>
      <c r="C36" s="1321"/>
    </row>
    <row r="37" spans="1:3" ht="12.75" customHeight="1" x14ac:dyDescent="0.2">
      <c r="A37" s="794"/>
      <c r="B37" s="794"/>
      <c r="C37" s="794"/>
    </row>
    <row r="38" spans="1:3" x14ac:dyDescent="0.2">
      <c r="A38" s="442"/>
      <c r="B38" s="442"/>
      <c r="C38" s="442"/>
    </row>
  </sheetData>
  <mergeCells count="7">
    <mergeCell ref="A14:E14"/>
    <mergeCell ref="A2:E2"/>
    <mergeCell ref="A6:A7"/>
    <mergeCell ref="B6:C6"/>
    <mergeCell ref="D6:E6"/>
    <mergeCell ref="A12:E12"/>
    <mergeCell ref="A13:E13"/>
  </mergeCells>
  <pageMargins left="0.7" right="0.7" top="0.75" bottom="0.75" header="0.3" footer="0.3"/>
  <pageSetup paperSize="14" scale="9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446DD-F557-4087-9D23-86D4518BB1EE}">
  <sheetPr codeName="Hoja26"/>
  <dimension ref="A2:O61"/>
  <sheetViews>
    <sheetView workbookViewId="0"/>
  </sheetViews>
  <sheetFormatPr baseColWidth="10" defaultColWidth="11.44140625" defaultRowHeight="10.199999999999999" x14ac:dyDescent="0.2"/>
  <cols>
    <col min="1" max="1" width="38.5546875" style="62" customWidth="1"/>
    <col min="2" max="2" width="14.33203125" style="62" bestFit="1" customWidth="1"/>
    <col min="3" max="3" width="13.44140625" style="62" bestFit="1" customWidth="1"/>
    <col min="4" max="7" width="13.109375" style="62" bestFit="1" customWidth="1"/>
    <col min="8" max="8" width="17" style="62" customWidth="1"/>
    <col min="9" max="9" width="13.109375" style="62" bestFit="1" customWidth="1"/>
    <col min="10" max="10" width="12" style="62" bestFit="1" customWidth="1"/>
    <col min="11" max="11" width="11.5546875" style="62" bestFit="1" customWidth="1"/>
    <col min="12" max="12" width="13.33203125" style="62" customWidth="1"/>
    <col min="13" max="14" width="11.5546875" style="62" bestFit="1" customWidth="1"/>
    <col min="15" max="15" width="12.5546875" style="62" bestFit="1" customWidth="1"/>
    <col min="16" max="16384" width="11.44140625" style="62"/>
  </cols>
  <sheetData>
    <row r="2" spans="1:15" ht="12" x14ac:dyDescent="0.2">
      <c r="A2" s="63" t="s">
        <v>522</v>
      </c>
      <c r="B2" s="63"/>
    </row>
    <row r="3" spans="1:15" x14ac:dyDescent="0.2">
      <c r="A3" s="63"/>
      <c r="B3" s="63"/>
    </row>
    <row r="4" spans="1:15" ht="21.75" customHeight="1" x14ac:dyDescent="0.2">
      <c r="A4" s="229" t="s">
        <v>76</v>
      </c>
      <c r="B4" s="229" t="s">
        <v>42</v>
      </c>
      <c r="C4" s="67" t="s">
        <v>434</v>
      </c>
      <c r="D4" s="68"/>
      <c r="E4" s="68"/>
      <c r="F4" s="68"/>
      <c r="G4" s="68"/>
      <c r="H4" s="68"/>
      <c r="I4" s="68"/>
      <c r="J4" s="68"/>
      <c r="K4" s="68"/>
      <c r="L4" s="68"/>
      <c r="M4" s="68"/>
      <c r="N4" s="69"/>
    </row>
    <row r="5" spans="1:15" ht="24.75" customHeight="1" x14ac:dyDescent="0.2">
      <c r="A5" s="230"/>
      <c r="B5" s="230"/>
      <c r="C5" s="72" t="s">
        <v>435</v>
      </c>
      <c r="D5" s="72" t="s">
        <v>436</v>
      </c>
      <c r="E5" s="72" t="s">
        <v>437</v>
      </c>
      <c r="F5" s="72" t="s">
        <v>438</v>
      </c>
      <c r="G5" s="72" t="s">
        <v>523</v>
      </c>
      <c r="H5" s="72" t="s">
        <v>440</v>
      </c>
      <c r="I5" s="72" t="s">
        <v>441</v>
      </c>
      <c r="J5" s="170" t="s">
        <v>442</v>
      </c>
      <c r="K5" s="72" t="s">
        <v>444</v>
      </c>
      <c r="L5" s="72" t="s">
        <v>445</v>
      </c>
      <c r="M5" s="72" t="s">
        <v>443</v>
      </c>
      <c r="N5" s="72" t="s">
        <v>446</v>
      </c>
    </row>
    <row r="6" spans="1:15" x14ac:dyDescent="0.2">
      <c r="A6" s="63" t="s">
        <v>3</v>
      </c>
      <c r="B6" s="117">
        <f>SUM(B7+B11+B15+B20)</f>
        <v>216286331.26999998</v>
      </c>
      <c r="C6" s="117">
        <f t="shared" ref="C6:N6" si="0">SUM(C7+C11+C15+C20)</f>
        <v>11418622.230000002</v>
      </c>
      <c r="D6" s="117">
        <f>SUM(D7+D11+D15+D20)</f>
        <v>10807529.370000001</v>
      </c>
      <c r="E6" s="117">
        <f t="shared" si="0"/>
        <v>21956505.349999998</v>
      </c>
      <c r="F6" s="117">
        <f t="shared" si="0"/>
        <v>26207496.359999996</v>
      </c>
      <c r="G6" s="117">
        <f t="shared" si="0"/>
        <v>78339632.99000001</v>
      </c>
      <c r="H6" s="117">
        <f t="shared" si="0"/>
        <v>47210977.249999993</v>
      </c>
      <c r="I6" s="117">
        <f t="shared" si="0"/>
        <v>11823351.58</v>
      </c>
      <c r="J6" s="117">
        <f t="shared" si="0"/>
        <v>7188318.040000001</v>
      </c>
      <c r="K6" s="117">
        <f t="shared" si="0"/>
        <v>269624</v>
      </c>
      <c r="L6" s="117">
        <f t="shared" si="0"/>
        <v>783771.81</v>
      </c>
      <c r="M6" s="117">
        <f t="shared" si="0"/>
        <v>197804.54</v>
      </c>
      <c r="N6" s="117">
        <f t="shared" si="0"/>
        <v>82697.75</v>
      </c>
      <c r="O6" s="121"/>
    </row>
    <row r="7" spans="1:15" x14ac:dyDescent="0.2">
      <c r="A7" s="224" t="s">
        <v>70</v>
      </c>
      <c r="B7" s="231">
        <f>SUM(C7:N7)</f>
        <v>5471766.0700000003</v>
      </c>
      <c r="C7" s="117">
        <f t="shared" ref="C7:N7" si="1">SUM(C8:C10)</f>
        <v>0</v>
      </c>
      <c r="D7" s="117">
        <f t="shared" si="1"/>
        <v>311463</v>
      </c>
      <c r="E7" s="117">
        <f t="shared" si="1"/>
        <v>0</v>
      </c>
      <c r="F7" s="117">
        <f t="shared" si="1"/>
        <v>91480.209999999992</v>
      </c>
      <c r="G7" s="117">
        <f t="shared" si="1"/>
        <v>4231570.5</v>
      </c>
      <c r="H7" s="117">
        <f t="shared" si="1"/>
        <v>150087.17000000001</v>
      </c>
      <c r="I7" s="117">
        <f t="shared" si="1"/>
        <v>107504.25</v>
      </c>
      <c r="J7" s="117">
        <f t="shared" si="1"/>
        <v>568460.93999999994</v>
      </c>
      <c r="K7" s="117">
        <f t="shared" si="1"/>
        <v>0</v>
      </c>
      <c r="L7" s="117">
        <f t="shared" si="1"/>
        <v>11200</v>
      </c>
      <c r="M7" s="117">
        <f t="shared" si="1"/>
        <v>0</v>
      </c>
      <c r="N7" s="117">
        <f t="shared" si="1"/>
        <v>0</v>
      </c>
    </row>
    <row r="8" spans="1:15" x14ac:dyDescent="0.2">
      <c r="A8" s="232" t="s">
        <v>458</v>
      </c>
      <c r="B8" s="231">
        <f t="shared" ref="B8:B22" si="2">SUM(C8:N8)</f>
        <v>5142244.2799999993</v>
      </c>
      <c r="C8" s="121">
        <v>0</v>
      </c>
      <c r="D8" s="121">
        <v>311463</v>
      </c>
      <c r="E8" s="121">
        <v>0</v>
      </c>
      <c r="F8" s="121">
        <v>8541.67</v>
      </c>
      <c r="G8" s="121">
        <v>4229667.5</v>
      </c>
      <c r="H8" s="121">
        <v>12911.17</v>
      </c>
      <c r="I8" s="121">
        <v>0</v>
      </c>
      <c r="J8" s="121">
        <v>568460.93999999994</v>
      </c>
      <c r="K8" s="121">
        <v>0</v>
      </c>
      <c r="L8" s="121">
        <v>11200</v>
      </c>
      <c r="M8" s="121">
        <v>0</v>
      </c>
      <c r="N8" s="121">
        <v>0</v>
      </c>
    </row>
    <row r="9" spans="1:15" x14ac:dyDescent="0.2">
      <c r="A9" s="232" t="s">
        <v>459</v>
      </c>
      <c r="B9" s="231">
        <f t="shared" si="2"/>
        <v>140798.25</v>
      </c>
      <c r="C9" s="121">
        <v>0</v>
      </c>
      <c r="D9" s="121">
        <v>0</v>
      </c>
      <c r="E9" s="121">
        <v>0</v>
      </c>
      <c r="F9" s="121"/>
      <c r="G9" s="121">
        <v>0</v>
      </c>
      <c r="H9" s="121">
        <v>137176</v>
      </c>
      <c r="I9" s="121">
        <v>3622.25</v>
      </c>
      <c r="J9" s="121">
        <v>0</v>
      </c>
      <c r="K9" s="121">
        <v>0</v>
      </c>
      <c r="L9" s="121">
        <v>0</v>
      </c>
      <c r="M9" s="121">
        <v>0</v>
      </c>
      <c r="N9" s="121">
        <v>0</v>
      </c>
    </row>
    <row r="10" spans="1:15" x14ac:dyDescent="0.2">
      <c r="A10" s="232" t="s">
        <v>460</v>
      </c>
      <c r="B10" s="231">
        <f>SUM(C10:N10)</f>
        <v>188723.53999999998</v>
      </c>
      <c r="C10" s="121">
        <v>0</v>
      </c>
      <c r="D10" s="121">
        <v>0</v>
      </c>
      <c r="E10" s="121">
        <v>0</v>
      </c>
      <c r="F10" s="121">
        <v>82938.539999999994</v>
      </c>
      <c r="G10" s="121">
        <v>1903</v>
      </c>
      <c r="H10" s="121">
        <v>0</v>
      </c>
      <c r="I10" s="121">
        <v>103882</v>
      </c>
      <c r="J10" s="121">
        <v>0</v>
      </c>
      <c r="K10" s="121">
        <v>0</v>
      </c>
      <c r="L10" s="121">
        <v>0</v>
      </c>
      <c r="M10" s="121">
        <v>0</v>
      </c>
      <c r="N10" s="121">
        <v>0</v>
      </c>
    </row>
    <row r="11" spans="1:15" x14ac:dyDescent="0.2">
      <c r="A11" s="224" t="s">
        <v>33</v>
      </c>
      <c r="B11" s="231">
        <f t="shared" si="2"/>
        <v>31998870.000000004</v>
      </c>
      <c r="C11" s="117">
        <f t="shared" ref="C11:N11" si="3">SUM(C12:C14)</f>
        <v>818130</v>
      </c>
      <c r="D11" s="117">
        <f t="shared" si="3"/>
        <v>1887950.5</v>
      </c>
      <c r="E11" s="117">
        <f t="shared" si="3"/>
        <v>552414.61</v>
      </c>
      <c r="F11" s="117">
        <f t="shared" si="3"/>
        <v>105270</v>
      </c>
      <c r="G11" s="117">
        <f t="shared" si="3"/>
        <v>19757398.560000002</v>
      </c>
      <c r="H11" s="117">
        <f t="shared" si="3"/>
        <v>1844854.89</v>
      </c>
      <c r="I11" s="117">
        <f t="shared" si="3"/>
        <v>3018333.7500000005</v>
      </c>
      <c r="J11" s="117">
        <f t="shared" si="3"/>
        <v>3888381.6900000004</v>
      </c>
      <c r="K11" s="117">
        <f t="shared" si="3"/>
        <v>0</v>
      </c>
      <c r="L11" s="117">
        <f t="shared" si="3"/>
        <v>0</v>
      </c>
      <c r="M11" s="117">
        <f t="shared" si="3"/>
        <v>126136</v>
      </c>
      <c r="N11" s="117">
        <f t="shared" si="3"/>
        <v>0</v>
      </c>
    </row>
    <row r="12" spans="1:15" x14ac:dyDescent="0.2">
      <c r="A12" s="232" t="s">
        <v>60</v>
      </c>
      <c r="B12" s="231">
        <f t="shared" si="2"/>
        <v>232991.4</v>
      </c>
      <c r="C12" s="121">
        <v>0</v>
      </c>
      <c r="D12" s="121">
        <v>0</v>
      </c>
      <c r="E12" s="121">
        <v>0</v>
      </c>
      <c r="F12" s="121">
        <v>0</v>
      </c>
      <c r="G12" s="121">
        <v>0</v>
      </c>
      <c r="H12" s="121">
        <v>232991.4</v>
      </c>
      <c r="I12" s="121">
        <v>0</v>
      </c>
      <c r="J12" s="121">
        <v>0</v>
      </c>
      <c r="K12" s="121">
        <v>0</v>
      </c>
      <c r="L12" s="121">
        <v>0</v>
      </c>
      <c r="M12" s="121"/>
      <c r="N12" s="121">
        <v>0</v>
      </c>
    </row>
    <row r="13" spans="1:15" x14ac:dyDescent="0.2">
      <c r="A13" s="232" t="s">
        <v>168</v>
      </c>
      <c r="B13" s="231">
        <f t="shared" si="2"/>
        <v>29433393.670000002</v>
      </c>
      <c r="C13" s="121">
        <v>111651</v>
      </c>
      <c r="D13" s="121">
        <v>1876073.5</v>
      </c>
      <c r="E13" s="121">
        <v>547414.61</v>
      </c>
      <c r="F13" s="121">
        <v>66770</v>
      </c>
      <c r="G13" s="121">
        <v>18237981.560000002</v>
      </c>
      <c r="H13" s="121">
        <v>1604983.49</v>
      </c>
      <c r="I13" s="121">
        <v>3018333.7500000005</v>
      </c>
      <c r="J13" s="121">
        <v>3844049.7600000002</v>
      </c>
      <c r="K13" s="121">
        <v>0</v>
      </c>
      <c r="L13" s="121">
        <v>0</v>
      </c>
      <c r="M13" s="121">
        <v>126136</v>
      </c>
      <c r="N13" s="121">
        <v>0</v>
      </c>
    </row>
    <row r="14" spans="1:15" x14ac:dyDescent="0.2">
      <c r="A14" s="232" t="s">
        <v>156</v>
      </c>
      <c r="B14" s="231">
        <f t="shared" si="2"/>
        <v>2332484.9300000002</v>
      </c>
      <c r="C14" s="121">
        <v>706479</v>
      </c>
      <c r="D14" s="121">
        <v>11877</v>
      </c>
      <c r="E14" s="121">
        <v>5000</v>
      </c>
      <c r="F14" s="121">
        <v>38500</v>
      </c>
      <c r="G14" s="121">
        <v>1519417</v>
      </c>
      <c r="H14" s="121">
        <v>6880</v>
      </c>
      <c r="I14" s="121"/>
      <c r="J14" s="121">
        <v>44331.93</v>
      </c>
      <c r="K14" s="121">
        <v>0</v>
      </c>
      <c r="L14" s="121">
        <v>0</v>
      </c>
      <c r="M14" s="121">
        <v>0</v>
      </c>
      <c r="N14" s="121">
        <v>0</v>
      </c>
    </row>
    <row r="15" spans="1:15" x14ac:dyDescent="0.2">
      <c r="A15" s="224" t="s">
        <v>64</v>
      </c>
      <c r="B15" s="231">
        <f>SUM(C15:N15)</f>
        <v>10183703.610000001</v>
      </c>
      <c r="C15" s="117">
        <f>SUM(C16:C19)</f>
        <v>452775.83</v>
      </c>
      <c r="D15" s="117">
        <f t="shared" ref="D15:N15" si="4">SUM(D16:D19)</f>
        <v>65028.18</v>
      </c>
      <c r="E15" s="117">
        <f t="shared" si="4"/>
        <v>641084.61</v>
      </c>
      <c r="F15" s="117">
        <f t="shared" si="4"/>
        <v>1380990.4</v>
      </c>
      <c r="G15" s="117">
        <f t="shared" si="4"/>
        <v>4351316.3000000007</v>
      </c>
      <c r="H15" s="117">
        <f t="shared" si="4"/>
        <v>2605488.7399999998</v>
      </c>
      <c r="I15" s="117">
        <f t="shared" si="4"/>
        <v>133362.92000000001</v>
      </c>
      <c r="J15" s="117">
        <f t="shared" si="4"/>
        <v>273032.63</v>
      </c>
      <c r="K15" s="117">
        <f t="shared" si="4"/>
        <v>269624</v>
      </c>
      <c r="L15" s="117">
        <f t="shared" si="4"/>
        <v>11000</v>
      </c>
      <c r="M15" s="117">
        <f t="shared" si="4"/>
        <v>0</v>
      </c>
      <c r="N15" s="117">
        <f t="shared" si="4"/>
        <v>0</v>
      </c>
    </row>
    <row r="16" spans="1:15" x14ac:dyDescent="0.2">
      <c r="A16" s="232" t="s">
        <v>36</v>
      </c>
      <c r="B16" s="231">
        <f t="shared" si="2"/>
        <v>1282455.5299999998</v>
      </c>
      <c r="C16" s="121">
        <v>27598.1</v>
      </c>
      <c r="D16" s="121">
        <v>0</v>
      </c>
      <c r="E16" s="121">
        <v>386577.04</v>
      </c>
      <c r="F16" s="121">
        <v>0</v>
      </c>
      <c r="G16" s="121">
        <v>0</v>
      </c>
      <c r="H16" s="121">
        <v>374087</v>
      </c>
      <c r="I16" s="121">
        <v>6613.76</v>
      </c>
      <c r="J16" s="121">
        <v>217955.63</v>
      </c>
      <c r="K16" s="121">
        <v>269624</v>
      </c>
      <c r="L16" s="121">
        <v>0</v>
      </c>
      <c r="M16" s="121">
        <v>0</v>
      </c>
      <c r="N16" s="121">
        <v>0</v>
      </c>
    </row>
    <row r="17" spans="1:14" x14ac:dyDescent="0.2">
      <c r="A17" s="232" t="s">
        <v>37</v>
      </c>
      <c r="B17" s="231">
        <f t="shared" si="2"/>
        <v>1827911.9000000001</v>
      </c>
      <c r="C17" s="121">
        <v>200603.39</v>
      </c>
      <c r="D17" s="121">
        <v>5849</v>
      </c>
      <c r="E17" s="121">
        <v>68331.570000000007</v>
      </c>
      <c r="F17" s="121">
        <v>292509.89</v>
      </c>
      <c r="G17" s="121">
        <v>275177.14</v>
      </c>
      <c r="H17" s="121">
        <v>926565.75</v>
      </c>
      <c r="I17" s="121">
        <v>3798.16</v>
      </c>
      <c r="J17" s="121">
        <v>55077</v>
      </c>
      <c r="K17" s="121">
        <v>0</v>
      </c>
      <c r="L17" s="121">
        <v>0</v>
      </c>
      <c r="M17" s="121">
        <v>0</v>
      </c>
      <c r="N17" s="121">
        <v>0</v>
      </c>
    </row>
    <row r="18" spans="1:14" x14ac:dyDescent="0.2">
      <c r="A18" s="232" t="s">
        <v>38</v>
      </c>
      <c r="B18" s="231">
        <f t="shared" si="2"/>
        <v>6739356.7599999998</v>
      </c>
      <c r="C18" s="121">
        <v>224574.34</v>
      </c>
      <c r="D18" s="121">
        <v>59179.18</v>
      </c>
      <c r="E18" s="121">
        <v>186176</v>
      </c>
      <c r="F18" s="121">
        <v>1086578.51</v>
      </c>
      <c r="G18" s="121">
        <v>3748161.74</v>
      </c>
      <c r="H18" s="121">
        <v>1300735.9899999998</v>
      </c>
      <c r="I18" s="121">
        <v>122951</v>
      </c>
      <c r="J18" s="121">
        <v>0</v>
      </c>
      <c r="K18" s="121">
        <v>0</v>
      </c>
      <c r="L18" s="121">
        <v>11000</v>
      </c>
      <c r="M18" s="121">
        <v>0</v>
      </c>
      <c r="N18" s="121">
        <v>0</v>
      </c>
    </row>
    <row r="19" spans="1:14" x14ac:dyDescent="0.2">
      <c r="A19" s="232" t="s">
        <v>461</v>
      </c>
      <c r="B19" s="231">
        <f t="shared" si="2"/>
        <v>333979.42</v>
      </c>
      <c r="C19" s="121">
        <v>0</v>
      </c>
      <c r="D19" s="121">
        <v>0</v>
      </c>
      <c r="E19" s="121">
        <v>0</v>
      </c>
      <c r="F19" s="121">
        <v>1902</v>
      </c>
      <c r="G19" s="121">
        <v>327977.42</v>
      </c>
      <c r="H19" s="121">
        <v>4100</v>
      </c>
      <c r="I19" s="121">
        <v>0</v>
      </c>
      <c r="J19" s="121">
        <v>0</v>
      </c>
      <c r="K19" s="121">
        <v>0</v>
      </c>
      <c r="L19" s="121">
        <v>0</v>
      </c>
      <c r="M19" s="121">
        <v>0</v>
      </c>
      <c r="N19" s="121">
        <v>0</v>
      </c>
    </row>
    <row r="20" spans="1:14" x14ac:dyDescent="0.2">
      <c r="A20" s="224" t="s">
        <v>65</v>
      </c>
      <c r="B20" s="231">
        <f>SUM(C20:N20)</f>
        <v>168631991.58999997</v>
      </c>
      <c r="C20" s="117">
        <f t="shared" ref="C20:N20" si="5">SUM(C21:C22)</f>
        <v>10147716.400000002</v>
      </c>
      <c r="D20" s="117">
        <f t="shared" si="5"/>
        <v>8543087.6900000013</v>
      </c>
      <c r="E20" s="117">
        <f t="shared" si="5"/>
        <v>20763006.129999999</v>
      </c>
      <c r="F20" s="117">
        <f t="shared" si="5"/>
        <v>24629755.749999996</v>
      </c>
      <c r="G20" s="117">
        <f t="shared" si="5"/>
        <v>49999347.630000003</v>
      </c>
      <c r="H20" s="117">
        <f t="shared" si="5"/>
        <v>42610546.449999996</v>
      </c>
      <c r="I20" s="117">
        <f t="shared" si="5"/>
        <v>8564150.6600000001</v>
      </c>
      <c r="J20" s="117">
        <f t="shared" si="5"/>
        <v>2458442.7800000003</v>
      </c>
      <c r="K20" s="117">
        <f t="shared" si="5"/>
        <v>0</v>
      </c>
      <c r="L20" s="117">
        <f t="shared" si="5"/>
        <v>761571.81</v>
      </c>
      <c r="M20" s="117">
        <f t="shared" si="5"/>
        <v>71668.540000000008</v>
      </c>
      <c r="N20" s="117">
        <f t="shared" si="5"/>
        <v>82697.75</v>
      </c>
    </row>
    <row r="21" spans="1:14" x14ac:dyDescent="0.2">
      <c r="A21" s="232" t="s">
        <v>462</v>
      </c>
      <c r="B21" s="231">
        <f t="shared" si="2"/>
        <v>3591169</v>
      </c>
      <c r="C21" s="121">
        <v>0</v>
      </c>
      <c r="D21" s="121">
        <v>0</v>
      </c>
      <c r="E21" s="121">
        <v>0</v>
      </c>
      <c r="F21" s="121">
        <v>0</v>
      </c>
      <c r="G21" s="121">
        <v>0</v>
      </c>
      <c r="H21" s="121">
        <v>3591169</v>
      </c>
      <c r="I21" s="121">
        <v>0</v>
      </c>
      <c r="J21" s="121">
        <v>0</v>
      </c>
      <c r="K21" s="121">
        <v>0</v>
      </c>
      <c r="L21" s="121">
        <v>0</v>
      </c>
      <c r="M21" s="121">
        <v>0</v>
      </c>
      <c r="N21" s="121">
        <v>0</v>
      </c>
    </row>
    <row r="22" spans="1:14" x14ac:dyDescent="0.2">
      <c r="A22" s="232" t="s">
        <v>41</v>
      </c>
      <c r="B22" s="231">
        <f t="shared" si="2"/>
        <v>165040822.58999997</v>
      </c>
      <c r="C22" s="121">
        <v>10147716.400000002</v>
      </c>
      <c r="D22" s="121">
        <v>8543087.6900000013</v>
      </c>
      <c r="E22" s="121">
        <v>20763006.129999999</v>
      </c>
      <c r="F22" s="121">
        <v>24629755.749999996</v>
      </c>
      <c r="G22" s="121">
        <v>49999347.630000003</v>
      </c>
      <c r="H22" s="121">
        <v>39019377.449999996</v>
      </c>
      <c r="I22" s="121">
        <v>8564150.6600000001</v>
      </c>
      <c r="J22" s="121">
        <v>2458442.7800000003</v>
      </c>
      <c r="K22" s="121">
        <v>0</v>
      </c>
      <c r="L22" s="121">
        <v>761571.81</v>
      </c>
      <c r="M22" s="121">
        <v>71668.540000000008</v>
      </c>
      <c r="N22" s="121">
        <v>82697.75</v>
      </c>
    </row>
    <row r="23" spans="1:14" x14ac:dyDescent="0.2">
      <c r="A23" s="232"/>
      <c r="B23" s="231"/>
      <c r="C23" s="121"/>
      <c r="D23" s="121"/>
      <c r="E23" s="121"/>
      <c r="F23" s="121"/>
      <c r="G23" s="121"/>
      <c r="H23" s="121"/>
      <c r="I23" s="121"/>
      <c r="J23" s="121"/>
      <c r="K23" s="121"/>
      <c r="L23" s="121"/>
      <c r="M23" s="121"/>
      <c r="N23" s="121"/>
    </row>
    <row r="24" spans="1:14" ht="10.5" customHeight="1" x14ac:dyDescent="0.2">
      <c r="A24" s="233" t="s">
        <v>448</v>
      </c>
      <c r="B24" s="233"/>
    </row>
    <row r="25" spans="1:14" x14ac:dyDescent="0.2">
      <c r="A25" s="109" t="s">
        <v>449</v>
      </c>
    </row>
    <row r="26" spans="1:14" x14ac:dyDescent="0.2">
      <c r="A26" s="140" t="s">
        <v>19</v>
      </c>
      <c r="B26" s="140"/>
    </row>
    <row r="27" spans="1:14" x14ac:dyDescent="0.2">
      <c r="A27" s="62" t="s">
        <v>450</v>
      </c>
    </row>
    <row r="46" spans="1:1" x14ac:dyDescent="0.2">
      <c r="A46" s="78"/>
    </row>
    <row r="47" spans="1:1" x14ac:dyDescent="0.2">
      <c r="A47" s="78"/>
    </row>
    <row r="48" spans="1:1" x14ac:dyDescent="0.2">
      <c r="A48" s="78"/>
    </row>
    <row r="49" spans="1:1" x14ac:dyDescent="0.2">
      <c r="A49" s="78"/>
    </row>
    <row r="50" spans="1:1" x14ac:dyDescent="0.2">
      <c r="A50" s="78"/>
    </row>
    <row r="51" spans="1:1" x14ac:dyDescent="0.2">
      <c r="A51" s="78"/>
    </row>
    <row r="52" spans="1:1" x14ac:dyDescent="0.2">
      <c r="A52" s="78"/>
    </row>
    <row r="53" spans="1:1" x14ac:dyDescent="0.2">
      <c r="A53" s="78"/>
    </row>
    <row r="55" spans="1:1" x14ac:dyDescent="0.2">
      <c r="A55" s="78"/>
    </row>
    <row r="56" spans="1:1" x14ac:dyDescent="0.2">
      <c r="A56" s="78"/>
    </row>
    <row r="57" spans="1:1" x14ac:dyDescent="0.2">
      <c r="A57" s="78"/>
    </row>
    <row r="58" spans="1:1" x14ac:dyDescent="0.2">
      <c r="A58" s="78"/>
    </row>
    <row r="59" spans="1:1" x14ac:dyDescent="0.2">
      <c r="A59" s="78"/>
    </row>
    <row r="60" spans="1:1" x14ac:dyDescent="0.2">
      <c r="A60" s="78"/>
    </row>
    <row r="61" spans="1:1" x14ac:dyDescent="0.2">
      <c r="A61" s="78"/>
    </row>
  </sheetData>
  <mergeCells count="3">
    <mergeCell ref="A4:A5"/>
    <mergeCell ref="B4:B5"/>
    <mergeCell ref="C4:N4"/>
  </mergeCells>
  <pageMargins left="0.23622047244094491" right="0.23622047244094491" top="0.74803149606299213" bottom="0.74803149606299213" header="0.31496062992125984" footer="0.31496062992125984"/>
  <pageSetup paperSize="14" scale="75" orientation="landscape" verticalDpi="599" r:id="rId1"/>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FBAA1-2B07-41C2-8D8E-E791C3FDC692}">
  <sheetPr codeName="Hoja260"/>
  <dimension ref="A1:AE12"/>
  <sheetViews>
    <sheetView workbookViewId="0">
      <selection activeCell="A4" sqref="A4:A6"/>
    </sheetView>
  </sheetViews>
  <sheetFormatPr baseColWidth="10" defaultRowHeight="13.2" x14ac:dyDescent="0.25"/>
  <cols>
    <col min="1" max="1" width="18.44140625" customWidth="1"/>
    <col min="2" max="5" width="13.5546875" customWidth="1"/>
  </cols>
  <sheetData>
    <row r="1" spans="1:31" x14ac:dyDescent="0.25">
      <c r="A1" s="1012"/>
      <c r="B1" s="1009"/>
    </row>
    <row r="2" spans="1:31" s="141" customFormat="1" ht="39.75" customHeight="1" x14ac:dyDescent="0.25">
      <c r="A2" s="735" t="s">
        <v>3164</v>
      </c>
      <c r="B2" s="735"/>
      <c r="C2" s="735"/>
      <c r="D2" s="735"/>
      <c r="E2" s="735"/>
      <c r="F2" s="735"/>
      <c r="G2" s="735"/>
      <c r="H2" s="1280"/>
      <c r="I2" s="1280"/>
      <c r="J2" s="1280"/>
      <c r="N2"/>
      <c r="O2"/>
      <c r="P2"/>
      <c r="Q2"/>
      <c r="R2"/>
      <c r="S2"/>
      <c r="T2"/>
      <c r="U2"/>
      <c r="V2"/>
      <c r="W2"/>
      <c r="X2"/>
      <c r="Y2"/>
      <c r="Z2"/>
      <c r="AA2"/>
      <c r="AB2"/>
      <c r="AC2"/>
      <c r="AD2"/>
      <c r="AE2"/>
    </row>
    <row r="3" spans="1:31" s="141" customFormat="1" x14ac:dyDescent="0.25">
      <c r="A3" s="1358"/>
      <c r="B3" s="1358"/>
      <c r="C3" s="1359"/>
      <c r="D3" s="1359"/>
      <c r="E3" s="1359"/>
      <c r="F3" s="1360"/>
      <c r="G3" s="1360"/>
      <c r="L3"/>
      <c r="M3"/>
      <c r="N3"/>
      <c r="O3"/>
      <c r="P3"/>
      <c r="Q3"/>
      <c r="R3"/>
      <c r="S3"/>
      <c r="T3"/>
      <c r="U3"/>
      <c r="V3"/>
      <c r="W3"/>
      <c r="X3"/>
      <c r="Y3"/>
      <c r="Z3"/>
      <c r="AA3"/>
    </row>
    <row r="4" spans="1:31" s="141" customFormat="1" ht="26.25" customHeight="1" x14ac:dyDescent="0.25">
      <c r="A4" s="707" t="s">
        <v>3165</v>
      </c>
      <c r="B4" s="1361" t="s">
        <v>3166</v>
      </c>
      <c r="C4" s="1362"/>
      <c r="D4" s="1363"/>
      <c r="E4" s="764" t="s">
        <v>3167</v>
      </c>
      <c r="F4" s="765"/>
      <c r="G4" s="766"/>
      <c r="J4"/>
      <c r="L4"/>
      <c r="M4"/>
      <c r="N4"/>
      <c r="O4"/>
      <c r="P4"/>
      <c r="Q4"/>
      <c r="R4"/>
      <c r="S4"/>
      <c r="T4"/>
      <c r="U4"/>
      <c r="V4"/>
      <c r="W4"/>
      <c r="X4"/>
      <c r="Y4"/>
      <c r="Z4"/>
      <c r="AA4"/>
    </row>
    <row r="5" spans="1:31" s="141" customFormat="1" x14ac:dyDescent="0.25">
      <c r="A5" s="710"/>
      <c r="B5" s="454" t="s">
        <v>42</v>
      </c>
      <c r="C5" s="1364" t="s">
        <v>122</v>
      </c>
      <c r="D5" s="954" t="s">
        <v>123</v>
      </c>
      <c r="E5" s="954" t="s">
        <v>42</v>
      </c>
      <c r="F5" s="1364" t="s">
        <v>122</v>
      </c>
      <c r="G5" s="954" t="s">
        <v>123</v>
      </c>
      <c r="J5"/>
      <c r="L5"/>
      <c r="M5"/>
      <c r="N5"/>
      <c r="O5"/>
      <c r="P5"/>
      <c r="Q5"/>
      <c r="R5"/>
      <c r="S5"/>
      <c r="T5"/>
      <c r="U5"/>
      <c r="V5"/>
      <c r="W5"/>
      <c r="X5"/>
      <c r="Y5"/>
      <c r="Z5"/>
      <c r="AA5"/>
    </row>
    <row r="6" spans="1:31" s="141" customFormat="1" x14ac:dyDescent="0.25">
      <c r="A6" s="910" t="s">
        <v>3</v>
      </c>
      <c r="B6" s="1365">
        <f>SUM(C6:D6)</f>
        <v>3186</v>
      </c>
      <c r="C6" s="1366">
        <f>SUM(C7:C8)</f>
        <v>1790</v>
      </c>
      <c r="D6" s="1366">
        <f>SUM(D7:D8)</f>
        <v>1396</v>
      </c>
      <c r="E6" s="1365">
        <f>SUM(F6:G6)</f>
        <v>4247</v>
      </c>
      <c r="F6" s="1366">
        <f>SUM(F7:F8)</f>
        <v>2376</v>
      </c>
      <c r="G6" s="1366">
        <f>SUM(G7:G8)</f>
        <v>1871</v>
      </c>
      <c r="H6" s="1367"/>
      <c r="J6"/>
      <c r="L6"/>
      <c r="M6"/>
      <c r="N6"/>
      <c r="O6"/>
      <c r="P6"/>
      <c r="Q6"/>
      <c r="R6"/>
      <c r="S6"/>
      <c r="T6"/>
      <c r="U6"/>
      <c r="V6"/>
      <c r="W6"/>
      <c r="X6"/>
      <c r="Y6"/>
      <c r="Z6"/>
      <c r="AA6"/>
    </row>
    <row r="7" spans="1:31" s="141" customFormat="1" x14ac:dyDescent="0.25">
      <c r="A7" s="832" t="s">
        <v>2677</v>
      </c>
      <c r="B7" s="1368">
        <f t="shared" ref="B7:B8" si="0">SUM(C7:D7)</f>
        <v>1123</v>
      </c>
      <c r="C7" s="1369">
        <v>620</v>
      </c>
      <c r="D7" s="1369">
        <v>503</v>
      </c>
      <c r="E7" s="1368">
        <f>SUM(F7:G7)</f>
        <v>1069</v>
      </c>
      <c r="F7" s="1369">
        <v>563</v>
      </c>
      <c r="G7" s="1369">
        <v>506</v>
      </c>
      <c r="J7"/>
      <c r="L7"/>
      <c r="M7"/>
      <c r="N7"/>
      <c r="O7"/>
      <c r="P7"/>
      <c r="Q7"/>
      <c r="R7"/>
      <c r="S7"/>
      <c r="T7"/>
      <c r="U7"/>
      <c r="V7"/>
      <c r="W7"/>
      <c r="X7"/>
      <c r="Y7"/>
      <c r="Z7"/>
      <c r="AA7"/>
    </row>
    <row r="8" spans="1:31" s="141" customFormat="1" x14ac:dyDescent="0.25">
      <c r="A8" s="832" t="s">
        <v>3168</v>
      </c>
      <c r="B8" s="1368">
        <f t="shared" si="0"/>
        <v>2063</v>
      </c>
      <c r="C8" s="459">
        <v>1170</v>
      </c>
      <c r="D8" s="459">
        <v>893</v>
      </c>
      <c r="E8" s="1368">
        <f t="shared" ref="E8" si="1">SUM(F8:G8)</f>
        <v>3178</v>
      </c>
      <c r="F8" s="459">
        <v>1813</v>
      </c>
      <c r="G8" s="459">
        <v>1365</v>
      </c>
      <c r="J8"/>
      <c r="K8"/>
      <c r="N8"/>
      <c r="O8"/>
      <c r="P8"/>
      <c r="Q8"/>
      <c r="R8"/>
      <c r="S8"/>
      <c r="T8"/>
      <c r="U8"/>
      <c r="V8"/>
      <c r="W8"/>
      <c r="X8"/>
      <c r="Y8"/>
      <c r="Z8"/>
      <c r="AA8"/>
      <c r="AB8"/>
      <c r="AC8"/>
      <c r="AD8"/>
      <c r="AE8"/>
    </row>
    <row r="9" spans="1:31" s="141" customFormat="1" x14ac:dyDescent="0.25">
      <c r="A9" s="722"/>
      <c r="B9" s="1370"/>
      <c r="C9" s="1369"/>
      <c r="D9" s="1369"/>
      <c r="E9" s="1369"/>
      <c r="N9"/>
      <c r="O9"/>
      <c r="P9"/>
      <c r="Q9"/>
      <c r="R9"/>
      <c r="S9"/>
      <c r="T9"/>
      <c r="U9"/>
      <c r="V9"/>
      <c r="W9"/>
      <c r="X9"/>
      <c r="Y9"/>
      <c r="Z9"/>
      <c r="AA9"/>
      <c r="AB9"/>
      <c r="AC9"/>
      <c r="AD9"/>
      <c r="AE9"/>
    </row>
    <row r="10" spans="1:31" s="141" customFormat="1" x14ac:dyDescent="0.25">
      <c r="A10" s="715" t="s">
        <v>3169</v>
      </c>
      <c r="B10" s="715"/>
      <c r="C10" s="715"/>
      <c r="D10" s="715"/>
      <c r="E10" s="715"/>
      <c r="F10" s="715"/>
      <c r="G10" s="715"/>
      <c r="N10"/>
      <c r="O10"/>
      <c r="P10"/>
      <c r="Q10"/>
      <c r="R10"/>
      <c r="S10"/>
      <c r="T10"/>
      <c r="U10"/>
      <c r="V10"/>
      <c r="W10"/>
      <c r="X10"/>
      <c r="Y10"/>
      <c r="Z10"/>
      <c r="AA10"/>
      <c r="AB10"/>
      <c r="AC10"/>
      <c r="AD10"/>
      <c r="AE10"/>
    </row>
    <row r="11" spans="1:31" s="141" customFormat="1" x14ac:dyDescent="0.25">
      <c r="A11" s="715" t="s">
        <v>2175</v>
      </c>
      <c r="B11" s="715"/>
      <c r="C11" s="715"/>
      <c r="D11" s="715"/>
      <c r="E11" s="715"/>
      <c r="F11" s="715"/>
      <c r="G11" s="715"/>
      <c r="N11"/>
      <c r="O11"/>
      <c r="P11"/>
      <c r="Q11"/>
      <c r="R11"/>
      <c r="S11"/>
      <c r="T11"/>
      <c r="U11"/>
      <c r="V11"/>
      <c r="W11"/>
      <c r="X11"/>
      <c r="Y11"/>
      <c r="Z11"/>
      <c r="AA11"/>
      <c r="AB11"/>
      <c r="AC11"/>
      <c r="AD11"/>
      <c r="AE11"/>
    </row>
    <row r="12" spans="1:31" s="141" customFormat="1" x14ac:dyDescent="0.25">
      <c r="N12"/>
      <c r="O12"/>
      <c r="P12"/>
      <c r="Q12"/>
      <c r="R12"/>
      <c r="S12"/>
      <c r="T12"/>
      <c r="U12"/>
      <c r="V12"/>
      <c r="W12"/>
      <c r="X12"/>
      <c r="Y12"/>
      <c r="Z12"/>
      <c r="AA12"/>
      <c r="AB12"/>
      <c r="AC12"/>
      <c r="AD12"/>
      <c r="AE12"/>
    </row>
  </sheetData>
  <mergeCells count="6">
    <mergeCell ref="A2:G2"/>
    <mergeCell ref="A4:A5"/>
    <mergeCell ref="B4:D4"/>
    <mergeCell ref="E4:G4"/>
    <mergeCell ref="A10:G10"/>
    <mergeCell ref="A11:G11"/>
  </mergeCells>
  <pageMargins left="0.7" right="0.7" top="0.75" bottom="0.75" header="0.3" footer="0.3"/>
  <pageSetup paperSize="14" scale="90" orientation="landscape" r:id="rId1"/>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C9C260-630A-4030-A95E-2CD9CEC2B3FF}">
  <sheetPr codeName="Hoja261"/>
  <dimension ref="A1:AC22"/>
  <sheetViews>
    <sheetView workbookViewId="0">
      <selection activeCell="A4" sqref="A4:A6"/>
    </sheetView>
  </sheetViews>
  <sheetFormatPr baseColWidth="10" defaultRowHeight="13.2" x14ac:dyDescent="0.25"/>
  <cols>
    <col min="1" max="1" width="17.33203125" customWidth="1"/>
    <col min="2" max="2" width="13.109375" customWidth="1"/>
    <col min="3" max="3" width="12.5546875" customWidth="1"/>
    <col min="4" max="4" width="13" customWidth="1"/>
    <col min="6" max="6" width="12.5546875" customWidth="1"/>
    <col min="8" max="8" width="12.88671875" customWidth="1"/>
  </cols>
  <sheetData>
    <row r="1" spans="1:29" x14ac:dyDescent="0.25">
      <c r="A1" s="1009"/>
    </row>
    <row r="2" spans="1:29" s="141" customFormat="1" ht="23.25" customHeight="1" x14ac:dyDescent="0.25">
      <c r="A2" s="1371" t="s">
        <v>3170</v>
      </c>
      <c r="B2" s="1372"/>
      <c r="C2" s="1372"/>
      <c r="D2" s="1372"/>
      <c r="E2" s="1372"/>
      <c r="F2" s="1372"/>
      <c r="G2" s="1372"/>
      <c r="H2" s="1372"/>
      <c r="L2"/>
      <c r="M2"/>
      <c r="N2"/>
      <c r="O2"/>
      <c r="P2"/>
      <c r="Q2"/>
      <c r="R2"/>
      <c r="S2"/>
      <c r="T2"/>
      <c r="U2"/>
      <c r="V2"/>
      <c r="W2"/>
      <c r="X2"/>
      <c r="Y2"/>
      <c r="Z2"/>
      <c r="AA2"/>
      <c r="AB2"/>
      <c r="AC2"/>
    </row>
    <row r="3" spans="1:29" s="141" customFormat="1" x14ac:dyDescent="0.25">
      <c r="A3" s="712"/>
      <c r="B3" s="1373"/>
      <c r="C3" s="1373"/>
      <c r="D3" s="1373"/>
      <c r="E3" s="1373"/>
      <c r="L3"/>
      <c r="M3"/>
      <c r="N3"/>
      <c r="O3"/>
      <c r="P3"/>
      <c r="Q3"/>
      <c r="R3"/>
      <c r="S3"/>
      <c r="T3"/>
      <c r="U3"/>
      <c r="V3"/>
      <c r="W3"/>
      <c r="X3"/>
      <c r="Y3"/>
      <c r="Z3"/>
      <c r="AA3"/>
      <c r="AB3"/>
      <c r="AC3"/>
    </row>
    <row r="4" spans="1:29" x14ac:dyDescent="0.25">
      <c r="A4" s="707" t="s">
        <v>3171</v>
      </c>
      <c r="B4" s="1061" t="s">
        <v>3172</v>
      </c>
      <c r="C4" s="1061" t="s">
        <v>3173</v>
      </c>
      <c r="D4" s="1061" t="s">
        <v>3174</v>
      </c>
      <c r="E4" s="749">
        <v>2012</v>
      </c>
      <c r="F4" s="749"/>
      <c r="G4" s="749">
        <v>2013</v>
      </c>
      <c r="H4" s="749"/>
    </row>
    <row r="5" spans="1:29" ht="36" customHeight="1" x14ac:dyDescent="0.25">
      <c r="A5" s="710"/>
      <c r="B5" s="454" t="s">
        <v>3175</v>
      </c>
      <c r="C5" s="454" t="s">
        <v>3175</v>
      </c>
      <c r="D5" s="454" t="s">
        <v>3175</v>
      </c>
      <c r="E5" s="454" t="s">
        <v>1227</v>
      </c>
      <c r="F5" s="454" t="s">
        <v>3176</v>
      </c>
      <c r="G5" s="454" t="s">
        <v>1227</v>
      </c>
      <c r="H5" s="454" t="s">
        <v>3176</v>
      </c>
    </row>
    <row r="6" spans="1:29" x14ac:dyDescent="0.25">
      <c r="A6" s="1338" t="s">
        <v>3</v>
      </c>
      <c r="B6" s="1374">
        <f t="shared" ref="B6:H6" si="0">SUM(B7:B16)</f>
        <v>34</v>
      </c>
      <c r="C6" s="1374">
        <f t="shared" si="0"/>
        <v>16</v>
      </c>
      <c r="D6" s="1374">
        <f>SUM(D7:D16)</f>
        <v>16</v>
      </c>
      <c r="E6" s="1374">
        <f t="shared" si="0"/>
        <v>412</v>
      </c>
      <c r="F6" s="1374">
        <f t="shared" si="0"/>
        <v>2789</v>
      </c>
      <c r="G6" s="1374">
        <f t="shared" si="0"/>
        <v>510</v>
      </c>
      <c r="H6" s="1374">
        <f t="shared" si="0"/>
        <v>2573</v>
      </c>
    </row>
    <row r="7" spans="1:29" x14ac:dyDescent="0.25">
      <c r="A7" s="1375" t="s">
        <v>3177</v>
      </c>
      <c r="B7" s="1376">
        <v>4</v>
      </c>
      <c r="C7" s="1376">
        <v>4</v>
      </c>
      <c r="D7" s="1376">
        <v>6</v>
      </c>
      <c r="E7" s="1376">
        <v>20</v>
      </c>
      <c r="F7" s="131">
        <f>70-E7</f>
        <v>50</v>
      </c>
      <c r="G7" s="1376">
        <v>17</v>
      </c>
      <c r="H7" s="131">
        <f>65-G7</f>
        <v>48</v>
      </c>
    </row>
    <row r="8" spans="1:29" x14ac:dyDescent="0.25">
      <c r="A8" s="1375" t="s">
        <v>3178</v>
      </c>
      <c r="B8" s="1376">
        <v>30</v>
      </c>
      <c r="C8" s="1376">
        <v>12</v>
      </c>
      <c r="D8" s="1376">
        <v>10</v>
      </c>
      <c r="E8" s="1376">
        <v>209</v>
      </c>
      <c r="F8" s="131">
        <f>382-E8</f>
        <v>173</v>
      </c>
      <c r="G8" s="1376">
        <v>350</v>
      </c>
      <c r="H8" s="131">
        <f>557-G8</f>
        <v>207</v>
      </c>
    </row>
    <row r="9" spans="1:29" x14ac:dyDescent="0.25">
      <c r="A9" s="1375" t="s">
        <v>28</v>
      </c>
      <c r="B9" s="1377" t="s">
        <v>193</v>
      </c>
      <c r="C9" s="1377" t="s">
        <v>193</v>
      </c>
      <c r="D9" s="1377" t="s">
        <v>193</v>
      </c>
      <c r="E9" s="1376">
        <v>40</v>
      </c>
      <c r="F9" s="131">
        <f>40-E9</f>
        <v>0</v>
      </c>
      <c r="G9" s="1376">
        <v>40</v>
      </c>
      <c r="H9" s="131">
        <f>40-G9</f>
        <v>0</v>
      </c>
    </row>
    <row r="10" spans="1:29" x14ac:dyDescent="0.25">
      <c r="A10" s="1375" t="s">
        <v>168</v>
      </c>
      <c r="B10" s="1377" t="s">
        <v>193</v>
      </c>
      <c r="C10" s="1377" t="s">
        <v>193</v>
      </c>
      <c r="D10" s="1377" t="s">
        <v>193</v>
      </c>
      <c r="E10" s="131">
        <v>28</v>
      </c>
      <c r="F10" s="1376">
        <f>2063-E10</f>
        <v>2035</v>
      </c>
      <c r="G10" s="131">
        <v>28</v>
      </c>
      <c r="H10" s="1376">
        <f>1985-G10</f>
        <v>1957</v>
      </c>
    </row>
    <row r="11" spans="1:29" x14ac:dyDescent="0.25">
      <c r="A11" s="1375" t="s">
        <v>3179</v>
      </c>
      <c r="B11" s="1377" t="s">
        <v>193</v>
      </c>
      <c r="C11" s="1377" t="s">
        <v>193</v>
      </c>
      <c r="D11" s="1377" t="s">
        <v>193</v>
      </c>
      <c r="E11" s="131">
        <v>12</v>
      </c>
      <c r="F11" s="1376">
        <f>13-E11</f>
        <v>1</v>
      </c>
      <c r="G11" s="131">
        <v>8</v>
      </c>
      <c r="H11" s="1376">
        <f>8-G11</f>
        <v>0</v>
      </c>
    </row>
    <row r="12" spans="1:29" x14ac:dyDescent="0.25">
      <c r="A12" s="1375" t="s">
        <v>3180</v>
      </c>
      <c r="B12" s="1377" t="s">
        <v>193</v>
      </c>
      <c r="C12" s="1377" t="s">
        <v>193</v>
      </c>
      <c r="D12" s="1377" t="s">
        <v>193</v>
      </c>
      <c r="E12" s="131">
        <v>16</v>
      </c>
      <c r="F12" s="1376">
        <f>506-E12</f>
        <v>490</v>
      </c>
      <c r="G12" s="131">
        <v>7</v>
      </c>
      <c r="H12" s="1376">
        <f>315-G12</f>
        <v>308</v>
      </c>
    </row>
    <row r="13" spans="1:29" x14ac:dyDescent="0.25">
      <c r="A13" s="1375" t="s">
        <v>3181</v>
      </c>
      <c r="B13" s="1377" t="s">
        <v>193</v>
      </c>
      <c r="C13" s="1377" t="s">
        <v>193</v>
      </c>
      <c r="D13" s="1377" t="s">
        <v>193</v>
      </c>
      <c r="E13" s="131">
        <v>8</v>
      </c>
      <c r="F13" s="1376">
        <f>34-E13</f>
        <v>26</v>
      </c>
      <c r="G13" s="131">
        <v>21</v>
      </c>
      <c r="H13" s="1376">
        <f>61-G13</f>
        <v>40</v>
      </c>
    </row>
    <row r="14" spans="1:29" x14ac:dyDescent="0.25">
      <c r="A14" s="1375" t="s">
        <v>3182</v>
      </c>
      <c r="B14" s="1377" t="s">
        <v>193</v>
      </c>
      <c r="C14" s="1377" t="s">
        <v>193</v>
      </c>
      <c r="D14" s="1377" t="s">
        <v>193</v>
      </c>
      <c r="E14" s="131">
        <v>8</v>
      </c>
      <c r="F14" s="1376">
        <f>14-E14</f>
        <v>6</v>
      </c>
      <c r="G14" s="131">
        <v>11</v>
      </c>
      <c r="H14" s="1376">
        <f>13-G14</f>
        <v>2</v>
      </c>
    </row>
    <row r="15" spans="1:29" x14ac:dyDescent="0.25">
      <c r="A15" s="1375" t="s">
        <v>3183</v>
      </c>
      <c r="B15" s="1377" t="s">
        <v>193</v>
      </c>
      <c r="C15" s="1377" t="s">
        <v>193</v>
      </c>
      <c r="D15" s="1377" t="s">
        <v>193</v>
      </c>
      <c r="E15" s="131">
        <v>71</v>
      </c>
      <c r="F15" s="1376">
        <f>79-E15</f>
        <v>8</v>
      </c>
      <c r="G15" s="131">
        <v>24</v>
      </c>
      <c r="H15" s="1376">
        <f>33-G15</f>
        <v>9</v>
      </c>
    </row>
    <row r="16" spans="1:29" x14ac:dyDescent="0.25">
      <c r="A16" s="1375" t="s">
        <v>3184</v>
      </c>
      <c r="B16" s="1377" t="s">
        <v>193</v>
      </c>
      <c r="C16" s="1377" t="s">
        <v>193</v>
      </c>
      <c r="D16" s="1377" t="s">
        <v>193</v>
      </c>
      <c r="E16" s="131">
        <v>0</v>
      </c>
      <c r="F16" s="1376">
        <v>0</v>
      </c>
      <c r="G16" s="131">
        <v>4</v>
      </c>
      <c r="H16" s="1376">
        <f>6-G16</f>
        <v>2</v>
      </c>
    </row>
    <row r="17" spans="1:10" x14ac:dyDescent="0.25">
      <c r="A17" s="1375"/>
      <c r="B17" s="141"/>
      <c r="C17" s="141"/>
      <c r="D17" s="141"/>
      <c r="E17" s="141"/>
      <c r="F17" s="141"/>
      <c r="G17" s="141"/>
      <c r="H17" s="141"/>
      <c r="J17" s="701"/>
    </row>
    <row r="18" spans="1:10" x14ac:dyDescent="0.25">
      <c r="A18" s="734" t="s">
        <v>3185</v>
      </c>
      <c r="B18" s="734"/>
      <c r="C18" s="734"/>
      <c r="D18" s="734"/>
      <c r="E18" s="734"/>
      <c r="F18" s="734"/>
      <c r="G18" s="734"/>
      <c r="H18" s="734"/>
    </row>
    <row r="19" spans="1:10" ht="21.75" customHeight="1" x14ac:dyDescent="0.25">
      <c r="A19" s="462" t="s">
        <v>3186</v>
      </c>
      <c r="B19" s="462"/>
      <c r="C19" s="462"/>
      <c r="D19" s="462"/>
      <c r="E19" s="462"/>
      <c r="F19" s="462"/>
      <c r="G19" s="462"/>
      <c r="H19" s="462"/>
    </row>
    <row r="20" spans="1:10" x14ac:dyDescent="0.25">
      <c r="A20" s="715" t="s">
        <v>198</v>
      </c>
      <c r="B20" s="715"/>
      <c r="C20" s="715"/>
      <c r="D20" s="715"/>
      <c r="E20" s="715"/>
      <c r="F20" s="715"/>
      <c r="G20" s="718"/>
      <c r="H20" s="718"/>
    </row>
    <row r="21" spans="1:10" x14ac:dyDescent="0.25">
      <c r="A21" s="715" t="s">
        <v>2175</v>
      </c>
      <c r="B21" s="715"/>
      <c r="C21" s="715"/>
      <c r="D21" s="715"/>
      <c r="E21" s="715"/>
      <c r="F21" s="715"/>
      <c r="G21" s="715"/>
      <c r="H21" s="715"/>
    </row>
    <row r="22" spans="1:10" x14ac:dyDescent="0.25">
      <c r="A22" s="141"/>
      <c r="B22" s="141"/>
      <c r="C22" s="1375"/>
      <c r="D22" s="1375"/>
      <c r="E22" s="1375"/>
      <c r="F22" s="1375"/>
      <c r="G22" s="141"/>
      <c r="H22" s="141"/>
    </row>
  </sheetData>
  <mergeCells count="8">
    <mergeCell ref="A20:F20"/>
    <mergeCell ref="A21:H21"/>
    <mergeCell ref="A2:H2"/>
    <mergeCell ref="A4:A5"/>
    <mergeCell ref="E4:F4"/>
    <mergeCell ref="G4:H4"/>
    <mergeCell ref="A18:H18"/>
    <mergeCell ref="A19:H19"/>
  </mergeCells>
  <pageMargins left="0.7" right="0.7" top="0.75" bottom="0.75" header="0.3" footer="0.3"/>
  <pageSetup paperSize="14" scale="90" orientation="landscape" r:id="rId1"/>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C13EC-0624-48BB-9A93-00780BD2661F}">
  <sheetPr codeName="Hoja262"/>
  <dimension ref="A1:F10"/>
  <sheetViews>
    <sheetView workbookViewId="0">
      <selection activeCell="A4" sqref="A4:A6"/>
    </sheetView>
  </sheetViews>
  <sheetFormatPr baseColWidth="10" defaultRowHeight="13.2" x14ac:dyDescent="0.25"/>
  <cols>
    <col min="1" max="1" width="20.88671875" customWidth="1"/>
  </cols>
  <sheetData>
    <row r="1" spans="1:6" x14ac:dyDescent="0.25">
      <c r="A1" s="1012"/>
    </row>
    <row r="2" spans="1:6" ht="39" customHeight="1" x14ac:dyDescent="0.25">
      <c r="A2" s="463" t="s">
        <v>2901</v>
      </c>
      <c r="B2" s="1378"/>
      <c r="C2" s="1378"/>
      <c r="D2" s="1378"/>
      <c r="E2" s="1378"/>
      <c r="F2" s="1378"/>
    </row>
    <row r="3" spans="1:6" x14ac:dyDescent="0.25">
      <c r="A3" s="893"/>
      <c r="B3" s="1211"/>
      <c r="C3" s="1211"/>
      <c r="D3" s="1211"/>
      <c r="E3" s="1211"/>
      <c r="F3" s="1211"/>
    </row>
    <row r="4" spans="1:6" x14ac:dyDescent="0.25">
      <c r="A4" s="114" t="s">
        <v>3187</v>
      </c>
      <c r="B4" s="895" t="s">
        <v>3188</v>
      </c>
      <c r="C4" s="896"/>
      <c r="D4" s="896"/>
      <c r="E4" s="896"/>
      <c r="F4" s="897"/>
    </row>
    <row r="5" spans="1:6" x14ac:dyDescent="0.25">
      <c r="A5" s="115"/>
      <c r="B5" s="954">
        <v>2009</v>
      </c>
      <c r="C5" s="954">
        <v>2010</v>
      </c>
      <c r="D5" s="954">
        <v>2011</v>
      </c>
      <c r="E5" s="954">
        <v>2012</v>
      </c>
      <c r="F5" s="954">
        <v>2013</v>
      </c>
    </row>
    <row r="6" spans="1:6" x14ac:dyDescent="0.25">
      <c r="A6" s="1338" t="s">
        <v>3</v>
      </c>
      <c r="B6" s="1373">
        <f>SUM(B7:B8)</f>
        <v>34</v>
      </c>
      <c r="C6" s="1373">
        <f>SUM(C7:C8)</f>
        <v>16</v>
      </c>
      <c r="D6" s="1373">
        <f>SUM(D7:D8)</f>
        <v>16</v>
      </c>
      <c r="E6" s="1373">
        <f>SUM(E7:E8)</f>
        <v>452</v>
      </c>
      <c r="F6" s="1373">
        <f>SUM(F7:F8)</f>
        <v>622</v>
      </c>
    </row>
    <row r="7" spans="1:6" x14ac:dyDescent="0.25">
      <c r="A7" s="1375" t="s">
        <v>3189</v>
      </c>
      <c r="B7" s="141">
        <v>4</v>
      </c>
      <c r="C7" s="1375">
        <v>4</v>
      </c>
      <c r="D7" s="1375">
        <v>6</v>
      </c>
      <c r="E7" s="1375">
        <v>70</v>
      </c>
      <c r="F7" s="141">
        <v>65</v>
      </c>
    </row>
    <row r="8" spans="1:6" x14ac:dyDescent="0.25">
      <c r="A8" s="1375" t="s">
        <v>3190</v>
      </c>
      <c r="B8" s="141">
        <v>30</v>
      </c>
      <c r="C8" s="1375">
        <v>12</v>
      </c>
      <c r="D8" s="1375">
        <v>10</v>
      </c>
      <c r="E8" s="1375">
        <v>382</v>
      </c>
      <c r="F8" s="141">
        <v>557</v>
      </c>
    </row>
    <row r="9" spans="1:6" x14ac:dyDescent="0.25">
      <c r="A9" s="141"/>
      <c r="B9" s="141"/>
      <c r="C9" s="141"/>
      <c r="D9" s="141"/>
      <c r="E9" s="141"/>
      <c r="F9" s="141"/>
    </row>
    <row r="10" spans="1:6" x14ac:dyDescent="0.25">
      <c r="A10" s="715" t="s">
        <v>2175</v>
      </c>
      <c r="B10" s="715"/>
      <c r="C10" s="715"/>
      <c r="D10" s="715"/>
      <c r="E10" s="715"/>
      <c r="F10" s="715"/>
    </row>
  </sheetData>
  <mergeCells count="4">
    <mergeCell ref="A2:F2"/>
    <mergeCell ref="A4:A5"/>
    <mergeCell ref="B4:F4"/>
    <mergeCell ref="A10:F10"/>
  </mergeCells>
  <pageMargins left="0.7" right="0.7" top="0.75" bottom="0.75" header="0.3" footer="0.3"/>
  <pageSetup paperSize="14" scale="90" orientation="landscape" r:id="rId1"/>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0F0E36-E125-432D-9924-0368978DC8DA}">
  <sheetPr codeName="Hoja263"/>
  <dimension ref="A1:F10"/>
  <sheetViews>
    <sheetView workbookViewId="0"/>
  </sheetViews>
  <sheetFormatPr baseColWidth="10" defaultRowHeight="13.2" x14ac:dyDescent="0.25"/>
  <cols>
    <col min="1" max="1" width="25.6640625" customWidth="1"/>
    <col min="2" max="2" width="12.6640625" customWidth="1"/>
    <col min="3" max="3" width="12.5546875" customWidth="1"/>
    <col min="4" max="4" width="12.88671875" customWidth="1"/>
    <col min="6" max="6" width="12.109375" customWidth="1"/>
    <col min="8" max="8" width="12.109375" customWidth="1"/>
  </cols>
  <sheetData>
    <row r="1" spans="1:6" x14ac:dyDescent="0.25">
      <c r="A1" s="691"/>
    </row>
    <row r="2" spans="1:6" ht="37.5" customHeight="1" x14ac:dyDescent="0.25">
      <c r="A2" s="463" t="s">
        <v>2902</v>
      </c>
      <c r="B2" s="463"/>
      <c r="C2" s="463"/>
      <c r="D2" s="463"/>
      <c r="E2" s="463"/>
      <c r="F2" s="463"/>
    </row>
    <row r="3" spans="1:6" x14ac:dyDescent="0.25">
      <c r="A3" s="1379"/>
      <c r="B3" s="1379"/>
      <c r="C3" s="1379"/>
      <c r="D3" s="1379"/>
      <c r="E3" s="1379"/>
      <c r="F3" s="1379"/>
    </row>
    <row r="4" spans="1:6" x14ac:dyDescent="0.25">
      <c r="A4" s="707" t="s">
        <v>3171</v>
      </c>
      <c r="B4" s="1380" t="s">
        <v>98</v>
      </c>
      <c r="C4" s="1380"/>
      <c r="D4" s="1380"/>
      <c r="E4" s="1380"/>
      <c r="F4" s="1380"/>
    </row>
    <row r="5" spans="1:6" x14ac:dyDescent="0.25">
      <c r="A5" s="710"/>
      <c r="B5" s="453">
        <v>2009</v>
      </c>
      <c r="C5" s="453">
        <v>2010</v>
      </c>
      <c r="D5" s="453">
        <v>2011</v>
      </c>
      <c r="E5" s="453">
        <v>2012</v>
      </c>
      <c r="F5" s="453">
        <v>2013</v>
      </c>
    </row>
    <row r="6" spans="1:6" x14ac:dyDescent="0.25">
      <c r="A6" s="1338" t="s">
        <v>3</v>
      </c>
      <c r="B6" s="1381">
        <v>34</v>
      </c>
      <c r="C6" s="1381">
        <v>16</v>
      </c>
      <c r="D6" s="1381">
        <v>16</v>
      </c>
      <c r="E6" s="1381">
        <f>SUM(E7:E8)</f>
        <v>3201</v>
      </c>
      <c r="F6" s="1381">
        <f>SUM(F7:F8)</f>
        <v>3083</v>
      </c>
    </row>
    <row r="7" spans="1:6" x14ac:dyDescent="0.25">
      <c r="A7" s="141" t="s">
        <v>1227</v>
      </c>
      <c r="B7" s="1316" t="s">
        <v>193</v>
      </c>
      <c r="C7" s="1316" t="s">
        <v>193</v>
      </c>
      <c r="D7" s="1316" t="s">
        <v>193</v>
      </c>
      <c r="E7" s="911">
        <f>'3.7.2-15'!E6</f>
        <v>412</v>
      </c>
      <c r="F7" s="911">
        <f>'3.7.2-15'!G6</f>
        <v>510</v>
      </c>
    </row>
    <row r="8" spans="1:6" x14ac:dyDescent="0.25">
      <c r="A8" s="141" t="s">
        <v>3176</v>
      </c>
      <c r="B8" s="909"/>
      <c r="C8" s="909"/>
      <c r="D8" s="909"/>
      <c r="E8" s="911">
        <f>'3.7.2-15'!F6</f>
        <v>2789</v>
      </c>
      <c r="F8" s="911">
        <f>'3.7.2-15'!H6</f>
        <v>2573</v>
      </c>
    </row>
    <row r="10" spans="1:6" x14ac:dyDescent="0.25">
      <c r="A10" s="715" t="s">
        <v>2175</v>
      </c>
      <c r="B10" s="715"/>
      <c r="C10" s="715"/>
      <c r="D10" s="715"/>
      <c r="E10" s="715"/>
      <c r="F10" s="715"/>
    </row>
  </sheetData>
  <mergeCells count="4">
    <mergeCell ref="A2:F2"/>
    <mergeCell ref="A4:A5"/>
    <mergeCell ref="B4:F4"/>
    <mergeCell ref="A10:F10"/>
  </mergeCells>
  <pageMargins left="0.7" right="0.7" top="0.75" bottom="0.75" header="0.3" footer="0.3"/>
  <pageSetup paperSize="14" scale="90" orientation="landscape" r:id="rId1"/>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12BD1-7F97-4264-BB67-130A47811125}">
  <sheetPr codeName="Hoja264">
    <tabColor theme="8"/>
  </sheetPr>
  <dimension ref="A2:A20"/>
  <sheetViews>
    <sheetView workbookViewId="0">
      <selection activeCell="A20" sqref="A20"/>
    </sheetView>
  </sheetViews>
  <sheetFormatPr baseColWidth="10" defaultColWidth="11.44140625" defaultRowHeight="10.199999999999999" x14ac:dyDescent="0.2"/>
  <cols>
    <col min="1" max="16384" width="11.44140625" style="24"/>
  </cols>
  <sheetData>
    <row r="2" spans="1:1" x14ac:dyDescent="0.2">
      <c r="A2" s="24" t="s">
        <v>2903</v>
      </c>
    </row>
    <row r="4" spans="1:1" x14ac:dyDescent="0.2">
      <c r="A4" s="182" t="s">
        <v>2904</v>
      </c>
    </row>
    <row r="5" spans="1:1" x14ac:dyDescent="0.2">
      <c r="A5" s="182" t="s">
        <v>2905</v>
      </c>
    </row>
    <row r="6" spans="1:1" x14ac:dyDescent="0.2">
      <c r="A6" s="182" t="s">
        <v>2906</v>
      </c>
    </row>
    <row r="7" spans="1:1" x14ac:dyDescent="0.2">
      <c r="A7" s="182" t="s">
        <v>2907</v>
      </c>
    </row>
    <row r="8" spans="1:1" x14ac:dyDescent="0.2">
      <c r="A8" s="182" t="s">
        <v>2908</v>
      </c>
    </row>
    <row r="9" spans="1:1" x14ac:dyDescent="0.2">
      <c r="A9" s="182" t="s">
        <v>2909</v>
      </c>
    </row>
    <row r="10" spans="1:1" x14ac:dyDescent="0.2">
      <c r="A10" s="182" t="s">
        <v>2910</v>
      </c>
    </row>
    <row r="11" spans="1:1" x14ac:dyDescent="0.2">
      <c r="A11" s="182" t="s">
        <v>2911</v>
      </c>
    </row>
    <row r="12" spans="1:1" x14ac:dyDescent="0.2">
      <c r="A12" s="182" t="s">
        <v>2912</v>
      </c>
    </row>
    <row r="13" spans="1:1" x14ac:dyDescent="0.2">
      <c r="A13" s="182" t="s">
        <v>2913</v>
      </c>
    </row>
    <row r="14" spans="1:1" x14ac:dyDescent="0.2">
      <c r="A14" s="182" t="s">
        <v>2914</v>
      </c>
    </row>
    <row r="15" spans="1:1" x14ac:dyDescent="0.2">
      <c r="A15" s="182" t="s">
        <v>2915</v>
      </c>
    </row>
    <row r="16" spans="1:1" x14ac:dyDescent="0.2">
      <c r="A16" s="182" t="s">
        <v>2916</v>
      </c>
    </row>
    <row r="17" spans="1:1" x14ac:dyDescent="0.2">
      <c r="A17" s="182" t="s">
        <v>2917</v>
      </c>
    </row>
    <row r="18" spans="1:1" x14ac:dyDescent="0.2">
      <c r="A18" s="182" t="s">
        <v>2918</v>
      </c>
    </row>
    <row r="19" spans="1:1" x14ac:dyDescent="0.2">
      <c r="A19" s="182" t="s">
        <v>2919</v>
      </c>
    </row>
    <row r="20" spans="1:1" x14ac:dyDescent="0.2">
      <c r="A20" s="182" t="s">
        <v>2920</v>
      </c>
    </row>
  </sheetData>
  <hyperlinks>
    <hyperlink ref="A4" location="'3.7.3-01'!A1" display="CUADRO 3.7.3-01: NÚMERO DE SALAS DE EXHIBICIÓN Y CAPACIDAD, SEGÚN REGIÓN. 2013/a" xr:uid="{29577970-9A70-428E-BEA6-0E75CF2EC329}"/>
    <hyperlink ref="A5" location="'3.7.3-02'!A1" display="CUADRO 3.7.3-02: NÚMERO DE EMPRESAS DISTRIBUIDORAS DE CINE NACIONALES Y EXTRANJERAS, SEGÚN REGIÓN. 2013" xr:uid="{F7670993-84CC-4C4A-A620-466A18B8ABA1}"/>
    <hyperlink ref="A6" location="'3.7.3-03'!A1" display="CUADRO 3.7.3-03:  NÚMERO DE TRABAJADORES AL AÑO EN DISTRIBUIDORAS DE CINE POR SEXO, SEGÚN REGIÓN. 2013" xr:uid="{0A1D1AB2-19DD-4330-8797-8A180B9568F0}"/>
    <hyperlink ref="A7" location="'3.7.3-04'!A1" display="CUADRO 3.7.3-04: NÚMERO DE SOCIOS DE LA ASOCIACIÓN DE DISTRIBUIDORES DE VIDEOGRAMAS A.G. (ADV). 2009-2013" xr:uid="{9021002E-1A80-47E9-BEED-B857AAF10C32}"/>
    <hyperlink ref="A8" location="'3.7.3-05'!A1" display="CUADRO 3.7.3-05: NÚMERO DE PELÍCULAS ESTRENADAS, SEGÚN ORÍGEN DE LA PELÍCULA. 2013" xr:uid="{7B1B12D9-55E2-4F24-8C58-6B0EA8888A32}"/>
    <hyperlink ref="A9" location="'3.7.3-06'!A1" display="CUADRO 3.7.3-06: NÚMERO Y PORCENTAJE DE TÍTULOS DE PELÍCULAS ESTRENADOS PARA ARRIENDO Y VENTA POR LA ASOCIACIÓN DE DISTRIBUIDORES DE VIDEOGRAMAS AG (ADV) POR FORMATO (DVD Y BLURAY), SEGÚN ORIGEN DE LA PELÍCULA. 2011-2013" xr:uid="{A9614626-E54A-4250-999B-180188EEBEB6}"/>
    <hyperlink ref="A10" location="'3.7.3-07'!A1" display="CUADRO 3.7.3-07: MONTOS RECAUDADOS DE PELÍCULAS ESTRENADAS Y EXHIBIDAS, SEGÚN ORIGEN DE LA PELÍCULA. 2009-2013" xr:uid="{9CE6B002-9E3E-4434-846F-C18F7EA0B1A5}"/>
    <hyperlink ref="A11" location="'3.7.3-08'!A1" display="CUADRO 3.7.3-08: DISTRIBUCIÓN PORCENTUAL DE LAS UNIDADES VENDIDAS POR LA ASOCIACIÓN DE DISTRIBUIDORES DE VIDEOGRAMAS A.G (ADV) POR FORMATO (DVD Y BLURAY), SEGÚN NACIONALIDAD DE LA PELÍCULA. 2009-2013/a" xr:uid="{32D951ED-76AC-44B5-8F9F-631BDA121CA5}"/>
    <hyperlink ref="A12" location="'3.7.3-09'!A1" display="CUADRO 3.7.3-09: NÚMERO DE PELÍCULAS EXHIBIDAS POR ORIGEN, SEGÚN REGIÓN. 2013" xr:uid="{C23AECF8-4A31-40C6-871C-754B665A2CE7}"/>
    <hyperlink ref="A13" location="'3.7.3-10'!A1" display="CUADRO 3.7.3-10: NÚMERO DE FUNCIONES DE VIDEO POR TIPO DE ASISTENCIA, SEGÚN REGIÓN. 2013" xr:uid="{0F8F6BDA-F0D4-43D6-9D04-D5973F023F8C}"/>
    <hyperlink ref="A14" location="'3.7.3-11'!A1" display="CUADRO 3.7.3-11: NÚMERO DE ESPECTADORES POR ORÍGEN DE LA PELÍCULA, SEGÚN REGIÓN. 2013/a" xr:uid="{5D345307-35F9-4EED-876A-70149794A696}"/>
    <hyperlink ref="A15" location="'3.7.3-12'!A1" display="CUADRO 3.7.3-12: NÚMERO DE ESPECTADORES, POR ORIGEN DE LA PELÍCULA. 2009-2013/a" xr:uid="{112D91A9-336E-4D66-A614-84992609748F}"/>
    <hyperlink ref="A16" location="'3.7.3-13'!A1" display="CUADRO 3.7.3-13: NÚMERO DE ESPECTADORES POR CALIFICACIÓN CINEMATOGRÁFICA DE LA PELÍCULA, SEGÚN REGIÓN. 2013/a" xr:uid="{B15A2E78-ECBD-42A4-8619-94B5B317F4D5}"/>
    <hyperlink ref="A17" location="'3.7.3-14'!A1" display="CUADRO 3.7.3-14: NÚMERO DE ESPECTADORES ANUALES POR MES, SEGÚN REGIÓN. 2013/a" xr:uid="{798CE340-F0DE-45DB-8C37-EE810910037C}"/>
    <hyperlink ref="A18" location="'3.7.3-15'!A1" display="CUADRO 3.7.3-15:  NÚMERO DE ESPECTADORES DE CINE POR GÉNERO DE LA PELÍCULA, SEGÚN REGIÓN. 2013" xr:uid="{998E1EC2-F51C-4224-8D0C-52E06366C1E4}"/>
    <hyperlink ref="A19" location="'3.7.3-16'!A1" display="CUADRO 3.7.3-16: NÚMERO DE ESPECTADORES A LAS VEINTE PELÍCULAS CON MAYOR VENTA DE ENTRADAS POR FECHA DE ESTRENO, GÉNERO, CALIFICACIÓN, NÚMERO DE COPIAS VENDIDAS Y SEMANAS EN CARTELERA,  SEGÚN TÍTULO DE LA PELÍCULA. 2013" xr:uid="{B37728C8-76FC-4377-8DB8-B339A828EC99}"/>
    <hyperlink ref="A20" location="'3.7.3-17'!A1" display="CUADRO 3.7.3-17: NÚMERO DE ESPECTADORES A LAS TRES PELÍCULAS NACIONALES CON MAYOR VENTA DE ENTRADAS POR FECHA DE ESTRENO, GENERO, CALIFICACIÓN, NÚMERO DE COPIAS VENDIDAS Y SEMANAS EN CARTELERA, SEGÚN TÍTULO DE LA PELÍCULA. 2013" xr:uid="{38895AB2-AE93-49F4-B82C-226111B63B1C}"/>
  </hyperlinks>
  <pageMargins left="0.7" right="0.7" top="0.75" bottom="0.75" header="0.3" footer="0.3"/>
  <pageSetup paperSize="14" scale="90" orientation="landscape" r:id="rId1"/>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17056-F5A0-497B-BBFF-E152B16C5C03}">
  <sheetPr codeName="Hoja265"/>
  <dimension ref="A2:N37"/>
  <sheetViews>
    <sheetView workbookViewId="0">
      <selection activeCell="A4" sqref="A4:A6"/>
    </sheetView>
  </sheetViews>
  <sheetFormatPr baseColWidth="10" defaultColWidth="6.33203125" defaultRowHeight="12.6" x14ac:dyDescent="0.2"/>
  <cols>
    <col min="1" max="1" width="22.109375" style="1408" customWidth="1"/>
    <col min="2" max="3" width="16.88671875" style="1408" customWidth="1"/>
    <col min="4" max="4" width="13.33203125" style="1408" customWidth="1"/>
    <col min="5" max="5" width="15.44140625" style="1408" customWidth="1"/>
    <col min="6" max="6" width="14.5546875" style="1408" customWidth="1"/>
    <col min="7" max="7" width="8.33203125" style="1408" customWidth="1"/>
    <col min="8" max="8" width="8.6640625" style="1408" customWidth="1"/>
    <col min="9" max="9" width="13.6640625" style="1408" customWidth="1"/>
    <col min="10" max="10" width="10.109375" style="1408" customWidth="1"/>
    <col min="11" max="11" width="12.88671875" style="1408" customWidth="1"/>
    <col min="12" max="12" width="14.109375" style="1408" customWidth="1"/>
    <col min="13" max="13" width="20.5546875" style="1408" customWidth="1"/>
    <col min="14" max="14" width="10.88671875" style="1408" customWidth="1"/>
    <col min="15" max="16384" width="6.33203125" style="1408"/>
  </cols>
  <sheetData>
    <row r="2" spans="1:14" s="1383" customFormat="1" ht="25.5" customHeight="1" x14ac:dyDescent="0.2">
      <c r="A2" s="1382" t="s">
        <v>3191</v>
      </c>
      <c r="B2" s="1382"/>
      <c r="C2" s="1382"/>
      <c r="I2" s="714"/>
    </row>
    <row r="3" spans="1:14" s="1383" customFormat="1" ht="11.4" x14ac:dyDescent="0.2">
      <c r="A3" s="1384"/>
      <c r="B3" s="1384"/>
      <c r="C3" s="1384"/>
    </row>
    <row r="4" spans="1:14" s="1383" customFormat="1" ht="34.5" customHeight="1" x14ac:dyDescent="0.2">
      <c r="A4" s="621" t="s">
        <v>0</v>
      </c>
      <c r="B4" s="1385" t="s">
        <v>3192</v>
      </c>
      <c r="C4" s="1385" t="s">
        <v>3193</v>
      </c>
      <c r="F4" s="633"/>
      <c r="G4" s="633"/>
      <c r="H4" s="633"/>
      <c r="I4" s="2"/>
      <c r="J4" s="1386"/>
      <c r="K4" s="1386"/>
      <c r="N4" s="1384"/>
    </row>
    <row r="5" spans="1:14" s="1384" customFormat="1" x14ac:dyDescent="0.2">
      <c r="A5" s="712" t="s">
        <v>3</v>
      </c>
      <c r="B5" s="1387">
        <f>SUM(B6:B20)</f>
        <v>347</v>
      </c>
      <c r="C5" s="1388">
        <f>SUM(C6:C20)</f>
        <v>74363</v>
      </c>
      <c r="D5" s="1389"/>
      <c r="E5" s="1389"/>
      <c r="F5" s="633"/>
      <c r="G5" s="633"/>
      <c r="H5" s="633"/>
      <c r="I5" s="714"/>
      <c r="J5" s="1390"/>
      <c r="K5" s="1390"/>
      <c r="L5" s="1383"/>
      <c r="M5" s="1383"/>
    </row>
    <row r="6" spans="1:14" s="1383" customFormat="1" x14ac:dyDescent="0.2">
      <c r="A6" s="288" t="s">
        <v>4</v>
      </c>
      <c r="B6" s="1391">
        <v>2</v>
      </c>
      <c r="C6" s="1392">
        <f>500+476</f>
        <v>976</v>
      </c>
      <c r="E6" s="1393"/>
      <c r="F6" s="633"/>
      <c r="G6" s="633"/>
      <c r="H6" s="633"/>
      <c r="I6" s="288"/>
      <c r="J6" s="1394"/>
      <c r="K6" s="1394"/>
      <c r="M6" s="1393"/>
      <c r="N6" s="1395"/>
    </row>
    <row r="7" spans="1:14" s="1383" customFormat="1" x14ac:dyDescent="0.2">
      <c r="A7" s="288" t="s">
        <v>5</v>
      </c>
      <c r="B7" s="1391">
        <v>6</v>
      </c>
      <c r="C7" s="1392">
        <v>1476</v>
      </c>
      <c r="E7" s="1393"/>
      <c r="F7" s="633"/>
      <c r="G7" s="633"/>
      <c r="H7" s="633"/>
      <c r="I7" s="288"/>
      <c r="J7" s="1394"/>
      <c r="K7" s="1394"/>
      <c r="M7" s="1393"/>
      <c r="N7" s="1396"/>
    </row>
    <row r="8" spans="1:14" s="1383" customFormat="1" x14ac:dyDescent="0.2">
      <c r="A8" s="288" t="s">
        <v>6</v>
      </c>
      <c r="B8" s="1391">
        <v>18</v>
      </c>
      <c r="C8" s="1392">
        <f>1293+1199+1389</f>
        <v>3881</v>
      </c>
      <c r="D8" s="1397"/>
      <c r="E8" s="1393"/>
      <c r="F8" s="633"/>
      <c r="G8" s="633"/>
      <c r="H8" s="633"/>
      <c r="I8" s="288"/>
      <c r="J8" s="1394"/>
      <c r="K8" s="1394"/>
      <c r="L8" s="1397"/>
      <c r="M8" s="1393"/>
      <c r="N8" s="1384"/>
    </row>
    <row r="9" spans="1:14" s="1383" customFormat="1" x14ac:dyDescent="0.2">
      <c r="A9" s="288" t="s">
        <v>7</v>
      </c>
      <c r="B9" s="1391">
        <v>3</v>
      </c>
      <c r="C9" s="1392">
        <f>600+350</f>
        <v>950</v>
      </c>
      <c r="D9" s="1397"/>
      <c r="E9" s="1393"/>
      <c r="F9" s="633"/>
      <c r="G9" s="633"/>
      <c r="H9" s="633"/>
      <c r="I9" s="288"/>
      <c r="J9" s="1394"/>
      <c r="K9" s="1394"/>
      <c r="L9" s="1397"/>
      <c r="M9" s="1393"/>
      <c r="N9" s="1395"/>
    </row>
    <row r="10" spans="1:14" s="1383" customFormat="1" x14ac:dyDescent="0.2">
      <c r="A10" s="288" t="s">
        <v>8</v>
      </c>
      <c r="B10" s="1391">
        <v>9</v>
      </c>
      <c r="C10" s="1392">
        <f>1323+580</f>
        <v>1903</v>
      </c>
      <c r="D10" s="1398"/>
      <c r="E10" s="1393"/>
      <c r="F10" s="633"/>
      <c r="G10" s="633"/>
      <c r="H10" s="633"/>
      <c r="I10" s="288"/>
      <c r="J10" s="1394"/>
      <c r="K10" s="1394"/>
      <c r="L10" s="1398"/>
      <c r="M10" s="1393"/>
      <c r="N10" s="1395"/>
    </row>
    <row r="11" spans="1:14" s="1383" customFormat="1" x14ac:dyDescent="0.2">
      <c r="A11" s="288" t="s">
        <v>9</v>
      </c>
      <c r="B11" s="1391">
        <f>5+9+8+6+1+4</f>
        <v>33</v>
      </c>
      <c r="C11" s="1392">
        <f>1020+1581+1791+1243+198+718</f>
        <v>6551</v>
      </c>
      <c r="E11" s="1393"/>
      <c r="F11" s="633"/>
      <c r="G11" s="633"/>
      <c r="H11" s="633"/>
      <c r="I11" s="288"/>
      <c r="J11" s="1394"/>
      <c r="K11" s="1394"/>
      <c r="M11" s="1393"/>
      <c r="N11" s="1395"/>
    </row>
    <row r="12" spans="1:14" s="1383" customFormat="1" ht="11.4" x14ac:dyDescent="0.2">
      <c r="A12" s="288" t="s">
        <v>10</v>
      </c>
      <c r="B12" s="1391">
        <f>45+7+50+30+18+8+33+4+5</f>
        <v>200</v>
      </c>
      <c r="C12" s="1392">
        <f>2322+2380+2185+1520+1490+1254+10191+5290+3234+1915+7025+860+2055</f>
        <v>41721</v>
      </c>
      <c r="D12" s="1399"/>
      <c r="E12" s="1393"/>
      <c r="I12" s="288"/>
      <c r="J12" s="1394"/>
      <c r="K12" s="1394"/>
      <c r="L12" s="1399"/>
      <c r="M12" s="1393"/>
      <c r="N12" s="1400"/>
    </row>
    <row r="13" spans="1:14" s="1383" customFormat="1" x14ac:dyDescent="0.2">
      <c r="A13" s="288" t="s">
        <v>134</v>
      </c>
      <c r="B13" s="1391">
        <v>12</v>
      </c>
      <c r="C13" s="1392">
        <f>1426+1135+200</f>
        <v>2761</v>
      </c>
      <c r="E13" s="1393"/>
      <c r="F13" s="633"/>
      <c r="G13" s="633"/>
      <c r="H13" s="633"/>
      <c r="I13" s="288"/>
      <c r="J13" s="1394"/>
      <c r="K13" s="1394"/>
      <c r="M13" s="1393"/>
      <c r="N13" s="1395"/>
    </row>
    <row r="14" spans="1:14" s="1383" customFormat="1" x14ac:dyDescent="0.2">
      <c r="A14" s="288" t="s">
        <v>12</v>
      </c>
      <c r="B14" s="1391">
        <v>9</v>
      </c>
      <c r="C14" s="1392">
        <f>662+1538</f>
        <v>2200</v>
      </c>
      <c r="E14" s="1393"/>
      <c r="F14" s="633"/>
      <c r="G14" s="633"/>
      <c r="H14" s="633"/>
      <c r="I14" s="288"/>
      <c r="J14" s="1394"/>
      <c r="K14" s="1394"/>
      <c r="M14" s="1393"/>
      <c r="N14" s="1395"/>
    </row>
    <row r="15" spans="1:14" s="1383" customFormat="1" x14ac:dyDescent="0.2">
      <c r="A15" s="288" t="s">
        <v>13</v>
      </c>
      <c r="B15" s="1391">
        <f>18+7</f>
        <v>25</v>
      </c>
      <c r="C15" s="1392">
        <f>1893+1896+1199</f>
        <v>4988</v>
      </c>
      <c r="E15" s="1393"/>
      <c r="F15" s="633"/>
      <c r="G15" s="633"/>
      <c r="H15" s="633"/>
      <c r="I15" s="288"/>
      <c r="J15" s="1394"/>
      <c r="K15" s="1394"/>
      <c r="M15" s="1393"/>
      <c r="N15" s="1395"/>
    </row>
    <row r="16" spans="1:14" s="1383" customFormat="1" x14ac:dyDescent="0.2">
      <c r="A16" s="288" t="s">
        <v>14</v>
      </c>
      <c r="B16" s="1391">
        <v>11</v>
      </c>
      <c r="C16" s="1392">
        <f>1644+991</f>
        <v>2635</v>
      </c>
      <c r="D16" s="1399"/>
      <c r="E16" s="1393"/>
      <c r="F16" s="633"/>
      <c r="G16" s="633"/>
      <c r="H16" s="633"/>
      <c r="I16" s="288"/>
      <c r="J16" s="1394"/>
      <c r="K16" s="1394"/>
      <c r="L16" s="1399"/>
      <c r="M16" s="1393"/>
      <c r="N16" s="1400"/>
    </row>
    <row r="17" spans="1:14" s="1383" customFormat="1" x14ac:dyDescent="0.2">
      <c r="A17" s="288" t="s">
        <v>135</v>
      </c>
      <c r="B17" s="1391">
        <v>5</v>
      </c>
      <c r="C17" s="1392">
        <v>993</v>
      </c>
      <c r="D17" s="1399"/>
      <c r="E17" s="1393"/>
      <c r="F17" s="633"/>
      <c r="G17" s="633"/>
      <c r="H17" s="633"/>
      <c r="I17" s="288"/>
      <c r="J17" s="1394"/>
      <c r="K17" s="1394"/>
      <c r="L17" s="1399"/>
      <c r="M17" s="1393"/>
      <c r="N17" s="1400"/>
    </row>
    <row r="18" spans="1:14" s="1383" customFormat="1" x14ac:dyDescent="0.2">
      <c r="A18" s="288" t="s">
        <v>136</v>
      </c>
      <c r="B18" s="1391">
        <v>8</v>
      </c>
      <c r="C18" s="1392">
        <f>433+100+1421</f>
        <v>1954</v>
      </c>
      <c r="E18" s="1393"/>
      <c r="F18" s="633"/>
      <c r="G18" s="633"/>
      <c r="H18" s="633"/>
      <c r="I18" s="288"/>
      <c r="J18" s="1394"/>
      <c r="K18" s="1394"/>
      <c r="M18" s="1393"/>
      <c r="N18" s="1395"/>
    </row>
    <row r="19" spans="1:14" s="1383" customFormat="1" x14ac:dyDescent="0.2">
      <c r="A19" s="288" t="s">
        <v>17</v>
      </c>
      <c r="B19" s="1391">
        <v>1</v>
      </c>
      <c r="C19" s="1392">
        <v>450</v>
      </c>
      <c r="D19" s="1399"/>
      <c r="E19" s="1393"/>
      <c r="F19" s="633"/>
      <c r="G19" s="633"/>
      <c r="H19" s="633"/>
      <c r="I19" s="288"/>
      <c r="J19" s="1394"/>
      <c r="K19" s="1394"/>
      <c r="L19" s="1399"/>
      <c r="M19" s="1393"/>
      <c r="N19" s="1395"/>
    </row>
    <row r="20" spans="1:14" s="1383" customFormat="1" x14ac:dyDescent="0.2">
      <c r="A20" s="288" t="s">
        <v>18</v>
      </c>
      <c r="B20" s="1391">
        <v>5</v>
      </c>
      <c r="C20" s="1392">
        <f>430+494</f>
        <v>924</v>
      </c>
      <c r="D20" s="1399"/>
      <c r="E20" s="1393"/>
      <c r="F20" s="633"/>
      <c r="G20" s="633"/>
      <c r="H20" s="633"/>
      <c r="I20" s="288"/>
      <c r="J20" s="1394"/>
      <c r="K20" s="1394"/>
      <c r="L20" s="1399"/>
      <c r="M20" s="1393"/>
      <c r="N20" s="1400"/>
    </row>
    <row r="21" spans="1:14" s="1383" customFormat="1" ht="7.5" customHeight="1" x14ac:dyDescent="0.2">
      <c r="A21" s="288"/>
      <c r="B21" s="1401"/>
      <c r="C21" s="1401"/>
      <c r="D21" s="1399"/>
      <c r="E21" s="1393"/>
      <c r="I21" s="288"/>
      <c r="J21" s="1394"/>
      <c r="K21" s="1394"/>
      <c r="L21" s="1399"/>
      <c r="M21" s="1393"/>
      <c r="N21" s="1400"/>
    </row>
    <row r="22" spans="1:14" s="1403" customFormat="1" ht="21.75" customHeight="1" x14ac:dyDescent="0.25">
      <c r="A22" s="1402" t="s">
        <v>3194</v>
      </c>
      <c r="B22" s="1402"/>
      <c r="C22" s="1402"/>
      <c r="E22" s="1038"/>
      <c r="F22" s="1038"/>
      <c r="J22" s="1038"/>
      <c r="K22" s="1038"/>
      <c r="L22" s="1038"/>
      <c r="M22" s="1038"/>
      <c r="N22" s="1404"/>
    </row>
    <row r="23" spans="1:14" x14ac:dyDescent="0.2">
      <c r="A23" s="1405" t="s">
        <v>3195</v>
      </c>
      <c r="B23" s="1405"/>
      <c r="C23" s="1405"/>
      <c r="D23" s="1406"/>
      <c r="E23" s="1407"/>
      <c r="G23" s="1407"/>
      <c r="I23" s="714"/>
      <c r="K23" s="1407"/>
      <c r="L23" s="1406"/>
      <c r="M23" s="1407"/>
      <c r="N23" s="1409"/>
    </row>
    <row r="24" spans="1:14" x14ac:dyDescent="0.2">
      <c r="A24" s="1410"/>
      <c r="C24" s="1407"/>
      <c r="D24" s="1406"/>
      <c r="E24" s="1407"/>
      <c r="G24" s="1407"/>
      <c r="I24" s="1410"/>
      <c r="J24" s="1406"/>
      <c r="K24" s="1406"/>
      <c r="L24" s="1406"/>
      <c r="M24" s="1406"/>
      <c r="N24" s="1406"/>
    </row>
    <row r="25" spans="1:14" x14ac:dyDescent="0.2">
      <c r="I25" s="1410"/>
      <c r="J25" s="1406"/>
      <c r="K25" s="1406"/>
      <c r="L25" s="1406"/>
      <c r="M25" s="1406"/>
      <c r="N25" s="1409"/>
    </row>
    <row r="26" spans="1:14" x14ac:dyDescent="0.2">
      <c r="I26" s="1410"/>
      <c r="J26" s="1406"/>
      <c r="K26" s="1406"/>
      <c r="L26" s="1406"/>
      <c r="M26" s="1406"/>
      <c r="N26" s="1406"/>
    </row>
    <row r="27" spans="1:14" x14ac:dyDescent="0.2">
      <c r="I27" s="1410"/>
      <c r="J27" s="1406"/>
      <c r="K27" s="1406"/>
      <c r="L27" s="1406"/>
      <c r="M27" s="1406"/>
      <c r="N27" s="1406"/>
    </row>
    <row r="28" spans="1:14" x14ac:dyDescent="0.2">
      <c r="I28" s="1410"/>
      <c r="J28" s="1406"/>
      <c r="K28" s="1406"/>
      <c r="L28" s="1406"/>
      <c r="M28" s="1406"/>
      <c r="N28" s="1409"/>
    </row>
    <row r="29" spans="1:14" x14ac:dyDescent="0.2">
      <c r="I29" s="1410"/>
      <c r="J29" s="1406"/>
      <c r="K29" s="1406"/>
      <c r="L29" s="1406"/>
      <c r="M29" s="1406"/>
      <c r="N29" s="1406"/>
    </row>
    <row r="30" spans="1:14" x14ac:dyDescent="0.2">
      <c r="I30" s="1410"/>
      <c r="J30" s="1406"/>
      <c r="K30" s="1406"/>
      <c r="L30" s="1406"/>
      <c r="M30" s="1406"/>
      <c r="N30" s="1406"/>
    </row>
    <row r="31" spans="1:14" x14ac:dyDescent="0.2">
      <c r="I31" s="1410"/>
      <c r="J31" s="1406"/>
      <c r="K31" s="1406"/>
      <c r="L31" s="1406"/>
      <c r="M31" s="1406"/>
      <c r="N31" s="1409"/>
    </row>
    <row r="32" spans="1:14" x14ac:dyDescent="0.2">
      <c r="I32" s="1410"/>
      <c r="J32" s="1406"/>
      <c r="K32" s="1406"/>
      <c r="L32" s="1406"/>
      <c r="M32" s="1406"/>
      <c r="N32" s="1406"/>
    </row>
    <row r="33" spans="9:14" x14ac:dyDescent="0.2">
      <c r="I33" s="1410"/>
      <c r="J33" s="1406"/>
      <c r="K33" s="1406"/>
      <c r="L33" s="1406"/>
      <c r="M33" s="1406"/>
      <c r="N33" s="1406"/>
    </row>
    <row r="34" spans="9:14" x14ac:dyDescent="0.2">
      <c r="I34" s="1410"/>
      <c r="J34" s="1406"/>
      <c r="K34" s="1406"/>
      <c r="L34" s="1406"/>
      <c r="M34" s="1406"/>
      <c r="N34" s="1409"/>
    </row>
    <row r="35" spans="9:14" x14ac:dyDescent="0.2">
      <c r="I35" s="1410"/>
      <c r="J35" s="1406"/>
      <c r="K35" s="1406"/>
      <c r="L35" s="1406"/>
      <c r="M35" s="1406"/>
      <c r="N35" s="1406"/>
    </row>
    <row r="36" spans="9:14" x14ac:dyDescent="0.2">
      <c r="I36" s="1410"/>
      <c r="J36" s="1406"/>
      <c r="K36" s="1406"/>
      <c r="L36" s="1406"/>
      <c r="M36" s="1406"/>
      <c r="N36" s="1406"/>
    </row>
    <row r="37" spans="9:14" x14ac:dyDescent="0.2">
      <c r="I37" s="1410"/>
      <c r="J37" s="1406"/>
      <c r="K37" s="1406"/>
      <c r="L37" s="1406"/>
      <c r="M37" s="1406"/>
      <c r="N37" s="1406"/>
    </row>
  </sheetData>
  <mergeCells count="3">
    <mergeCell ref="A2:C2"/>
    <mergeCell ref="A22:C22"/>
    <mergeCell ref="A23:C23"/>
  </mergeCells>
  <pageMargins left="0.7" right="0.7" top="0.75" bottom="0.75" header="0.3" footer="0.3"/>
  <pageSetup paperSize="14" scale="90" orientation="landscape" r:id="rId1"/>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7E4B5-7C06-4C18-AE33-ED04E87651F6}">
  <sheetPr codeName="Hoja266"/>
  <dimension ref="A1:K24"/>
  <sheetViews>
    <sheetView workbookViewId="0">
      <selection activeCell="A4" sqref="A4:A6"/>
    </sheetView>
  </sheetViews>
  <sheetFormatPr baseColWidth="10" defaultColWidth="11.44140625" defaultRowHeight="10.199999999999999" x14ac:dyDescent="0.2"/>
  <cols>
    <col min="1" max="1" width="29.109375" style="2" customWidth="1"/>
    <col min="2" max="2" width="9.33203125" style="2" customWidth="1"/>
    <col min="3" max="4" width="15.44140625" style="2" customWidth="1"/>
    <col min="5" max="16384" width="11.44140625" style="2"/>
  </cols>
  <sheetData>
    <row r="1" spans="1:7" s="24" customFormat="1" ht="13.2" x14ac:dyDescent="0.2">
      <c r="A1" s="1012"/>
    </row>
    <row r="2" spans="1:7" ht="26.25" customHeight="1" x14ac:dyDescent="0.2">
      <c r="A2" s="234" t="s">
        <v>2905</v>
      </c>
      <c r="B2" s="234"/>
      <c r="C2" s="234"/>
      <c r="D2" s="234"/>
    </row>
    <row r="4" spans="1:7" ht="15.75" customHeight="1" x14ac:dyDescent="0.2">
      <c r="A4" s="323" t="s">
        <v>0</v>
      </c>
      <c r="B4" s="275" t="s">
        <v>42</v>
      </c>
      <c r="C4" s="323" t="s">
        <v>3196</v>
      </c>
      <c r="D4" s="323"/>
      <c r="F4" s="24"/>
      <c r="G4" s="24"/>
    </row>
    <row r="5" spans="1:7" ht="15.75" customHeight="1" x14ac:dyDescent="0.2">
      <c r="A5" s="323"/>
      <c r="B5" s="277"/>
      <c r="C5" s="621" t="s">
        <v>1254</v>
      </c>
      <c r="D5" s="621" t="s">
        <v>3197</v>
      </c>
    </row>
    <row r="6" spans="1:7" x14ac:dyDescent="0.2">
      <c r="A6" s="24" t="s">
        <v>3</v>
      </c>
      <c r="B6" s="622">
        <f>SUM(C6:D6)</f>
        <v>20</v>
      </c>
      <c r="C6" s="622">
        <f>SUM(C7:C21)</f>
        <v>14</v>
      </c>
      <c r="D6" s="622">
        <f>SUM(D7:D21)</f>
        <v>6</v>
      </c>
    </row>
    <row r="7" spans="1:7" x14ac:dyDescent="0.2">
      <c r="A7" s="1411" t="s">
        <v>4</v>
      </c>
      <c r="B7" s="622">
        <f t="shared" ref="B7:B21" si="0">SUM(C7:D7)</f>
        <v>0</v>
      </c>
      <c r="C7" s="315">
        <v>0</v>
      </c>
      <c r="D7" s="315">
        <v>0</v>
      </c>
    </row>
    <row r="8" spans="1:7" x14ac:dyDescent="0.2">
      <c r="A8" s="1411" t="s">
        <v>5</v>
      </c>
      <c r="B8" s="622">
        <f t="shared" si="0"/>
        <v>0</v>
      </c>
      <c r="C8" s="315">
        <v>0</v>
      </c>
      <c r="D8" s="315">
        <v>0</v>
      </c>
    </row>
    <row r="9" spans="1:7" x14ac:dyDescent="0.2">
      <c r="A9" s="1411" t="s">
        <v>6</v>
      </c>
      <c r="B9" s="622">
        <f t="shared" si="0"/>
        <v>0</v>
      </c>
      <c r="C9" s="315">
        <v>0</v>
      </c>
      <c r="D9" s="315">
        <v>0</v>
      </c>
    </row>
    <row r="10" spans="1:7" x14ac:dyDescent="0.2">
      <c r="A10" s="1411" t="s">
        <v>7</v>
      </c>
      <c r="B10" s="622">
        <f t="shared" si="0"/>
        <v>0</v>
      </c>
      <c r="C10" s="315">
        <v>0</v>
      </c>
      <c r="D10" s="315">
        <v>0</v>
      </c>
    </row>
    <row r="11" spans="1:7" x14ac:dyDescent="0.2">
      <c r="A11" s="1411" t="s">
        <v>8</v>
      </c>
      <c r="B11" s="622">
        <f t="shared" si="0"/>
        <v>0</v>
      </c>
      <c r="C11" s="315">
        <v>0</v>
      </c>
      <c r="D11" s="315">
        <v>0</v>
      </c>
    </row>
    <row r="12" spans="1:7" x14ac:dyDescent="0.2">
      <c r="A12" s="1411" t="s">
        <v>9</v>
      </c>
      <c r="B12" s="622">
        <f t="shared" si="0"/>
        <v>0</v>
      </c>
      <c r="C12" s="315">
        <v>0</v>
      </c>
      <c r="D12" s="315">
        <v>0</v>
      </c>
    </row>
    <row r="13" spans="1:7" x14ac:dyDescent="0.2">
      <c r="A13" s="1411" t="s">
        <v>10</v>
      </c>
      <c r="B13" s="622">
        <f t="shared" si="0"/>
        <v>19</v>
      </c>
      <c r="C13" s="315">
        <v>13</v>
      </c>
      <c r="D13" s="315">
        <v>6</v>
      </c>
    </row>
    <row r="14" spans="1:7" x14ac:dyDescent="0.2">
      <c r="A14" s="1411" t="s">
        <v>134</v>
      </c>
      <c r="B14" s="622">
        <f t="shared" si="0"/>
        <v>0</v>
      </c>
      <c r="C14" s="315">
        <v>0</v>
      </c>
      <c r="D14" s="315">
        <v>0</v>
      </c>
    </row>
    <row r="15" spans="1:7" x14ac:dyDescent="0.2">
      <c r="A15" s="1411" t="s">
        <v>12</v>
      </c>
      <c r="B15" s="622">
        <f t="shared" si="0"/>
        <v>0</v>
      </c>
      <c r="C15" s="315">
        <v>0</v>
      </c>
      <c r="D15" s="315">
        <v>0</v>
      </c>
    </row>
    <row r="16" spans="1:7" x14ac:dyDescent="0.2">
      <c r="A16" s="1411" t="s">
        <v>13</v>
      </c>
      <c r="B16" s="622">
        <f t="shared" si="0"/>
        <v>0</v>
      </c>
      <c r="C16" s="315">
        <v>0</v>
      </c>
      <c r="D16" s="315">
        <v>0</v>
      </c>
    </row>
    <row r="17" spans="1:11" x14ac:dyDescent="0.2">
      <c r="A17" s="1411" t="s">
        <v>47</v>
      </c>
      <c r="B17" s="622">
        <f t="shared" si="0"/>
        <v>0</v>
      </c>
      <c r="C17" s="315">
        <v>0</v>
      </c>
      <c r="D17" s="315">
        <v>0</v>
      </c>
    </row>
    <row r="18" spans="1:11" x14ac:dyDescent="0.2">
      <c r="A18" s="1411" t="s">
        <v>135</v>
      </c>
      <c r="B18" s="622">
        <f t="shared" si="0"/>
        <v>1</v>
      </c>
      <c r="C18" s="315">
        <v>1</v>
      </c>
      <c r="D18" s="315">
        <v>0</v>
      </c>
    </row>
    <row r="19" spans="1:11" x14ac:dyDescent="0.2">
      <c r="A19" s="1411" t="s">
        <v>136</v>
      </c>
      <c r="B19" s="622">
        <f t="shared" si="0"/>
        <v>0</v>
      </c>
      <c r="C19" s="315">
        <v>0</v>
      </c>
      <c r="D19" s="315">
        <v>0</v>
      </c>
    </row>
    <row r="20" spans="1:11" x14ac:dyDescent="0.2">
      <c r="A20" s="1411" t="s">
        <v>17</v>
      </c>
      <c r="B20" s="622">
        <f t="shared" si="0"/>
        <v>0</v>
      </c>
      <c r="C20" s="315">
        <v>0</v>
      </c>
      <c r="D20" s="315">
        <v>0</v>
      </c>
    </row>
    <row r="21" spans="1:11" x14ac:dyDescent="0.2">
      <c r="A21" s="1411" t="s">
        <v>18</v>
      </c>
      <c r="B21" s="622">
        <f t="shared" si="0"/>
        <v>0</v>
      </c>
      <c r="C21" s="315">
        <v>0</v>
      </c>
      <c r="D21" s="315">
        <v>0</v>
      </c>
    </row>
    <row r="22" spans="1:11" ht="8.25" customHeight="1" x14ac:dyDescent="0.2">
      <c r="A22" s="288"/>
      <c r="B22" s="288"/>
      <c r="G22" s="1010"/>
    </row>
    <row r="23" spans="1:11" s="714" customFormat="1" ht="11.25" customHeight="1" x14ac:dyDescent="0.2">
      <c r="A23" s="296" t="s">
        <v>19</v>
      </c>
      <c r="B23" s="296"/>
      <c r="C23" s="296"/>
      <c r="D23" s="296"/>
      <c r="E23" s="682"/>
      <c r="F23" s="682"/>
      <c r="G23" s="682"/>
      <c r="H23" s="682"/>
      <c r="I23" s="682"/>
      <c r="K23" s="2"/>
    </row>
    <row r="24" spans="1:11" x14ac:dyDescent="0.2">
      <c r="A24" s="1405" t="s">
        <v>3195</v>
      </c>
      <c r="B24" s="1405"/>
      <c r="C24" s="1405"/>
      <c r="D24" s="1405"/>
    </row>
  </sheetData>
  <mergeCells count="6">
    <mergeCell ref="A2:D2"/>
    <mergeCell ref="A4:A5"/>
    <mergeCell ref="B4:B5"/>
    <mergeCell ref="C4:D4"/>
    <mergeCell ref="A23:D23"/>
    <mergeCell ref="A24:D24"/>
  </mergeCells>
  <pageMargins left="0.7" right="0.7" top="0.75" bottom="0.75" header="0.3" footer="0.3"/>
  <pageSetup paperSize="14" scale="90" orientation="landscape" r:id="rId1"/>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0E8D3-2F94-4B14-8792-955F65B086BE}">
  <sheetPr codeName="Hoja267"/>
  <dimension ref="A1:K25"/>
  <sheetViews>
    <sheetView workbookViewId="0">
      <selection activeCell="A4" sqref="A4:A6"/>
    </sheetView>
  </sheetViews>
  <sheetFormatPr baseColWidth="10" defaultColWidth="11.44140625" defaultRowHeight="10.199999999999999" x14ac:dyDescent="0.2"/>
  <cols>
    <col min="1" max="1" width="28.6640625" style="2" customWidth="1"/>
    <col min="2" max="2" width="7.109375" style="2" customWidth="1"/>
    <col min="3" max="4" width="12.33203125" style="2" customWidth="1"/>
    <col min="5" max="16384" width="11.44140625" style="2"/>
  </cols>
  <sheetData>
    <row r="1" spans="1:5" x14ac:dyDescent="0.2">
      <c r="A1" s="691"/>
    </row>
    <row r="2" spans="1:5" ht="21.75" customHeight="1" x14ac:dyDescent="0.2">
      <c r="A2" s="45" t="s">
        <v>2906</v>
      </c>
      <c r="B2" s="45"/>
      <c r="C2" s="45"/>
      <c r="D2" s="45"/>
      <c r="E2" s="24"/>
    </row>
    <row r="4" spans="1:5" ht="12.75" customHeight="1" x14ac:dyDescent="0.2">
      <c r="A4" s="1326" t="s">
        <v>0</v>
      </c>
      <c r="B4" s="275" t="s">
        <v>42</v>
      </c>
      <c r="C4" s="685" t="s">
        <v>3198</v>
      </c>
      <c r="D4" s="685"/>
    </row>
    <row r="5" spans="1:5" x14ac:dyDescent="0.2">
      <c r="A5" s="1412"/>
      <c r="B5" s="1179"/>
      <c r="C5" s="874" t="s">
        <v>2065</v>
      </c>
      <c r="D5" s="876"/>
    </row>
    <row r="6" spans="1:5" x14ac:dyDescent="0.2">
      <c r="A6" s="1327"/>
      <c r="B6" s="277"/>
      <c r="C6" s="1033" t="s">
        <v>3199</v>
      </c>
      <c r="D6" s="1033" t="s">
        <v>3200</v>
      </c>
    </row>
    <row r="7" spans="1:5" x14ac:dyDescent="0.2">
      <c r="A7" s="1413" t="s">
        <v>3</v>
      </c>
      <c r="B7" s="1414">
        <f>SUM(C7:D7)</f>
        <v>45</v>
      </c>
      <c r="C7" s="24">
        <f>SUM(C8:C22)</f>
        <v>16</v>
      </c>
      <c r="D7" s="622">
        <f>SUM(D8:D22)</f>
        <v>29</v>
      </c>
    </row>
    <row r="8" spans="1:5" x14ac:dyDescent="0.2">
      <c r="A8" s="1415" t="s">
        <v>4</v>
      </c>
      <c r="B8" s="1414">
        <f t="shared" ref="B8:B22" si="0">SUM(C8:D8)</f>
        <v>0</v>
      </c>
      <c r="C8" s="315">
        <v>0</v>
      </c>
      <c r="D8" s="315">
        <v>0</v>
      </c>
    </row>
    <row r="9" spans="1:5" x14ac:dyDescent="0.2">
      <c r="A9" s="1415" t="s">
        <v>5</v>
      </c>
      <c r="B9" s="1414">
        <f t="shared" si="0"/>
        <v>0</v>
      </c>
      <c r="C9" s="315">
        <v>0</v>
      </c>
      <c r="D9" s="315">
        <v>0</v>
      </c>
    </row>
    <row r="10" spans="1:5" x14ac:dyDescent="0.2">
      <c r="A10" s="1415" t="s">
        <v>6</v>
      </c>
      <c r="B10" s="1414">
        <f t="shared" si="0"/>
        <v>0</v>
      </c>
      <c r="C10" s="315">
        <v>0</v>
      </c>
      <c r="D10" s="315">
        <v>0</v>
      </c>
    </row>
    <row r="11" spans="1:5" x14ac:dyDescent="0.2">
      <c r="A11" s="1415" t="s">
        <v>7</v>
      </c>
      <c r="B11" s="1414">
        <f t="shared" si="0"/>
        <v>0</v>
      </c>
      <c r="C11" s="315">
        <v>0</v>
      </c>
      <c r="D11" s="315">
        <v>0</v>
      </c>
    </row>
    <row r="12" spans="1:5" x14ac:dyDescent="0.2">
      <c r="A12" s="1415" t="s">
        <v>8</v>
      </c>
      <c r="B12" s="1414">
        <f t="shared" si="0"/>
        <v>0</v>
      </c>
      <c r="C12" s="315">
        <v>0</v>
      </c>
      <c r="D12" s="315">
        <v>0</v>
      </c>
    </row>
    <row r="13" spans="1:5" x14ac:dyDescent="0.2">
      <c r="A13" s="1415" t="s">
        <v>9</v>
      </c>
      <c r="B13" s="1414">
        <f t="shared" si="0"/>
        <v>0</v>
      </c>
      <c r="C13" s="315">
        <v>0</v>
      </c>
      <c r="D13" s="315">
        <v>0</v>
      </c>
    </row>
    <row r="14" spans="1:5" x14ac:dyDescent="0.2">
      <c r="A14" s="1415" t="s">
        <v>10</v>
      </c>
      <c r="B14" s="1414">
        <f>SUM(C14:D14)</f>
        <v>45</v>
      </c>
      <c r="C14" s="2">
        <v>16</v>
      </c>
      <c r="D14" s="2">
        <v>29</v>
      </c>
    </row>
    <row r="15" spans="1:5" x14ac:dyDescent="0.2">
      <c r="A15" s="1415" t="s">
        <v>134</v>
      </c>
      <c r="B15" s="1414">
        <f t="shared" si="0"/>
        <v>0</v>
      </c>
      <c r="C15" s="315">
        <v>0</v>
      </c>
      <c r="D15" s="315">
        <v>0</v>
      </c>
    </row>
    <row r="16" spans="1:5" x14ac:dyDescent="0.2">
      <c r="A16" s="1415" t="s">
        <v>12</v>
      </c>
      <c r="B16" s="1414">
        <f t="shared" si="0"/>
        <v>0</v>
      </c>
      <c r="C16" s="315">
        <v>0</v>
      </c>
      <c r="D16" s="315">
        <v>0</v>
      </c>
    </row>
    <row r="17" spans="1:11" x14ac:dyDescent="0.2">
      <c r="A17" s="1415" t="s">
        <v>13</v>
      </c>
      <c r="B17" s="1414">
        <f t="shared" si="0"/>
        <v>0</v>
      </c>
      <c r="C17" s="315">
        <v>0</v>
      </c>
      <c r="D17" s="315">
        <v>0</v>
      </c>
    </row>
    <row r="18" spans="1:11" x14ac:dyDescent="0.2">
      <c r="A18" s="1415" t="s">
        <v>47</v>
      </c>
      <c r="B18" s="1414">
        <f t="shared" si="0"/>
        <v>0</v>
      </c>
      <c r="C18" s="315">
        <v>0</v>
      </c>
      <c r="D18" s="315">
        <v>0</v>
      </c>
    </row>
    <row r="19" spans="1:11" x14ac:dyDescent="0.2">
      <c r="A19" s="1415" t="s">
        <v>135</v>
      </c>
      <c r="B19" s="1414">
        <f t="shared" si="0"/>
        <v>0</v>
      </c>
      <c r="C19" s="315">
        <v>0</v>
      </c>
      <c r="D19" s="315">
        <v>0</v>
      </c>
    </row>
    <row r="20" spans="1:11" x14ac:dyDescent="0.2">
      <c r="A20" s="1415" t="s">
        <v>136</v>
      </c>
      <c r="B20" s="1414">
        <f t="shared" si="0"/>
        <v>0</v>
      </c>
      <c r="C20" s="315">
        <v>0</v>
      </c>
      <c r="D20" s="315">
        <v>0</v>
      </c>
    </row>
    <row r="21" spans="1:11" x14ac:dyDescent="0.2">
      <c r="A21" s="1415" t="s">
        <v>17</v>
      </c>
      <c r="B21" s="1414">
        <f t="shared" si="0"/>
        <v>0</v>
      </c>
      <c r="C21" s="315">
        <v>0</v>
      </c>
      <c r="D21" s="315">
        <v>0</v>
      </c>
    </row>
    <row r="22" spans="1:11" x14ac:dyDescent="0.2">
      <c r="A22" s="1415" t="s">
        <v>18</v>
      </c>
      <c r="B22" s="1414">
        <f t="shared" si="0"/>
        <v>0</v>
      </c>
      <c r="C22" s="315">
        <v>0</v>
      </c>
      <c r="D22" s="315">
        <v>0</v>
      </c>
    </row>
    <row r="23" spans="1:11" ht="6.75" customHeight="1" x14ac:dyDescent="0.2">
      <c r="A23" s="284"/>
      <c r="B23" s="284"/>
    </row>
    <row r="24" spans="1:11" s="714" customFormat="1" ht="12" customHeight="1" x14ac:dyDescent="0.2">
      <c r="A24" s="296" t="s">
        <v>19</v>
      </c>
      <c r="B24" s="296"/>
      <c r="C24" s="296"/>
      <c r="D24" s="296"/>
      <c r="E24" s="296"/>
      <c r="F24" s="296"/>
      <c r="G24" s="296"/>
      <c r="H24" s="682"/>
      <c r="I24" s="682"/>
      <c r="K24" s="2"/>
    </row>
    <row r="25" spans="1:11" x14ac:dyDescent="0.2">
      <c r="A25" s="1405" t="s">
        <v>3195</v>
      </c>
      <c r="B25" s="1405"/>
      <c r="C25" s="1405"/>
      <c r="D25" s="1405"/>
    </row>
  </sheetData>
  <mergeCells count="7">
    <mergeCell ref="A25:D25"/>
    <mergeCell ref="A2:D2"/>
    <mergeCell ref="A4:A6"/>
    <mergeCell ref="B4:B6"/>
    <mergeCell ref="C4:D4"/>
    <mergeCell ref="C5:D5"/>
    <mergeCell ref="A24:G24"/>
  </mergeCells>
  <pageMargins left="0.7" right="0.7" top="0.75" bottom="0.75" header="0.3" footer="0.3"/>
  <pageSetup paperSize="14" scale="90" orientation="landscape" r:id="rId1"/>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A10C66-62C4-40B2-8348-4AD9FE2E85CE}">
  <sheetPr codeName="Hoja268"/>
  <dimension ref="A1:V11"/>
  <sheetViews>
    <sheetView workbookViewId="0">
      <selection activeCell="A4" sqref="A4:A6"/>
    </sheetView>
  </sheetViews>
  <sheetFormatPr baseColWidth="10" defaultRowHeight="13.2" x14ac:dyDescent="0.25"/>
  <sheetData>
    <row r="1" spans="1:22" x14ac:dyDescent="0.25">
      <c r="A1" s="691"/>
    </row>
    <row r="2" spans="1:22" s="442" customFormat="1" ht="25.5" customHeight="1" x14ac:dyDescent="0.2">
      <c r="A2" s="1416" t="s">
        <v>2907</v>
      </c>
      <c r="B2" s="1416"/>
      <c r="C2" s="1416"/>
      <c r="D2" s="1416"/>
      <c r="E2" s="1416"/>
      <c r="F2" s="1416"/>
      <c r="G2" s="624"/>
      <c r="H2" s="624"/>
      <c r="I2" s="624"/>
      <c r="J2" s="624"/>
      <c r="M2" s="2"/>
      <c r="N2" s="2"/>
      <c r="O2" s="2"/>
      <c r="P2" s="2"/>
      <c r="Q2" s="2"/>
      <c r="R2" s="2"/>
      <c r="S2" s="2"/>
      <c r="T2" s="2"/>
      <c r="U2" s="2"/>
      <c r="V2" s="2"/>
    </row>
    <row r="3" spans="1:22" s="442" customFormat="1" ht="10.5" customHeight="1" x14ac:dyDescent="0.2">
      <c r="A3" s="2"/>
      <c r="B3" s="2"/>
      <c r="C3" s="2"/>
      <c r="D3" s="2"/>
      <c r="E3" s="2"/>
      <c r="F3" s="2"/>
      <c r="G3" s="2"/>
      <c r="H3" s="2"/>
      <c r="I3" s="2"/>
      <c r="J3" s="2"/>
      <c r="M3" s="2"/>
      <c r="N3" s="2"/>
      <c r="O3" s="2"/>
      <c r="P3" s="2"/>
      <c r="Q3" s="2"/>
      <c r="R3" s="2"/>
      <c r="S3" s="2"/>
      <c r="T3" s="2"/>
      <c r="U3" s="2"/>
      <c r="V3" s="2"/>
    </row>
    <row r="4" spans="1:22" s="1417" customFormat="1" ht="19.5" customHeight="1" x14ac:dyDescent="0.2">
      <c r="A4" s="653" t="s">
        <v>2288</v>
      </c>
      <c r="B4" s="298" t="s">
        <v>98</v>
      </c>
      <c r="C4" s="298"/>
      <c r="D4" s="298"/>
      <c r="E4" s="298"/>
      <c r="F4" s="298"/>
      <c r="G4" s="995"/>
      <c r="H4" s="995"/>
      <c r="I4" s="995"/>
      <c r="J4" s="995"/>
      <c r="N4" s="995"/>
      <c r="O4" s="995"/>
      <c r="P4" s="995"/>
      <c r="Q4" s="995"/>
      <c r="R4" s="995"/>
      <c r="S4" s="995"/>
      <c r="T4" s="995"/>
      <c r="U4" s="995"/>
      <c r="V4" s="995"/>
    </row>
    <row r="5" spans="1:22" s="1417" customFormat="1" ht="19.5" customHeight="1" x14ac:dyDescent="0.2">
      <c r="A5" s="654"/>
      <c r="B5" s="644">
        <v>2009</v>
      </c>
      <c r="C5" s="644">
        <v>2010</v>
      </c>
      <c r="D5" s="644">
        <v>2011</v>
      </c>
      <c r="E5" s="644">
        <v>2012</v>
      </c>
      <c r="F5" s="644">
        <v>2013</v>
      </c>
      <c r="G5" s="995"/>
      <c r="H5" s="995"/>
      <c r="I5" s="995"/>
      <c r="J5" s="995"/>
      <c r="N5" s="995"/>
      <c r="O5" s="995"/>
      <c r="P5" s="995"/>
      <c r="Q5" s="995"/>
      <c r="R5" s="995"/>
      <c r="S5" s="995"/>
      <c r="T5" s="995"/>
      <c r="U5" s="995"/>
      <c r="V5" s="995"/>
    </row>
    <row r="6" spans="1:22" s="442" customFormat="1" ht="10.199999999999999" x14ac:dyDescent="0.2">
      <c r="A6" s="443" t="s">
        <v>3</v>
      </c>
      <c r="B6" s="2">
        <v>5</v>
      </c>
      <c r="C6" s="2">
        <v>3</v>
      </c>
      <c r="D6" s="2">
        <v>3</v>
      </c>
      <c r="E6" s="2">
        <v>3</v>
      </c>
      <c r="F6" s="2">
        <v>3</v>
      </c>
      <c r="G6" s="2"/>
      <c r="H6" s="2"/>
      <c r="I6" s="2"/>
      <c r="J6" s="2"/>
      <c r="N6" s="2"/>
      <c r="O6" s="2"/>
      <c r="P6" s="2"/>
      <c r="Q6" s="2"/>
      <c r="R6" s="2"/>
      <c r="S6" s="2"/>
      <c r="T6" s="2"/>
      <c r="U6" s="2"/>
      <c r="V6" s="2"/>
    </row>
    <row r="7" spans="1:22" s="442" customFormat="1" ht="5.25" customHeight="1" x14ac:dyDescent="0.2">
      <c r="A7" s="664"/>
      <c r="B7" s="24"/>
      <c r="C7" s="24"/>
      <c r="D7" s="24"/>
      <c r="E7" s="2"/>
      <c r="F7" s="2"/>
      <c r="G7" s="2"/>
      <c r="H7" s="2"/>
      <c r="I7" s="2"/>
      <c r="J7" s="2"/>
      <c r="M7" s="2"/>
      <c r="N7" s="2"/>
      <c r="O7" s="2"/>
      <c r="P7" s="2"/>
      <c r="Q7" s="2"/>
      <c r="R7" s="2"/>
      <c r="S7" s="2"/>
      <c r="T7" s="2"/>
      <c r="U7" s="2"/>
      <c r="V7" s="2"/>
    </row>
    <row r="8" spans="1:22" s="442" customFormat="1" ht="10.199999999999999" x14ac:dyDescent="0.2">
      <c r="A8" s="715" t="s">
        <v>3201</v>
      </c>
      <c r="B8" s="715"/>
      <c r="C8" s="715"/>
      <c r="D8" s="715"/>
      <c r="E8" s="715"/>
      <c r="F8" s="715"/>
      <c r="M8" s="2"/>
      <c r="N8" s="2"/>
      <c r="O8" s="2"/>
      <c r="P8" s="2"/>
      <c r="Q8" s="2"/>
      <c r="R8" s="2"/>
      <c r="S8" s="2"/>
      <c r="T8" s="2"/>
      <c r="U8" s="2"/>
      <c r="V8" s="2"/>
    </row>
    <row r="9" spans="1:22" s="442" customFormat="1" ht="10.199999999999999" x14ac:dyDescent="0.2">
      <c r="M9" s="141"/>
    </row>
    <row r="10" spans="1:22" s="442" customFormat="1" ht="10.199999999999999" x14ac:dyDescent="0.2"/>
    <row r="11" spans="1:22" s="442" customFormat="1" ht="10.199999999999999" x14ac:dyDescent="0.2"/>
  </sheetData>
  <mergeCells count="4">
    <mergeCell ref="A2:F2"/>
    <mergeCell ref="A4:A5"/>
    <mergeCell ref="B4:F4"/>
    <mergeCell ref="A8:F8"/>
  </mergeCells>
  <pageMargins left="0.7" right="0.7" top="0.75" bottom="0.75" header="0.3" footer="0.3"/>
  <pageSetup paperSize="14" scale="90" orientation="landscape" r:id="rId1"/>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98435-2915-4466-B8A6-70BB67DED1C5}">
  <sheetPr codeName="Hoja269"/>
  <dimension ref="A1:B13"/>
  <sheetViews>
    <sheetView workbookViewId="0">
      <selection activeCell="A4" sqref="A4:A6"/>
    </sheetView>
  </sheetViews>
  <sheetFormatPr baseColWidth="10" defaultRowHeight="13.2" x14ac:dyDescent="0.25"/>
  <cols>
    <col min="1" max="2" width="28.44140625" customWidth="1"/>
  </cols>
  <sheetData>
    <row r="1" spans="1:2" x14ac:dyDescent="0.25">
      <c r="A1" s="1012"/>
    </row>
    <row r="2" spans="1:2" ht="30" customHeight="1" x14ac:dyDescent="0.25">
      <c r="A2" s="234" t="s">
        <v>2908</v>
      </c>
      <c r="B2" s="234"/>
    </row>
    <row r="3" spans="1:2" x14ac:dyDescent="0.25">
      <c r="A3" s="2"/>
      <c r="B3" s="2"/>
    </row>
    <row r="4" spans="1:2" ht="21.75" customHeight="1" x14ac:dyDescent="0.25">
      <c r="A4" s="621" t="s">
        <v>3202</v>
      </c>
      <c r="B4" s="644" t="s">
        <v>3203</v>
      </c>
    </row>
    <row r="5" spans="1:2" x14ac:dyDescent="0.25">
      <c r="A5" s="24" t="s">
        <v>3</v>
      </c>
      <c r="B5" s="624">
        <f>SUM(B6:B11)</f>
        <v>147</v>
      </c>
    </row>
    <row r="6" spans="1:2" x14ac:dyDescent="0.25">
      <c r="A6" s="2" t="s">
        <v>439</v>
      </c>
      <c r="B6" s="2">
        <f>80+35</f>
        <v>115</v>
      </c>
    </row>
    <row r="7" spans="1:2" x14ac:dyDescent="0.25">
      <c r="A7" s="2" t="s">
        <v>3204</v>
      </c>
      <c r="B7" s="2">
        <v>19</v>
      </c>
    </row>
    <row r="8" spans="1:2" x14ac:dyDescent="0.25">
      <c r="A8" s="2" t="s">
        <v>1235</v>
      </c>
      <c r="B8" s="2">
        <v>6</v>
      </c>
    </row>
    <row r="9" spans="1:2" x14ac:dyDescent="0.25">
      <c r="A9" s="2" t="s">
        <v>435</v>
      </c>
      <c r="B9" s="2">
        <v>5</v>
      </c>
    </row>
    <row r="10" spans="1:2" x14ac:dyDescent="0.25">
      <c r="A10" s="2" t="s">
        <v>3205</v>
      </c>
      <c r="B10" s="2">
        <v>1</v>
      </c>
    </row>
    <row r="11" spans="1:2" x14ac:dyDescent="0.25">
      <c r="A11" s="2" t="s">
        <v>446</v>
      </c>
      <c r="B11" s="2">
        <v>1</v>
      </c>
    </row>
    <row r="12" spans="1:2" x14ac:dyDescent="0.25">
      <c r="A12" s="2"/>
      <c r="B12" s="2"/>
    </row>
    <row r="13" spans="1:2" x14ac:dyDescent="0.25">
      <c r="A13" s="1405" t="s">
        <v>3195</v>
      </c>
      <c r="B13" s="1405"/>
    </row>
  </sheetData>
  <mergeCells count="2">
    <mergeCell ref="A2:B2"/>
    <mergeCell ref="A13:B13"/>
  </mergeCells>
  <pageMargins left="0.7" right="0.7" top="0.75" bottom="0.75" header="0.3" footer="0.3"/>
  <pageSetup paperSize="14" scale="9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4880A-3839-4727-845E-039ED60192C1}">
  <sheetPr codeName="Hoja27">
    <tabColor theme="8"/>
  </sheetPr>
  <dimension ref="A2:A11"/>
  <sheetViews>
    <sheetView workbookViewId="0">
      <selection activeCell="A11" sqref="A11"/>
    </sheetView>
  </sheetViews>
  <sheetFormatPr baseColWidth="10" defaultColWidth="11.44140625" defaultRowHeight="10.199999999999999" x14ac:dyDescent="0.2"/>
  <cols>
    <col min="1" max="16384" width="11.44140625" style="2"/>
  </cols>
  <sheetData>
    <row r="2" spans="1:1" x14ac:dyDescent="0.2">
      <c r="A2" s="24" t="s">
        <v>524</v>
      </c>
    </row>
    <row r="4" spans="1:1" x14ac:dyDescent="0.2">
      <c r="A4" s="182" t="s">
        <v>525</v>
      </c>
    </row>
    <row r="5" spans="1:1" x14ac:dyDescent="0.2">
      <c r="A5" s="182" t="s">
        <v>526</v>
      </c>
    </row>
    <row r="6" spans="1:1" x14ac:dyDescent="0.2">
      <c r="A6" s="182" t="s">
        <v>527</v>
      </c>
    </row>
    <row r="7" spans="1:1" x14ac:dyDescent="0.2">
      <c r="A7" s="182" t="s">
        <v>528</v>
      </c>
    </row>
    <row r="8" spans="1:1" x14ac:dyDescent="0.2">
      <c r="A8" s="182" t="s">
        <v>529</v>
      </c>
    </row>
    <row r="9" spans="1:1" x14ac:dyDescent="0.2">
      <c r="A9" s="182" t="s">
        <v>530</v>
      </c>
    </row>
    <row r="10" spans="1:1" x14ac:dyDescent="0.2">
      <c r="A10" s="182" t="s">
        <v>531</v>
      </c>
    </row>
    <row r="11" spans="1:1" x14ac:dyDescent="0.2">
      <c r="A11" s="182" t="s">
        <v>532</v>
      </c>
    </row>
  </sheetData>
  <hyperlinks>
    <hyperlink ref="A4" location="'2.5-01'!A1" display="CUADRO 2.5-01: NÚMERO Y MONTOS DE PROYECTOS POSTULADOS, ELEGIBLES Y SELECCIONADOS, SEGÚN FONDOS CONCURSABLES DEL CONSEJO NACIONAL DE LA CULTURA Y LAS ARTES (CNCA). 2013" xr:uid="{7CB048D0-DC8D-4FE8-BA3F-E054A29520BC}"/>
    <hyperlink ref="A5" location="'2.5-02'!A1" display="CUADRO 2.5-02: NÚMERO DE PROYECTOS Y MONTOS ADJUDICADOS DEL FONDO NACIONAL DE DESARROLLO CULTURAL Y LAS ARTES (FONDART) PARA CONCURSO NACIONAL, SEGÚN REGIÓN. 2013/a/b" xr:uid="{CF274D87-86D5-445D-BF58-1F363DED37D0}"/>
    <hyperlink ref="A6" location="'2.5-03'!A1" display="CUADRO 2.5-03: NÚMERO DE PROYECTOS Y MONTOS ADJUDICADOS DEL FONDO NACIONAL DE DESARROLLO CULTURAL Y LAS ARTES (FONDART) PARA CONCURSO REGIONAL, SEGÚN REGIÓN DEL FONDO ENTREGADO. 2013/a/b" xr:uid="{5E15C6DD-98F5-4CFF-A125-5D17936648B7}"/>
    <hyperlink ref="A7" location="'2.5-04'!A1" display="CUADRO 2.5-04: NÚMERO DE PROYECTOS Y MONTOS ADJUDICADOS POR FONDO DEL LIBRO, SEGÚN REGIÓN DE DOMICILIO DEL PARTICIPANTE. 2013 /a/b" xr:uid="{E3D6D7BF-AE2A-437C-807C-AC4B95668635}"/>
    <hyperlink ref="A8" location="'2.5-05'!A1" display="CUADRO 2.5-05: NÚMERO DE PROYECTOS Y MONTOS ADJUDICADOS POR FONDO DE LA MÚSICA, SEGÚN REGIÓN DE DOMICILIO DEL PARTICIPANTE. 2013" xr:uid="{E59504D3-0EDB-4481-8EEE-1B9390781CAB}"/>
    <hyperlink ref="A9" location="'2.5-06'!A1" display="CUADRO 2.5-06: NÚMERO DE PROYECTOS Y MONTOS ADJUDICADOS POR FONDO AUDIOVISUAL, SEGÚN REGIÓN DE DOMICILIO DEL PARTICIPANTE. 2013" xr:uid="{3BD2C721-428D-4AA3-9FDA-45DAC154BFD3}"/>
    <hyperlink ref="A10" location="'2.5-07'!A1" display="CUADRO 2.5-07: NÚMERO DE PROYECTOS POSTULADOS Y SELECCIONADOS Y RECURSOS ASIGNADOS POR TIPO DE PERSONALIDAD JURÍDICA, SEGÚN FONDO Y AÑO. 2009-2013" xr:uid="{66F9323E-A160-491A-93C5-0E51B66237B0}"/>
    <hyperlink ref="A11" location="'2.5-08'!A1" display="CUADRO 2.5-08: NÚMERO DE PROYECTOS POSTULADOS Y SELECCIONADOS Y RECURSOS ASIGNADOS POR SEXO, SEGÚN FONDO Y AÑO. 2009-2013" xr:uid="{DEEE8FA3-4FC2-4DD9-A2B6-7A46D8710135}"/>
  </hyperlinks>
  <pageMargins left="0.7" right="0.7" top="0.75" bottom="0.75" header="0.3" footer="0.3"/>
  <pageSetup paperSize="14" orientation="portrait" r:id="rId1"/>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D6B466-E469-47FF-8E26-67569154D9B4}">
  <sheetPr codeName="Hoja270"/>
  <dimension ref="A1:AY14"/>
  <sheetViews>
    <sheetView zoomScaleNormal="100" workbookViewId="0">
      <selection activeCell="A4" sqref="A4:A6"/>
    </sheetView>
  </sheetViews>
  <sheetFormatPr baseColWidth="10" defaultRowHeight="13.2" x14ac:dyDescent="0.25"/>
  <cols>
    <col min="1" max="1" width="21.6640625" customWidth="1"/>
  </cols>
  <sheetData>
    <row r="1" spans="1:51" x14ac:dyDescent="0.25">
      <c r="A1" s="1012"/>
    </row>
    <row r="2" spans="1:51" s="442" customFormat="1" ht="28.5" customHeight="1" x14ac:dyDescent="0.2">
      <c r="A2" s="308" t="s">
        <v>2909</v>
      </c>
      <c r="B2" s="308"/>
      <c r="C2" s="308"/>
      <c r="D2" s="308"/>
      <c r="E2" s="308"/>
      <c r="F2" s="308"/>
      <c r="G2" s="308"/>
      <c r="H2" s="308"/>
      <c r="I2" s="308"/>
      <c r="J2" s="308"/>
      <c r="K2" s="308"/>
      <c r="L2" s="308"/>
      <c r="M2" s="308"/>
      <c r="AB2" s="309"/>
      <c r="AC2" s="309"/>
      <c r="AD2" s="309"/>
      <c r="AE2" s="309"/>
      <c r="AF2" s="309"/>
      <c r="AG2" s="309"/>
      <c r="AH2" s="309"/>
      <c r="AI2" s="309"/>
      <c r="AJ2" s="309"/>
      <c r="AK2" s="309"/>
      <c r="AO2" s="2"/>
      <c r="AP2" s="2"/>
      <c r="AQ2" s="2"/>
      <c r="AR2" s="2"/>
      <c r="AS2" s="2"/>
      <c r="AT2" s="2"/>
      <c r="AU2" s="2"/>
      <c r="AV2" s="2"/>
    </row>
    <row r="3" spans="1:51" s="442" customFormat="1" ht="13.5" customHeight="1" x14ac:dyDescent="0.2">
      <c r="A3" s="24"/>
      <c r="B3" s="2"/>
      <c r="C3" s="2"/>
      <c r="D3" s="2"/>
      <c r="E3" s="2"/>
      <c r="F3" s="2"/>
      <c r="G3" s="2"/>
      <c r="H3" s="2"/>
      <c r="I3" s="2"/>
      <c r="J3" s="2"/>
      <c r="AB3" s="309"/>
      <c r="AC3" s="309"/>
      <c r="AD3" s="309"/>
      <c r="AE3" s="309"/>
      <c r="AF3" s="309"/>
      <c r="AG3" s="309"/>
      <c r="AH3" s="309"/>
      <c r="AI3" s="309"/>
      <c r="AJ3" s="309"/>
      <c r="AK3" s="309"/>
      <c r="AO3" s="2"/>
      <c r="AP3" s="2"/>
      <c r="AQ3" s="2"/>
      <c r="AR3" s="2"/>
      <c r="AS3" s="2"/>
      <c r="AT3" s="2"/>
      <c r="AU3" s="2"/>
      <c r="AV3" s="2"/>
    </row>
    <row r="4" spans="1:51" s="442" customFormat="1" ht="12.75" customHeight="1" x14ac:dyDescent="0.2">
      <c r="A4" s="1261" t="s">
        <v>3202</v>
      </c>
      <c r="B4" s="323">
        <v>2011</v>
      </c>
      <c r="C4" s="323"/>
      <c r="D4" s="323"/>
      <c r="E4" s="323"/>
      <c r="F4" s="323"/>
      <c r="G4" s="323">
        <v>2012</v>
      </c>
      <c r="H4" s="323"/>
      <c r="I4" s="323"/>
      <c r="J4" s="323"/>
      <c r="K4" s="323"/>
      <c r="L4" s="323">
        <v>2013</v>
      </c>
      <c r="M4" s="323"/>
      <c r="N4" s="323"/>
      <c r="O4" s="323"/>
      <c r="P4" s="323"/>
      <c r="W4" s="1277"/>
      <c r="X4" s="1277"/>
      <c r="Y4" s="1277"/>
      <c r="Z4" s="1277"/>
      <c r="AA4" s="1277"/>
      <c r="AD4" s="2"/>
      <c r="AE4" s="2"/>
      <c r="AF4" s="2"/>
      <c r="AG4" s="2"/>
      <c r="AH4" s="2"/>
      <c r="AI4" s="2"/>
      <c r="AJ4" s="2"/>
      <c r="AK4" s="2"/>
      <c r="AL4" s="2"/>
      <c r="AM4" s="2"/>
      <c r="AN4" s="2"/>
      <c r="AO4" s="2"/>
      <c r="AP4" s="2"/>
      <c r="AQ4" s="2"/>
      <c r="AR4" s="2"/>
      <c r="AS4" s="2"/>
      <c r="AT4" s="2"/>
      <c r="AU4" s="2"/>
      <c r="AV4" s="2"/>
      <c r="AW4" s="2"/>
    </row>
    <row r="5" spans="1:51" s="442" customFormat="1" ht="10.5" customHeight="1" x14ac:dyDescent="0.2">
      <c r="A5" s="1418"/>
      <c r="B5" s="1261" t="s">
        <v>42</v>
      </c>
      <c r="C5" s="688" t="s">
        <v>2354</v>
      </c>
      <c r="D5" s="694"/>
      <c r="E5" s="323" t="s">
        <v>3206</v>
      </c>
      <c r="F5" s="323"/>
      <c r="G5" s="1261" t="s">
        <v>42</v>
      </c>
      <c r="H5" s="688" t="s">
        <v>2354</v>
      </c>
      <c r="I5" s="694"/>
      <c r="J5" s="688" t="s">
        <v>3206</v>
      </c>
      <c r="K5" s="694"/>
      <c r="L5" s="1419" t="s">
        <v>42</v>
      </c>
      <c r="M5" s="688" t="s">
        <v>2354</v>
      </c>
      <c r="N5" s="694"/>
      <c r="O5" s="323" t="s">
        <v>3206</v>
      </c>
      <c r="P5" s="323"/>
      <c r="X5" s="1420"/>
      <c r="Y5" s="1420"/>
      <c r="Z5" s="1420"/>
      <c r="AA5" s="1420"/>
      <c r="AB5" s="1420"/>
    </row>
    <row r="6" spans="1:51" s="442" customFormat="1" ht="10.199999999999999" x14ac:dyDescent="0.2">
      <c r="A6" s="1263"/>
      <c r="B6" s="1263"/>
      <c r="C6" s="1421" t="s">
        <v>2290</v>
      </c>
      <c r="D6" s="1421" t="s">
        <v>801</v>
      </c>
      <c r="E6" s="1421" t="s">
        <v>2290</v>
      </c>
      <c r="F6" s="1421" t="s">
        <v>801</v>
      </c>
      <c r="G6" s="1263"/>
      <c r="H6" s="1421" t="s">
        <v>2290</v>
      </c>
      <c r="I6" s="1421" t="s">
        <v>801</v>
      </c>
      <c r="J6" s="1421" t="s">
        <v>2290</v>
      </c>
      <c r="K6" s="1421" t="s">
        <v>801</v>
      </c>
      <c r="L6" s="1422"/>
      <c r="M6" s="1421" t="s">
        <v>2290</v>
      </c>
      <c r="N6" s="1421" t="s">
        <v>801</v>
      </c>
      <c r="O6" s="1421" t="s">
        <v>2290</v>
      </c>
      <c r="P6" s="1421" t="s">
        <v>801</v>
      </c>
      <c r="AF6" s="387"/>
      <c r="AG6" s="1423"/>
      <c r="AI6" s="1423"/>
      <c r="AJ6" s="387"/>
      <c r="AK6" s="1423"/>
      <c r="AM6" s="1423"/>
      <c r="AN6" s="387"/>
      <c r="AO6" s="387"/>
      <c r="AP6" s="387"/>
      <c r="AQ6" s="387"/>
      <c r="AR6" s="387"/>
      <c r="AS6" s="387"/>
      <c r="AT6" s="387"/>
      <c r="AU6" s="387"/>
      <c r="AV6" s="387"/>
      <c r="AW6" s="387"/>
      <c r="AX6" s="387"/>
      <c r="AY6" s="387"/>
    </row>
    <row r="7" spans="1:51" s="442" customFormat="1" ht="10.199999999999999" x14ac:dyDescent="0.2">
      <c r="A7" s="443" t="s">
        <v>3</v>
      </c>
      <c r="B7" s="1424">
        <f>SUM(C7+E7)</f>
        <v>513</v>
      </c>
      <c r="C7" s="380">
        <f>SUM(C8:C9)</f>
        <v>513</v>
      </c>
      <c r="D7" s="902">
        <f>SUM(D8:D9)</f>
        <v>1</v>
      </c>
      <c r="E7" s="1425">
        <f t="shared" ref="E7:F7" si="0">SUM(E8:E9)</f>
        <v>0</v>
      </c>
      <c r="F7" s="1425">
        <f t="shared" si="0"/>
        <v>0</v>
      </c>
      <c r="G7" s="1425">
        <f>SUM(H7+J7)</f>
        <v>332</v>
      </c>
      <c r="H7" s="1426">
        <f t="shared" ref="H7:N7" si="1">SUM(H8:H9)</f>
        <v>202</v>
      </c>
      <c r="I7" s="902">
        <f>SUM(I8:I9)</f>
        <v>1</v>
      </c>
      <c r="J7" s="1425">
        <f t="shared" si="1"/>
        <v>130</v>
      </c>
      <c r="K7" s="902">
        <f>SUM(K8:K9)</f>
        <v>1</v>
      </c>
      <c r="L7" s="1427">
        <f>SUM(M7+O7)</f>
        <v>431</v>
      </c>
      <c r="M7" s="1426">
        <f t="shared" si="1"/>
        <v>303</v>
      </c>
      <c r="N7" s="902">
        <f t="shared" si="1"/>
        <v>1</v>
      </c>
      <c r="O7" s="1426">
        <f>SUM(O8:O9)</f>
        <v>128</v>
      </c>
      <c r="P7" s="902">
        <f>SUM(P8:P9)</f>
        <v>1</v>
      </c>
      <c r="Y7" s="1428"/>
      <c r="Z7" s="1428"/>
      <c r="AA7" s="1428"/>
      <c r="AB7" s="1428"/>
      <c r="AC7" s="1428"/>
      <c r="AE7" s="141"/>
      <c r="AF7" s="387"/>
      <c r="AG7" s="1423"/>
      <c r="AH7" s="1423"/>
      <c r="AI7" s="1423"/>
      <c r="AJ7" s="387"/>
      <c r="AK7" s="1423"/>
      <c r="AL7" s="1423"/>
      <c r="AM7" s="1423"/>
      <c r="AN7" s="387"/>
      <c r="AO7" s="1423"/>
      <c r="AP7" s="1423"/>
      <c r="AQ7" s="1423"/>
      <c r="AR7" s="141"/>
      <c r="AS7" s="1065"/>
      <c r="AT7" s="141"/>
      <c r="AU7" s="1423"/>
      <c r="AV7" s="387"/>
      <c r="AW7" s="1423"/>
      <c r="AX7" s="1286"/>
      <c r="AY7" s="1423"/>
    </row>
    <row r="8" spans="1:51" s="442" customFormat="1" ht="10.199999999999999" x14ac:dyDescent="0.2">
      <c r="A8" s="141" t="s">
        <v>3207</v>
      </c>
      <c r="B8" s="1424">
        <f t="shared" ref="B8:B9" si="2">SUM(C8+E8)</f>
        <v>508</v>
      </c>
      <c r="C8" s="387">
        <v>508</v>
      </c>
      <c r="D8" s="1423">
        <f>+C8/C7</f>
        <v>0.99025341130604283</v>
      </c>
      <c r="E8" s="1047">
        <v>0</v>
      </c>
      <c r="F8" s="1047">
        <v>0</v>
      </c>
      <c r="G8" s="1425">
        <f t="shared" ref="G8:G9" si="3">SUM(H8+J8)</f>
        <v>326</v>
      </c>
      <c r="H8" s="131">
        <v>196</v>
      </c>
      <c r="I8" s="1140">
        <v>0.97</v>
      </c>
      <c r="J8" s="131">
        <v>130</v>
      </c>
      <c r="K8" s="1140">
        <v>1</v>
      </c>
      <c r="L8" s="1427">
        <f t="shared" ref="L8:L9" si="4">SUM(M8+O8)</f>
        <v>424</v>
      </c>
      <c r="M8" s="122">
        <v>296</v>
      </c>
      <c r="N8" s="1140">
        <v>0.97699999999999998</v>
      </c>
      <c r="O8" s="1047">
        <v>128</v>
      </c>
      <c r="P8" s="1140">
        <v>1</v>
      </c>
      <c r="Y8" s="1423"/>
      <c r="Z8" s="1423"/>
      <c r="AA8" s="1423"/>
      <c r="AB8" s="1423"/>
      <c r="AC8" s="1423"/>
      <c r="AE8" s="141"/>
      <c r="AF8" s="387"/>
      <c r="AG8" s="1423"/>
      <c r="AH8" s="1423"/>
      <c r="AI8" s="1423"/>
      <c r="AJ8" s="387"/>
      <c r="AK8" s="1423"/>
      <c r="AL8" s="1423"/>
      <c r="AM8" s="1423"/>
      <c r="AN8" s="387"/>
      <c r="AO8" s="1423"/>
      <c r="AP8" s="1286"/>
      <c r="AQ8" s="1423"/>
      <c r="AR8" s="141"/>
      <c r="AS8" s="1065"/>
      <c r="AT8" s="141"/>
      <c r="AU8" s="1423"/>
      <c r="AV8" s="387"/>
      <c r="AW8" s="1423"/>
      <c r="AX8" s="1286"/>
      <c r="AY8" s="1423"/>
    </row>
    <row r="9" spans="1:51" s="442" customFormat="1" ht="10.199999999999999" x14ac:dyDescent="0.2">
      <c r="A9" s="141" t="s">
        <v>3208</v>
      </c>
      <c r="B9" s="1424">
        <f t="shared" si="2"/>
        <v>5</v>
      </c>
      <c r="C9" s="387">
        <v>5</v>
      </c>
      <c r="D9" s="1423">
        <f>+C9/C7</f>
        <v>9.7465886939571145E-3</v>
      </c>
      <c r="E9" s="1047">
        <v>0</v>
      </c>
      <c r="F9" s="1047">
        <v>0</v>
      </c>
      <c r="G9" s="1425">
        <f t="shared" si="3"/>
        <v>6</v>
      </c>
      <c r="H9" s="131">
        <v>6</v>
      </c>
      <c r="I9" s="1140">
        <v>0.03</v>
      </c>
      <c r="J9" s="1047">
        <v>0</v>
      </c>
      <c r="K9" s="1047">
        <v>0</v>
      </c>
      <c r="L9" s="1427">
        <f t="shared" si="4"/>
        <v>7</v>
      </c>
      <c r="M9" s="122">
        <v>7</v>
      </c>
      <c r="N9" s="1047">
        <v>2.3E-2</v>
      </c>
      <c r="O9" s="1047">
        <v>0</v>
      </c>
      <c r="P9" s="1047">
        <v>0</v>
      </c>
      <c r="Y9" s="1423"/>
      <c r="Z9" s="1423"/>
      <c r="AA9" s="1423"/>
      <c r="AB9" s="1423"/>
      <c r="AC9" s="1423"/>
      <c r="AE9" s="141"/>
      <c r="AF9" s="387"/>
      <c r="AG9" s="1423"/>
      <c r="AH9" s="1423"/>
      <c r="AI9" s="1423"/>
      <c r="AJ9" s="1429"/>
      <c r="AK9" s="1423"/>
      <c r="AM9" s="1423"/>
      <c r="AO9" s="1423"/>
    </row>
    <row r="10" spans="1:51" s="141" customFormat="1" ht="6.75" customHeight="1" x14ac:dyDescent="0.2"/>
    <row r="11" spans="1:51" s="714" customFormat="1" ht="11.25" customHeight="1" x14ac:dyDescent="0.2">
      <c r="A11" s="296" t="s">
        <v>19</v>
      </c>
      <c r="B11" s="296"/>
      <c r="C11" s="296"/>
      <c r="D11" s="296"/>
      <c r="E11" s="296"/>
      <c r="F11" s="296"/>
      <c r="G11" s="296"/>
      <c r="H11" s="296"/>
      <c r="I11" s="296"/>
      <c r="J11" s="296"/>
      <c r="K11" s="296"/>
      <c r="L11" s="296"/>
      <c r="M11" s="296"/>
    </row>
    <row r="12" spans="1:51" s="442" customFormat="1" ht="10.199999999999999" x14ac:dyDescent="0.2">
      <c r="A12" s="715" t="s">
        <v>3201</v>
      </c>
      <c r="B12" s="715"/>
      <c r="C12" s="715"/>
      <c r="D12" s="715"/>
      <c r="E12" s="715"/>
      <c r="F12" s="715"/>
      <c r="G12" s="715"/>
      <c r="H12" s="715"/>
      <c r="I12" s="715"/>
      <c r="J12" s="715"/>
      <c r="K12" s="715"/>
      <c r="L12" s="715"/>
      <c r="M12" s="715"/>
      <c r="N12" s="715"/>
      <c r="O12" s="1428"/>
      <c r="P12" s="1428"/>
      <c r="Q12" s="1428"/>
      <c r="R12" s="1428"/>
      <c r="S12" s="1428"/>
      <c r="T12" s="1428"/>
      <c r="U12" s="1428"/>
      <c r="V12" s="1428"/>
      <c r="W12" s="1428"/>
      <c r="X12" s="1428"/>
      <c r="Y12" s="1428"/>
      <c r="Z12" s="1428"/>
      <c r="AB12" s="141"/>
      <c r="AC12" s="1430"/>
      <c r="AD12" s="1430"/>
      <c r="AE12" s="1430"/>
      <c r="AF12" s="1429"/>
    </row>
    <row r="13" spans="1:51" s="442" customFormat="1" ht="10.199999999999999" x14ac:dyDescent="0.2">
      <c r="A13" s="141"/>
      <c r="B13" s="605"/>
      <c r="C13" s="1423"/>
      <c r="D13" s="1423"/>
      <c r="E13" s="1423"/>
      <c r="F13" s="1429"/>
      <c r="G13" s="1423"/>
      <c r="I13" s="1423"/>
      <c r="K13" s="1423"/>
      <c r="L13" s="1423"/>
      <c r="M13" s="1423"/>
      <c r="N13" s="1423"/>
      <c r="O13" s="1423"/>
      <c r="P13" s="1423"/>
      <c r="Q13" s="1423"/>
      <c r="R13" s="1423"/>
      <c r="S13" s="1423"/>
      <c r="T13" s="1423"/>
      <c r="U13" s="1423"/>
      <c r="V13" s="1423"/>
      <c r="W13" s="1423"/>
      <c r="X13" s="1423"/>
      <c r="Y13" s="1423"/>
      <c r="Z13" s="1423"/>
      <c r="AB13" s="141"/>
      <c r="AC13" s="1430"/>
      <c r="AD13" s="1430"/>
      <c r="AE13" s="1430"/>
      <c r="AF13" s="1429"/>
    </row>
    <row r="14" spans="1:51" s="442" customFormat="1" ht="10.199999999999999" x14ac:dyDescent="0.2">
      <c r="A14" s="141"/>
      <c r="B14" s="1430"/>
      <c r="C14" s="1430"/>
      <c r="D14" s="1430"/>
      <c r="E14" s="1429"/>
      <c r="AC14" s="665"/>
      <c r="AD14" s="665"/>
      <c r="AE14" s="665"/>
      <c r="AF14" s="665"/>
      <c r="AG14" s="665"/>
      <c r="AH14" s="665"/>
      <c r="AI14" s="665"/>
      <c r="AJ14" s="665"/>
      <c r="AK14" s="665"/>
      <c r="AL14" s="665"/>
      <c r="AM14" s="2"/>
      <c r="AN14" s="2"/>
      <c r="AO14" s="2"/>
      <c r="AP14" s="2"/>
      <c r="AQ14" s="2"/>
      <c r="AR14" s="2"/>
      <c r="AS14" s="2"/>
      <c r="AT14" s="2"/>
      <c r="AU14" s="2"/>
      <c r="AV14" s="2"/>
    </row>
  </sheetData>
  <mergeCells count="16">
    <mergeCell ref="J5:K5"/>
    <mergeCell ref="L5:L6"/>
    <mergeCell ref="M5:N5"/>
    <mergeCell ref="O5:P5"/>
    <mergeCell ref="A11:M11"/>
    <mergeCell ref="A12:N12"/>
    <mergeCell ref="A2:M2"/>
    <mergeCell ref="A4:A6"/>
    <mergeCell ref="B4:F4"/>
    <mergeCell ref="G4:K4"/>
    <mergeCell ref="L4:P4"/>
    <mergeCell ref="B5:B6"/>
    <mergeCell ref="C5:D5"/>
    <mergeCell ref="E5:F5"/>
    <mergeCell ref="G5:G6"/>
    <mergeCell ref="H5:I5"/>
  </mergeCells>
  <pageMargins left="0.7" right="0.7" top="0.75" bottom="0.75" header="0.3" footer="0.3"/>
  <pageSetup paperSize="14" scale="77" orientation="landscape" r:id="rId1"/>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07127F-3974-464C-8C0B-A70E4E3CFF86}">
  <sheetPr codeName="Hoja271"/>
  <dimension ref="A1:M17"/>
  <sheetViews>
    <sheetView workbookViewId="0">
      <selection activeCell="A4" sqref="A4:A6"/>
    </sheetView>
  </sheetViews>
  <sheetFormatPr baseColWidth="10" defaultRowHeight="13.2" x14ac:dyDescent="0.25"/>
  <cols>
    <col min="1" max="1" width="24.109375" customWidth="1"/>
    <col min="2" max="6" width="15.33203125" bestFit="1" customWidth="1"/>
  </cols>
  <sheetData>
    <row r="1" spans="1:13" x14ac:dyDescent="0.25">
      <c r="A1" s="1012"/>
    </row>
    <row r="2" spans="1:13" s="2" customFormat="1" ht="30" customHeight="1" x14ac:dyDescent="0.2">
      <c r="A2" s="308" t="s">
        <v>2910</v>
      </c>
      <c r="B2" s="308"/>
      <c r="C2" s="308"/>
      <c r="D2" s="308"/>
      <c r="E2" s="308"/>
      <c r="F2" s="308"/>
    </row>
    <row r="3" spans="1:13" s="2" customFormat="1" ht="10.199999999999999" x14ac:dyDescent="0.2">
      <c r="A3" s="24"/>
    </row>
    <row r="4" spans="1:13" s="2" customFormat="1" ht="22.5" customHeight="1" x14ac:dyDescent="0.2">
      <c r="A4" s="644" t="s">
        <v>3202</v>
      </c>
      <c r="B4" s="621">
        <v>2009</v>
      </c>
      <c r="C4" s="621">
        <v>2010</v>
      </c>
      <c r="D4" s="621">
        <v>2011</v>
      </c>
      <c r="E4" s="621">
        <v>2012</v>
      </c>
      <c r="F4" s="621">
        <v>2013</v>
      </c>
    </row>
    <row r="5" spans="1:13" s="2" customFormat="1" ht="10.199999999999999" x14ac:dyDescent="0.2">
      <c r="A5" s="712" t="s">
        <v>3</v>
      </c>
      <c r="B5" s="655">
        <f>SUM(B6:B11)</f>
        <v>38021998200</v>
      </c>
      <c r="C5" s="655">
        <f>SUM(C6:C11)</f>
        <v>41378327513</v>
      </c>
      <c r="D5" s="655">
        <f t="shared" ref="D5:F5" si="0">SUM(D6:D11)</f>
        <v>49805751320</v>
      </c>
      <c r="E5" s="655">
        <f>SUM(E6:E11)</f>
        <v>59262051629</v>
      </c>
      <c r="F5" s="655">
        <f t="shared" si="0"/>
        <v>61955346256</v>
      </c>
    </row>
    <row r="6" spans="1:13" s="2" customFormat="1" ht="10.199999999999999" x14ac:dyDescent="0.2">
      <c r="A6" s="682" t="s">
        <v>3204</v>
      </c>
      <c r="B6" s="643">
        <f>641555000+239362000+231455000+460511000+16349000+3555000+303502000+425998000</f>
        <v>2322287000</v>
      </c>
      <c r="C6" s="643">
        <f>310776250+221184332+105242300+81977500+72147598+52265950+1667000+145600+23300</f>
        <v>845429830</v>
      </c>
      <c r="D6" s="643">
        <f>995642801+526843473+481150152+273033382+162970700+102535200+64046050+31454856+10796400+2786000+81977500+122500+45000+30100</f>
        <v>2733434114</v>
      </c>
      <c r="E6" s="643">
        <f>5696822382+607040618+185490736+33271217+995642801+122500+10000</f>
        <v>7518400254</v>
      </c>
      <c r="F6" s="643">
        <f>2689528524+952220566+423481151+197650852+125059709+24471818+6062907+8922848+995642801+484531816+394619923+302717699</f>
        <v>6604910614</v>
      </c>
      <c r="H6" s="682"/>
      <c r="I6" s="643"/>
      <c r="J6" s="643"/>
      <c r="K6" s="643"/>
      <c r="L6" s="643"/>
      <c r="M6" s="643"/>
    </row>
    <row r="7" spans="1:13" s="2" customFormat="1" ht="10.199999999999999" x14ac:dyDescent="0.2">
      <c r="A7" s="682" t="s">
        <v>439</v>
      </c>
      <c r="B7" s="643">
        <f>38021998200-2322287000-124389700-74673000</f>
        <v>35500648500</v>
      </c>
      <c r="C7" s="643">
        <f>41305872513-845429830</f>
        <v>40460442683</v>
      </c>
      <c r="D7" s="643">
        <f>49805751320-2733434114-41600650</f>
        <v>47030716556</v>
      </c>
      <c r="E7" s="643">
        <f>59262051629-7518400254-94482944</f>
        <v>51649168431</v>
      </c>
      <c r="F7" s="643">
        <f>61542080368-6604910614</f>
        <v>54937169754</v>
      </c>
      <c r="H7" s="682"/>
      <c r="I7" s="643"/>
      <c r="J7" s="643"/>
      <c r="K7" s="643"/>
      <c r="L7" s="643"/>
      <c r="M7" s="643"/>
    </row>
    <row r="8" spans="1:13" s="2" customFormat="1" ht="10.199999999999999" x14ac:dyDescent="0.2">
      <c r="A8" s="682" t="s">
        <v>1235</v>
      </c>
      <c r="B8" s="643">
        <f>69754000+54635700</f>
        <v>124389700</v>
      </c>
      <c r="C8" s="643">
        <f>55029000+17426000</f>
        <v>72455000</v>
      </c>
      <c r="D8" s="643">
        <f>10603100+30952550+45000</f>
        <v>41600650</v>
      </c>
      <c r="E8" s="643">
        <f>71972740+22510204</f>
        <v>94482944</v>
      </c>
      <c r="F8" s="643">
        <f>85788959+12812397</f>
        <v>98601356</v>
      </c>
      <c r="H8" s="682"/>
      <c r="I8" s="643"/>
      <c r="J8" s="643"/>
      <c r="K8" s="643"/>
      <c r="L8" s="643"/>
      <c r="M8" s="643"/>
    </row>
    <row r="9" spans="1:13" s="2" customFormat="1" ht="10.199999999999999" x14ac:dyDescent="0.2">
      <c r="A9" s="682" t="s">
        <v>3209</v>
      </c>
      <c r="B9" s="643">
        <v>74673000</v>
      </c>
      <c r="C9" s="315">
        <v>0</v>
      </c>
      <c r="D9" s="315">
        <v>0</v>
      </c>
      <c r="E9" s="315">
        <v>0</v>
      </c>
      <c r="F9" s="643">
        <v>158414215</v>
      </c>
      <c r="H9" s="682"/>
      <c r="I9" s="643"/>
      <c r="J9" s="643"/>
      <c r="K9" s="643"/>
      <c r="L9" s="643"/>
      <c r="M9" s="643"/>
    </row>
    <row r="10" spans="1:13" s="2" customFormat="1" ht="12" x14ac:dyDescent="0.2">
      <c r="A10" s="682" t="s">
        <v>3210</v>
      </c>
      <c r="B10" s="650" t="s">
        <v>193</v>
      </c>
      <c r="C10" s="650" t="s">
        <v>193</v>
      </c>
      <c r="D10" s="650" t="s">
        <v>193</v>
      </c>
      <c r="E10" s="650" t="s">
        <v>193</v>
      </c>
      <c r="F10" s="650" t="s">
        <v>193</v>
      </c>
      <c r="H10" s="682"/>
      <c r="I10" s="643"/>
      <c r="J10" s="643"/>
      <c r="K10" s="643"/>
      <c r="L10" s="643"/>
      <c r="M10" s="643"/>
    </row>
    <row r="11" spans="1:13" s="2" customFormat="1" ht="10.199999999999999" x14ac:dyDescent="0.2">
      <c r="A11" s="682" t="s">
        <v>3211</v>
      </c>
      <c r="B11" s="315">
        <v>0</v>
      </c>
      <c r="C11" s="315">
        <v>0</v>
      </c>
      <c r="D11" s="315">
        <v>0</v>
      </c>
      <c r="E11" s="315">
        <v>0</v>
      </c>
      <c r="F11" s="643">
        <f>93550372+62632745+67200</f>
        <v>156250317</v>
      </c>
      <c r="H11" s="682"/>
      <c r="I11" s="643"/>
      <c r="J11" s="643"/>
      <c r="K11" s="643"/>
      <c r="L11" s="643"/>
      <c r="M11" s="643"/>
    </row>
    <row r="12" spans="1:13" s="2" customFormat="1" ht="5.25" customHeight="1" x14ac:dyDescent="0.2">
      <c r="A12" s="682"/>
      <c r="B12" s="315"/>
      <c r="C12" s="315"/>
      <c r="D12" s="315"/>
      <c r="E12" s="315"/>
      <c r="F12" s="643"/>
      <c r="H12" s="682"/>
      <c r="I12" s="643"/>
      <c r="J12" s="643"/>
      <c r="K12" s="643"/>
      <c r="L12" s="643"/>
      <c r="M12" s="643"/>
    </row>
    <row r="13" spans="1:13" s="2" customFormat="1" ht="22.5" customHeight="1" x14ac:dyDescent="0.2">
      <c r="A13" s="704" t="s">
        <v>3212</v>
      </c>
      <c r="B13" s="704"/>
      <c r="C13" s="704"/>
      <c r="D13" s="704"/>
      <c r="E13" s="704"/>
      <c r="F13" s="704"/>
      <c r="G13" s="705"/>
      <c r="H13" s="705"/>
      <c r="I13" s="643"/>
      <c r="J13" s="643"/>
      <c r="K13" s="643"/>
      <c r="L13" s="643"/>
      <c r="M13" s="643"/>
    </row>
    <row r="14" spans="1:13" s="714" customFormat="1" ht="12" customHeight="1" x14ac:dyDescent="0.2">
      <c r="A14" s="296" t="s">
        <v>19</v>
      </c>
      <c r="B14" s="296"/>
      <c r="C14" s="296"/>
      <c r="D14" s="296"/>
      <c r="E14" s="296"/>
      <c r="F14" s="296"/>
      <c r="G14" s="682"/>
      <c r="H14" s="682"/>
      <c r="J14" s="2"/>
    </row>
    <row r="15" spans="1:13" s="714" customFormat="1" ht="12" customHeight="1" x14ac:dyDescent="0.2">
      <c r="A15" s="704" t="s">
        <v>1313</v>
      </c>
      <c r="B15" s="704"/>
      <c r="C15" s="704"/>
      <c r="D15" s="704"/>
      <c r="E15" s="704"/>
      <c r="F15" s="704"/>
      <c r="G15" s="682"/>
      <c r="H15" s="682"/>
      <c r="J15" s="2"/>
    </row>
    <row r="16" spans="1:13" s="2" customFormat="1" ht="10.199999999999999" x14ac:dyDescent="0.2">
      <c r="A16" s="1405" t="s">
        <v>3195</v>
      </c>
      <c r="B16" s="1405"/>
      <c r="C16" s="1405"/>
      <c r="D16" s="1405"/>
      <c r="E16" s="1405"/>
      <c r="F16" s="1405"/>
    </row>
    <row r="17" s="2" customFormat="1" ht="10.199999999999999" x14ac:dyDescent="0.2"/>
  </sheetData>
  <mergeCells count="5">
    <mergeCell ref="A2:F2"/>
    <mergeCell ref="A13:F13"/>
    <mergeCell ref="A14:F14"/>
    <mergeCell ref="A15:F15"/>
    <mergeCell ref="A16:F16"/>
  </mergeCells>
  <pageMargins left="0.7" right="0.7" top="0.75" bottom="0.75" header="0.3" footer="0.3"/>
  <pageSetup paperSize="14" scale="90" orientation="landscape" r:id="rId1"/>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BDA43-CFFF-4BCC-9122-75B29728A25B}">
  <sheetPr codeName="Hoja272"/>
  <dimension ref="A1:AV203"/>
  <sheetViews>
    <sheetView workbookViewId="0">
      <selection activeCell="A4" sqref="A4:A6"/>
    </sheetView>
  </sheetViews>
  <sheetFormatPr baseColWidth="10" defaultColWidth="11.44140625" defaultRowHeight="10.199999999999999" x14ac:dyDescent="0.2"/>
  <cols>
    <col min="1" max="1" width="19.5546875" style="141" customWidth="1"/>
    <col min="2" max="2" width="10.88671875" style="141" customWidth="1"/>
    <col min="3" max="11" width="11.5546875" style="141" customWidth="1"/>
    <col min="12" max="12" width="9.6640625" style="141" customWidth="1"/>
    <col min="13" max="13" width="10" style="141" customWidth="1"/>
    <col min="14" max="14" width="10.44140625" style="141" customWidth="1"/>
    <col min="15" max="15" width="9.6640625" style="141" customWidth="1"/>
    <col min="16" max="16" width="10.5546875" style="141" customWidth="1"/>
    <col min="17" max="27" width="9.6640625" style="141" customWidth="1"/>
    <col min="28" max="28" width="19.44140625" style="141" customWidth="1"/>
    <col min="29" max="29" width="9" style="141" bestFit="1" customWidth="1"/>
    <col min="30" max="30" width="9.6640625" style="141" customWidth="1"/>
    <col min="31" max="31" width="9" style="141" bestFit="1" customWidth="1"/>
    <col min="32" max="32" width="9.6640625" style="141" bestFit="1" customWidth="1"/>
    <col min="33" max="33" width="9" style="141" bestFit="1" customWidth="1"/>
    <col min="34" max="34" width="10.6640625" style="141" customWidth="1"/>
    <col min="35" max="35" width="9" style="141" bestFit="1" customWidth="1"/>
    <col min="36" max="36" width="9.6640625" style="141" bestFit="1" customWidth="1"/>
    <col min="37" max="37" width="9" style="141" bestFit="1" customWidth="1"/>
    <col min="38" max="40" width="9.6640625" style="141" customWidth="1"/>
    <col min="41" max="41" width="7.44140625" style="141" bestFit="1" customWidth="1"/>
    <col min="42" max="42" width="9.6640625" style="141" customWidth="1"/>
    <col min="43" max="43" width="7.44140625" style="141" bestFit="1" customWidth="1"/>
    <col min="44" max="44" width="9.6640625" style="141" bestFit="1" customWidth="1"/>
    <col min="45" max="45" width="7.44140625" style="141" bestFit="1" customWidth="1"/>
    <col min="46" max="46" width="9.6640625" style="141" bestFit="1" customWidth="1"/>
    <col min="47" max="47" width="7.44140625" style="141" bestFit="1" customWidth="1"/>
    <col min="48" max="48" width="9.6640625" style="141" bestFit="1" customWidth="1"/>
    <col min="49" max="16384" width="11.44140625" style="141"/>
  </cols>
  <sheetData>
    <row r="1" spans="1:48" ht="13.2" x14ac:dyDescent="0.2">
      <c r="A1" s="1012"/>
      <c r="AB1" s="442"/>
    </row>
    <row r="2" spans="1:48" s="442" customFormat="1" ht="22.5" customHeight="1" x14ac:dyDescent="0.2">
      <c r="A2" s="308" t="s">
        <v>3213</v>
      </c>
      <c r="B2" s="308"/>
      <c r="C2" s="308"/>
      <c r="D2" s="308"/>
      <c r="E2" s="308"/>
      <c r="F2" s="308"/>
      <c r="G2" s="308"/>
      <c r="H2" s="308"/>
      <c r="I2" s="308"/>
      <c r="J2" s="308"/>
      <c r="K2" s="308"/>
      <c r="L2" s="2"/>
      <c r="M2" s="2"/>
      <c r="N2" s="2"/>
      <c r="O2" s="2"/>
      <c r="P2" s="2"/>
      <c r="Q2" s="2"/>
      <c r="R2" s="2"/>
      <c r="S2" s="2"/>
      <c r="T2" s="2"/>
      <c r="U2" s="2"/>
      <c r="AC2" s="1423"/>
      <c r="AD2" s="1423"/>
      <c r="AE2" s="1423"/>
      <c r="AF2" s="1423"/>
      <c r="AG2" s="1423"/>
      <c r="AH2" s="1423"/>
      <c r="AI2" s="1423"/>
      <c r="AJ2" s="1423"/>
      <c r="AK2" s="1423"/>
      <c r="AL2" s="1423"/>
      <c r="AM2" s="2"/>
      <c r="AN2" s="2"/>
      <c r="AO2" s="2"/>
      <c r="AP2" s="2"/>
      <c r="AQ2" s="2"/>
      <c r="AR2" s="2"/>
      <c r="AS2" s="2"/>
      <c r="AT2" s="2"/>
      <c r="AU2" s="2"/>
      <c r="AV2" s="2"/>
    </row>
    <row r="3" spans="1:48" s="442" customFormat="1" x14ac:dyDescent="0.2">
      <c r="A3" s="2"/>
      <c r="B3" s="2"/>
      <c r="C3" s="2"/>
      <c r="D3" s="2"/>
      <c r="E3" s="2"/>
      <c r="F3" s="2"/>
      <c r="G3" s="2"/>
      <c r="H3" s="2"/>
      <c r="I3" s="2"/>
      <c r="J3" s="2"/>
      <c r="L3" s="2"/>
      <c r="M3" s="1423"/>
      <c r="N3" s="1423"/>
      <c r="O3" s="1423"/>
      <c r="P3" s="1431"/>
      <c r="V3" s="2"/>
      <c r="AB3" s="141"/>
      <c r="AC3" s="1423"/>
      <c r="AD3" s="1423"/>
      <c r="AE3" s="1423"/>
      <c r="AF3" s="1423"/>
      <c r="AG3" s="1423"/>
      <c r="AH3" s="1423"/>
      <c r="AI3" s="1432"/>
      <c r="AJ3" s="1423"/>
      <c r="AK3" s="1423"/>
      <c r="AL3" s="1423"/>
      <c r="AM3" s="2"/>
      <c r="AN3" s="2"/>
      <c r="AO3" s="2"/>
      <c r="AP3" s="2"/>
      <c r="AQ3" s="2"/>
      <c r="AR3" s="2"/>
      <c r="AS3" s="2"/>
      <c r="AT3" s="2"/>
      <c r="AU3" s="2"/>
      <c r="AV3" s="2"/>
    </row>
    <row r="4" spans="1:48" s="442" customFormat="1" ht="12.75" customHeight="1" x14ac:dyDescent="0.2">
      <c r="A4" s="653" t="s">
        <v>3214</v>
      </c>
      <c r="B4" s="748">
        <v>2009</v>
      </c>
      <c r="C4" s="748"/>
      <c r="D4" s="748">
        <v>2010</v>
      </c>
      <c r="E4" s="748"/>
      <c r="F4" s="748">
        <v>2011</v>
      </c>
      <c r="G4" s="748"/>
      <c r="H4" s="748">
        <v>2012</v>
      </c>
      <c r="I4" s="748"/>
      <c r="J4" s="748">
        <v>2013</v>
      </c>
      <c r="K4" s="748"/>
      <c r="L4" s="2"/>
      <c r="M4" s="2"/>
      <c r="N4" s="2"/>
      <c r="O4" s="2"/>
      <c r="P4" s="2"/>
      <c r="Q4" s="2"/>
      <c r="R4" s="2"/>
      <c r="S4" s="2"/>
      <c r="T4" s="2"/>
      <c r="U4" s="2"/>
      <c r="V4" s="2"/>
      <c r="AB4" s="141"/>
      <c r="AC4" s="1423"/>
      <c r="AD4" s="1423"/>
      <c r="AE4" s="1423"/>
      <c r="AF4" s="1423"/>
      <c r="AG4" s="1423"/>
      <c r="AH4" s="1423"/>
      <c r="AI4" s="1432"/>
      <c r="AJ4" s="1423"/>
      <c r="AK4" s="1423"/>
      <c r="AL4" s="1423"/>
      <c r="AM4" s="2"/>
      <c r="AN4" s="2"/>
      <c r="AO4" s="2"/>
      <c r="AP4" s="2"/>
      <c r="AQ4" s="2"/>
      <c r="AR4" s="2"/>
      <c r="AS4" s="2"/>
      <c r="AT4" s="2"/>
      <c r="AU4" s="2"/>
      <c r="AV4" s="2"/>
    </row>
    <row r="5" spans="1:48" s="442" customFormat="1" x14ac:dyDescent="0.2">
      <c r="A5" s="887"/>
      <c r="B5" s="621" t="s">
        <v>2354</v>
      </c>
      <c r="C5" s="621" t="s">
        <v>3206</v>
      </c>
      <c r="D5" s="621" t="s">
        <v>2354</v>
      </c>
      <c r="E5" s="621" t="s">
        <v>3206</v>
      </c>
      <c r="F5" s="621" t="s">
        <v>2354</v>
      </c>
      <c r="G5" s="621" t="s">
        <v>3206</v>
      </c>
      <c r="H5" s="621" t="s">
        <v>2354</v>
      </c>
      <c r="I5" s="621" t="s">
        <v>3206</v>
      </c>
      <c r="J5" s="621" t="s">
        <v>2354</v>
      </c>
      <c r="K5" s="621" t="s">
        <v>3206</v>
      </c>
      <c r="AB5" s="722"/>
      <c r="AC5" s="485"/>
      <c r="AD5" s="485"/>
      <c r="AE5" s="485"/>
      <c r="AF5" s="485"/>
      <c r="AG5" s="485"/>
      <c r="AH5" s="485"/>
    </row>
    <row r="6" spans="1:48" s="442" customFormat="1" x14ac:dyDescent="0.2">
      <c r="A6" s="654"/>
      <c r="B6" s="1433" t="s">
        <v>801</v>
      </c>
      <c r="C6" s="1433" t="s">
        <v>801</v>
      </c>
      <c r="D6" s="1433" t="s">
        <v>801</v>
      </c>
      <c r="E6" s="1433" t="s">
        <v>801</v>
      </c>
      <c r="F6" s="1433" t="s">
        <v>801</v>
      </c>
      <c r="G6" s="1433" t="s">
        <v>801</v>
      </c>
      <c r="H6" s="1433" t="s">
        <v>801</v>
      </c>
      <c r="I6" s="1433" t="s">
        <v>801</v>
      </c>
      <c r="J6" s="1433" t="s">
        <v>801</v>
      </c>
      <c r="K6" s="1433" t="s">
        <v>801</v>
      </c>
      <c r="M6" s="665"/>
      <c r="N6" s="665"/>
      <c r="O6" s="665"/>
      <c r="P6" s="665"/>
      <c r="Q6" s="665"/>
      <c r="R6" s="665"/>
      <c r="S6" s="665"/>
      <c r="T6" s="665"/>
      <c r="U6" s="665"/>
      <c r="V6" s="665"/>
      <c r="AB6" s="141"/>
      <c r="AC6" s="485"/>
      <c r="AD6" s="485"/>
      <c r="AE6" s="485"/>
      <c r="AF6" s="485"/>
      <c r="AG6" s="485"/>
    </row>
    <row r="7" spans="1:48" s="442" customFormat="1" x14ac:dyDescent="0.2">
      <c r="A7" s="443" t="s">
        <v>3</v>
      </c>
      <c r="B7" s="1428">
        <f>SUM(B8:B9)</f>
        <v>1</v>
      </c>
      <c r="C7" s="1047">
        <v>0</v>
      </c>
      <c r="D7" s="1428">
        <f>SUM(D8:D9)</f>
        <v>1</v>
      </c>
      <c r="E7" s="1047">
        <v>0</v>
      </c>
      <c r="F7" s="1428">
        <f>SUM(F8:F9)</f>
        <v>1</v>
      </c>
      <c r="G7" s="1428">
        <f>SUM(G8:G9)</f>
        <v>1</v>
      </c>
      <c r="H7" s="1428">
        <f>SUM(H8:H9)</f>
        <v>1</v>
      </c>
      <c r="I7" s="1428">
        <f t="shared" ref="I7:K7" si="0">SUM(I8:I9)</f>
        <v>1</v>
      </c>
      <c r="J7" s="1428">
        <f t="shared" si="0"/>
        <v>1</v>
      </c>
      <c r="K7" s="1428">
        <f t="shared" si="0"/>
        <v>1</v>
      </c>
    </row>
    <row r="8" spans="1:48" s="442" customFormat="1" x14ac:dyDescent="0.2">
      <c r="A8" s="141" t="s">
        <v>3207</v>
      </c>
      <c r="B8" s="1423">
        <v>0.93500000000000005</v>
      </c>
      <c r="C8" s="1047">
        <v>0</v>
      </c>
      <c r="D8" s="1423">
        <v>0.98561103327527044</v>
      </c>
      <c r="E8" s="1047">
        <v>0</v>
      </c>
      <c r="F8" s="1423">
        <v>0.99199999999999999</v>
      </c>
      <c r="G8" s="1423">
        <v>1</v>
      </c>
      <c r="H8" s="1432">
        <v>0.96078433652562589</v>
      </c>
      <c r="I8" s="1423">
        <v>1</v>
      </c>
      <c r="J8" s="1423">
        <v>0.98299999999999998</v>
      </c>
      <c r="K8" s="1423">
        <v>1</v>
      </c>
      <c r="M8" s="1423"/>
      <c r="N8" s="1423"/>
      <c r="O8" s="1423"/>
      <c r="P8" s="1423"/>
      <c r="Q8" s="1423"/>
      <c r="R8" s="1423"/>
      <c r="S8" s="1423"/>
      <c r="T8" s="1423"/>
      <c r="U8" s="1423"/>
      <c r="V8" s="1423"/>
    </row>
    <row r="9" spans="1:48" s="442" customFormat="1" ht="12" customHeight="1" x14ac:dyDescent="0.2">
      <c r="A9" s="141" t="s">
        <v>3208</v>
      </c>
      <c r="B9" s="1423">
        <v>6.5000000000000002E-2</v>
      </c>
      <c r="C9" s="1047">
        <v>0</v>
      </c>
      <c r="D9" s="1423">
        <v>1.4388966724729613E-2</v>
      </c>
      <c r="E9" s="1047">
        <v>0</v>
      </c>
      <c r="F9" s="1423">
        <v>8.0000000000000002E-3</v>
      </c>
      <c r="G9" s="1047">
        <v>0</v>
      </c>
      <c r="H9" s="1432">
        <v>3.9215663474374059E-2</v>
      </c>
      <c r="I9" s="1047">
        <v>0</v>
      </c>
      <c r="J9" s="1423">
        <v>1.7000000000000001E-2</v>
      </c>
      <c r="K9" s="1047">
        <v>0</v>
      </c>
      <c r="L9" s="141"/>
      <c r="M9" s="1423"/>
      <c r="N9" s="1423"/>
      <c r="O9" s="1423"/>
      <c r="P9" s="1423"/>
      <c r="Q9" s="1423"/>
      <c r="R9" s="1423"/>
      <c r="S9" s="1431"/>
      <c r="T9" s="1423"/>
      <c r="U9" s="1423"/>
      <c r="V9" s="1423"/>
    </row>
    <row r="10" spans="1:48" s="442" customFormat="1" ht="4.5" customHeight="1" x14ac:dyDescent="0.2">
      <c r="A10" s="141"/>
      <c r="B10" s="1423"/>
      <c r="C10" s="1047"/>
      <c r="D10" s="1423"/>
      <c r="E10" s="1047"/>
      <c r="F10" s="1423"/>
      <c r="G10" s="1047"/>
      <c r="H10" s="1432"/>
      <c r="I10" s="1047"/>
      <c r="J10" s="1423"/>
      <c r="K10" s="1047"/>
      <c r="L10" s="141"/>
      <c r="M10" s="1423"/>
      <c r="N10" s="1423"/>
      <c r="O10" s="1423"/>
      <c r="P10" s="1423"/>
      <c r="Q10" s="1423"/>
      <c r="R10" s="1423"/>
      <c r="S10" s="1431"/>
      <c r="T10" s="1423"/>
      <c r="U10" s="1423"/>
      <c r="V10" s="1423"/>
    </row>
    <row r="11" spans="1:48" s="442" customFormat="1" x14ac:dyDescent="0.2">
      <c r="A11" s="715" t="s">
        <v>3215</v>
      </c>
      <c r="B11" s="715"/>
      <c r="C11" s="715"/>
      <c r="D11" s="715"/>
      <c r="E11" s="715"/>
      <c r="F11" s="715"/>
      <c r="G11" s="715"/>
      <c r="H11" s="715"/>
      <c r="I11" s="715"/>
      <c r="J11" s="715"/>
      <c r="K11" s="715"/>
      <c r="L11" s="141"/>
      <c r="M11" s="1423"/>
      <c r="N11" s="1423"/>
      <c r="O11" s="1423"/>
      <c r="P11" s="1423"/>
      <c r="Q11" s="1423"/>
      <c r="R11" s="1423"/>
      <c r="S11" s="1431"/>
      <c r="T11" s="1423"/>
      <c r="U11" s="1423"/>
      <c r="V11" s="1423"/>
    </row>
    <row r="12" spans="1:48" s="442" customFormat="1" ht="12" customHeight="1" x14ac:dyDescent="0.2">
      <c r="A12" s="715" t="s">
        <v>3201</v>
      </c>
      <c r="B12" s="715"/>
      <c r="C12" s="715"/>
      <c r="D12" s="715"/>
      <c r="E12" s="715"/>
      <c r="F12" s="715"/>
      <c r="G12" s="715"/>
      <c r="H12" s="715"/>
      <c r="I12" s="715"/>
      <c r="J12" s="715"/>
      <c r="K12" s="715"/>
    </row>
    <row r="13" spans="1:48" s="442" customFormat="1" ht="12" customHeight="1" x14ac:dyDescent="0.2">
      <c r="A13" s="141"/>
      <c r="B13" s="1423"/>
      <c r="C13" s="1423"/>
      <c r="D13" s="1423"/>
      <c r="E13" s="1432"/>
    </row>
    <row r="14" spans="1:48" s="442" customFormat="1" ht="20.25" customHeight="1" x14ac:dyDescent="0.2"/>
    <row r="15" spans="1:48" s="442" customFormat="1" x14ac:dyDescent="0.2"/>
    <row r="16" spans="1:48" s="442" customFormat="1" ht="25.5" customHeight="1" x14ac:dyDescent="0.2">
      <c r="A16" s="1434"/>
      <c r="B16" s="1434"/>
      <c r="C16" s="1434"/>
      <c r="D16" s="1434"/>
      <c r="E16" s="1434"/>
      <c r="F16" s="1434"/>
      <c r="G16" s="624"/>
      <c r="H16" s="624"/>
      <c r="I16" s="624"/>
      <c r="J16" s="624"/>
      <c r="M16" s="2"/>
      <c r="N16" s="2"/>
      <c r="O16" s="2"/>
      <c r="P16" s="2"/>
      <c r="Q16" s="2"/>
      <c r="R16" s="2"/>
      <c r="S16" s="2"/>
      <c r="T16" s="2"/>
      <c r="U16" s="2"/>
      <c r="V16" s="2"/>
    </row>
    <row r="17" spans="1:48" s="442" customFormat="1" ht="10.5" customHeight="1" x14ac:dyDescent="0.2">
      <c r="A17" s="2"/>
      <c r="B17" s="2"/>
      <c r="C17" s="2"/>
      <c r="D17" s="2"/>
      <c r="E17" s="2"/>
      <c r="F17" s="2"/>
      <c r="G17" s="2"/>
      <c r="H17" s="2"/>
      <c r="I17" s="2"/>
      <c r="J17" s="2"/>
      <c r="M17" s="2"/>
      <c r="N17" s="2"/>
      <c r="O17" s="2"/>
      <c r="P17" s="2"/>
      <c r="Q17" s="2"/>
      <c r="R17" s="2"/>
      <c r="S17" s="2"/>
      <c r="T17" s="2"/>
      <c r="U17" s="2"/>
      <c r="V17" s="2"/>
    </row>
    <row r="18" spans="1:48" s="442" customFormat="1" x14ac:dyDescent="0.2">
      <c r="A18" s="337"/>
      <c r="B18" s="337"/>
      <c r="C18" s="337"/>
      <c r="D18" s="337"/>
      <c r="E18" s="337"/>
      <c r="F18" s="337"/>
      <c r="G18" s="2"/>
      <c r="H18" s="2"/>
      <c r="I18" s="2"/>
      <c r="J18" s="2"/>
      <c r="N18" s="2"/>
      <c r="O18" s="2"/>
      <c r="P18" s="2"/>
      <c r="Q18" s="2"/>
      <c r="R18" s="2"/>
      <c r="S18" s="2"/>
      <c r="T18" s="2"/>
      <c r="U18" s="2"/>
      <c r="V18" s="2"/>
    </row>
    <row r="19" spans="1:48" s="442" customFormat="1" x14ac:dyDescent="0.2">
      <c r="A19" s="337"/>
      <c r="B19" s="637"/>
      <c r="C19" s="637"/>
      <c r="D19" s="637"/>
      <c r="E19" s="637"/>
      <c r="F19" s="637"/>
      <c r="G19" s="2"/>
      <c r="H19" s="2"/>
      <c r="I19" s="2"/>
      <c r="J19" s="2"/>
      <c r="N19" s="2"/>
      <c r="O19" s="2"/>
      <c r="P19" s="2"/>
      <c r="Q19" s="2"/>
      <c r="R19" s="2"/>
      <c r="S19" s="2"/>
      <c r="T19" s="2"/>
      <c r="U19" s="2"/>
      <c r="V19" s="2"/>
    </row>
    <row r="20" spans="1:48" s="442" customFormat="1" x14ac:dyDescent="0.2">
      <c r="A20" s="443"/>
      <c r="B20" s="2"/>
      <c r="C20" s="2"/>
      <c r="D20" s="2"/>
      <c r="E20" s="2"/>
      <c r="F20" s="2"/>
      <c r="G20" s="2"/>
      <c r="H20" s="2"/>
      <c r="I20" s="2"/>
      <c r="J20" s="2"/>
      <c r="N20" s="2"/>
      <c r="O20" s="2"/>
      <c r="P20" s="2"/>
      <c r="Q20" s="2"/>
      <c r="R20" s="2"/>
      <c r="S20" s="2"/>
      <c r="T20" s="2"/>
      <c r="U20" s="2"/>
      <c r="V20" s="2"/>
    </row>
    <row r="21" spans="1:48" s="442" customFormat="1" ht="5.25" customHeight="1" x14ac:dyDescent="0.2">
      <c r="A21" s="664"/>
      <c r="B21" s="24"/>
      <c r="C21" s="24"/>
      <c r="D21" s="24"/>
      <c r="E21" s="2"/>
      <c r="F21" s="2"/>
      <c r="G21" s="2"/>
      <c r="H21" s="2"/>
      <c r="I21" s="2"/>
      <c r="J21" s="2"/>
      <c r="M21" s="2"/>
      <c r="N21" s="2"/>
      <c r="O21" s="2"/>
      <c r="P21" s="2"/>
      <c r="Q21" s="2"/>
      <c r="R21" s="2"/>
      <c r="S21" s="2"/>
      <c r="T21" s="2"/>
      <c r="U21" s="2"/>
      <c r="V21" s="2"/>
    </row>
    <row r="22" spans="1:48" s="442" customFormat="1" x14ac:dyDescent="0.2">
      <c r="A22" s="141"/>
      <c r="B22" s="141"/>
      <c r="C22" s="141"/>
      <c r="D22" s="141"/>
      <c r="E22" s="141"/>
      <c r="F22" s="141"/>
      <c r="M22" s="2"/>
      <c r="N22" s="2"/>
      <c r="O22" s="2"/>
      <c r="P22" s="2"/>
      <c r="Q22" s="2"/>
      <c r="R22" s="2"/>
      <c r="S22" s="2"/>
      <c r="T22" s="2"/>
      <c r="U22" s="2"/>
      <c r="V22" s="2"/>
    </row>
    <row r="23" spans="1:48" s="442" customFormat="1" x14ac:dyDescent="0.2">
      <c r="M23" s="141"/>
    </row>
    <row r="24" spans="1:48" s="442" customFormat="1" x14ac:dyDescent="0.2">
      <c r="AB24" s="1435"/>
      <c r="AC24" s="1435"/>
      <c r="AD24" s="1435"/>
    </row>
    <row r="25" spans="1:48" x14ac:dyDescent="0.2">
      <c r="AB25" s="1436"/>
      <c r="AC25" s="1437"/>
      <c r="AD25" s="1099"/>
      <c r="AE25" s="442"/>
      <c r="AF25" s="442"/>
      <c r="AG25" s="442"/>
      <c r="AH25" s="442"/>
      <c r="AI25" s="442"/>
      <c r="AJ25" s="442"/>
      <c r="AK25" s="442"/>
      <c r="AL25" s="442"/>
      <c r="AM25" s="442"/>
      <c r="AN25" s="442"/>
      <c r="AO25" s="442"/>
      <c r="AP25" s="442"/>
      <c r="AQ25" s="442"/>
      <c r="AR25" s="442"/>
      <c r="AS25" s="442"/>
      <c r="AT25" s="442"/>
      <c r="AU25" s="442"/>
      <c r="AV25" s="442"/>
    </row>
    <row r="26" spans="1:48" s="442" customFormat="1" ht="12.75" customHeight="1" x14ac:dyDescent="0.2">
      <c r="AB26" s="1436"/>
      <c r="AC26" s="1437"/>
      <c r="AD26" s="1099"/>
    </row>
    <row r="27" spans="1:48" s="442" customFormat="1" x14ac:dyDescent="0.2">
      <c r="AB27" s="1436"/>
      <c r="AC27" s="1437"/>
      <c r="AD27" s="1099"/>
    </row>
    <row r="28" spans="1:48" s="442" customFormat="1" x14ac:dyDescent="0.2">
      <c r="AB28" s="1436"/>
      <c r="AC28" s="1437"/>
      <c r="AD28" s="1099"/>
    </row>
    <row r="29" spans="1:48" s="442" customFormat="1" x14ac:dyDescent="0.2">
      <c r="AB29" s="1436"/>
      <c r="AC29" s="1437"/>
      <c r="AD29" s="1099"/>
    </row>
    <row r="30" spans="1:48" s="442" customFormat="1" x14ac:dyDescent="0.2">
      <c r="AB30" s="1436"/>
      <c r="AC30" s="1437"/>
      <c r="AD30" s="1099"/>
    </row>
    <row r="31" spans="1:48" s="442" customFormat="1" x14ac:dyDescent="0.2">
      <c r="AB31" s="1436"/>
      <c r="AC31" s="1437"/>
      <c r="AD31" s="1099"/>
    </row>
    <row r="32" spans="1:48" s="442" customFormat="1" x14ac:dyDescent="0.2"/>
    <row r="33" spans="1:3" s="442" customFormat="1" x14ac:dyDescent="0.2"/>
    <row r="34" spans="1:3" s="442" customFormat="1" x14ac:dyDescent="0.2"/>
    <row r="35" spans="1:3" s="442" customFormat="1" x14ac:dyDescent="0.2"/>
    <row r="36" spans="1:3" s="442" customFormat="1" x14ac:dyDescent="0.2"/>
    <row r="37" spans="1:3" s="442" customFormat="1" x14ac:dyDescent="0.2">
      <c r="A37" s="1435"/>
      <c r="B37" s="1435"/>
      <c r="C37" s="1435"/>
    </row>
    <row r="38" spans="1:3" s="442" customFormat="1" x14ac:dyDescent="0.2">
      <c r="A38" s="1435"/>
      <c r="B38" s="1435"/>
      <c r="C38" s="1435"/>
    </row>
    <row r="39" spans="1:3" s="442" customFormat="1" x14ac:dyDescent="0.2">
      <c r="A39" s="1435"/>
      <c r="B39" s="1438"/>
      <c r="C39" s="443"/>
    </row>
    <row r="40" spans="1:3" s="442" customFormat="1" x14ac:dyDescent="0.2">
      <c r="A40" s="1436"/>
      <c r="B40" s="1437"/>
      <c r="C40" s="1439"/>
    </row>
    <row r="41" spans="1:3" s="442" customFormat="1" x14ac:dyDescent="0.2">
      <c r="A41" s="1436"/>
      <c r="B41" s="1437"/>
      <c r="C41" s="1439"/>
    </row>
    <row r="42" spans="1:3" s="442" customFormat="1" x14ac:dyDescent="0.2">
      <c r="A42" s="1436"/>
      <c r="B42" s="1437"/>
      <c r="C42" s="1439"/>
    </row>
    <row r="43" spans="1:3" s="442" customFormat="1" x14ac:dyDescent="0.2">
      <c r="A43" s="1436"/>
      <c r="B43" s="1437"/>
      <c r="C43" s="1439"/>
    </row>
    <row r="44" spans="1:3" s="442" customFormat="1" x14ac:dyDescent="0.2">
      <c r="A44" s="1436"/>
      <c r="B44" s="1437"/>
      <c r="C44" s="1439"/>
    </row>
    <row r="45" spans="1:3" s="442" customFormat="1" x14ac:dyDescent="0.2">
      <c r="A45" s="1436"/>
      <c r="B45" s="1437"/>
      <c r="C45" s="1439"/>
    </row>
    <row r="46" spans="1:3" s="442" customFormat="1" x14ac:dyDescent="0.2">
      <c r="A46" s="1436"/>
      <c r="B46" s="1437"/>
      <c r="C46" s="1439"/>
    </row>
    <row r="47" spans="1:3" s="442" customFormat="1" x14ac:dyDescent="0.2">
      <c r="A47" s="1436"/>
      <c r="B47" s="1437"/>
      <c r="C47" s="1439"/>
    </row>
    <row r="48" spans="1:3" s="442" customFormat="1" x14ac:dyDescent="0.2">
      <c r="A48" s="1436"/>
      <c r="B48" s="1437"/>
      <c r="C48" s="1439"/>
    </row>
    <row r="49" spans="1:3" s="442" customFormat="1" x14ac:dyDescent="0.2">
      <c r="A49" s="1436"/>
      <c r="B49" s="1437"/>
      <c r="C49" s="1439"/>
    </row>
    <row r="50" spans="1:3" s="442" customFormat="1" x14ac:dyDescent="0.2">
      <c r="A50" s="1436"/>
      <c r="B50" s="1437"/>
      <c r="C50" s="1439"/>
    </row>
    <row r="51" spans="1:3" s="442" customFormat="1" x14ac:dyDescent="0.2">
      <c r="A51" s="1436"/>
      <c r="B51" s="1437"/>
      <c r="C51" s="1439"/>
    </row>
    <row r="52" spans="1:3" s="442" customFormat="1" x14ac:dyDescent="0.2">
      <c r="A52" s="1436"/>
      <c r="B52" s="1437"/>
      <c r="C52" s="1439"/>
    </row>
    <row r="53" spans="1:3" s="442" customFormat="1" x14ac:dyDescent="0.2"/>
    <row r="54" spans="1:3" s="442" customFormat="1" x14ac:dyDescent="0.2"/>
    <row r="55" spans="1:3" s="442" customFormat="1" x14ac:dyDescent="0.2"/>
    <row r="56" spans="1:3" s="442" customFormat="1" x14ac:dyDescent="0.2"/>
    <row r="57" spans="1:3" s="442" customFormat="1" x14ac:dyDescent="0.2"/>
    <row r="58" spans="1:3" s="442" customFormat="1" x14ac:dyDescent="0.2"/>
    <row r="59" spans="1:3" s="442" customFormat="1" x14ac:dyDescent="0.2"/>
    <row r="60" spans="1:3" s="442" customFormat="1" x14ac:dyDescent="0.2"/>
    <row r="61" spans="1:3" s="442" customFormat="1" x14ac:dyDescent="0.2"/>
    <row r="62" spans="1:3" s="442" customFormat="1" x14ac:dyDescent="0.2"/>
    <row r="63" spans="1:3" s="442" customFormat="1" x14ac:dyDescent="0.2"/>
    <row r="64" spans="1:3" s="442" customFormat="1" x14ac:dyDescent="0.2"/>
    <row r="65" s="442" customFormat="1" x14ac:dyDescent="0.2"/>
    <row r="66" s="442" customFormat="1" x14ac:dyDescent="0.2"/>
    <row r="67" s="442" customFormat="1" x14ac:dyDescent="0.2"/>
    <row r="68" s="442" customFormat="1" x14ac:dyDescent="0.2"/>
    <row r="69" s="442" customFormat="1" x14ac:dyDescent="0.2"/>
    <row r="70" s="442" customFormat="1" x14ac:dyDescent="0.2"/>
    <row r="71" s="442" customFormat="1" x14ac:dyDescent="0.2"/>
    <row r="72" s="442" customFormat="1" x14ac:dyDescent="0.2"/>
    <row r="73" s="442" customFormat="1" x14ac:dyDescent="0.2"/>
    <row r="74" s="442" customFormat="1" x14ac:dyDescent="0.2"/>
    <row r="75" s="442" customFormat="1" x14ac:dyDescent="0.2"/>
    <row r="76" s="442" customFormat="1" x14ac:dyDescent="0.2"/>
    <row r="77" s="442" customFormat="1" x14ac:dyDescent="0.2"/>
    <row r="78" s="442" customFormat="1" x14ac:dyDescent="0.2"/>
    <row r="79" s="442" customFormat="1" x14ac:dyDescent="0.2"/>
    <row r="80" s="442" customFormat="1" x14ac:dyDescent="0.2"/>
    <row r="81" s="442" customFormat="1" x14ac:dyDescent="0.2"/>
    <row r="82" s="442" customFormat="1" x14ac:dyDescent="0.2"/>
    <row r="83" s="442" customFormat="1" x14ac:dyDescent="0.2"/>
    <row r="84" s="442" customFormat="1" x14ac:dyDescent="0.2"/>
    <row r="85" s="442" customFormat="1" x14ac:dyDescent="0.2"/>
    <row r="86" s="442" customFormat="1" x14ac:dyDescent="0.2"/>
    <row r="87" s="442" customFormat="1" x14ac:dyDescent="0.2"/>
    <row r="88" s="442" customFormat="1" x14ac:dyDescent="0.2"/>
    <row r="89" s="442" customFormat="1" x14ac:dyDescent="0.2"/>
    <row r="90" s="442" customFormat="1" x14ac:dyDescent="0.2"/>
    <row r="91" s="442" customFormat="1" x14ac:dyDescent="0.2"/>
    <row r="92" s="442" customFormat="1" x14ac:dyDescent="0.2"/>
    <row r="93" s="442" customFormat="1" x14ac:dyDescent="0.2"/>
    <row r="94" s="442" customFormat="1" x14ac:dyDescent="0.2"/>
    <row r="95" s="442" customFormat="1" x14ac:dyDescent="0.2"/>
    <row r="96" s="442" customFormat="1" x14ac:dyDescent="0.2"/>
    <row r="97" s="442" customFormat="1" x14ac:dyDescent="0.2"/>
    <row r="98" s="442" customFormat="1" x14ac:dyDescent="0.2"/>
    <row r="99" s="442" customFormat="1" x14ac:dyDescent="0.2"/>
    <row r="100" s="442" customFormat="1" x14ac:dyDescent="0.2"/>
    <row r="101" s="442" customFormat="1" x14ac:dyDescent="0.2"/>
    <row r="102" s="442" customFormat="1" x14ac:dyDescent="0.2"/>
    <row r="103" s="442" customFormat="1" x14ac:dyDescent="0.2"/>
    <row r="104" s="442" customFormat="1" x14ac:dyDescent="0.2"/>
    <row r="105" s="442" customFormat="1" x14ac:dyDescent="0.2"/>
    <row r="106" s="442" customFormat="1" x14ac:dyDescent="0.2"/>
    <row r="107" s="442" customFormat="1" x14ac:dyDescent="0.2"/>
    <row r="108" s="442" customFormat="1" x14ac:dyDescent="0.2"/>
    <row r="109" s="442" customFormat="1" x14ac:dyDescent="0.2"/>
    <row r="110" s="442" customFormat="1" x14ac:dyDescent="0.2"/>
    <row r="111" s="442" customFormat="1" x14ac:dyDescent="0.2"/>
    <row r="112" s="442" customFormat="1" x14ac:dyDescent="0.2"/>
    <row r="113" s="442" customFormat="1" x14ac:dyDescent="0.2"/>
    <row r="114" s="442" customFormat="1" x14ac:dyDescent="0.2"/>
    <row r="115" s="442" customFormat="1" x14ac:dyDescent="0.2"/>
    <row r="116" s="442" customFormat="1" x14ac:dyDescent="0.2"/>
    <row r="117" s="442" customFormat="1" x14ac:dyDescent="0.2"/>
    <row r="118" s="442" customFormat="1" x14ac:dyDescent="0.2"/>
    <row r="119" s="442" customFormat="1" x14ac:dyDescent="0.2"/>
    <row r="120" s="442" customFormat="1" x14ac:dyDescent="0.2"/>
    <row r="121" s="442" customFormat="1" x14ac:dyDescent="0.2"/>
    <row r="122" s="442" customFormat="1" x14ac:dyDescent="0.2"/>
    <row r="123" s="442" customFormat="1" x14ac:dyDescent="0.2"/>
    <row r="124" s="442" customFormat="1" x14ac:dyDescent="0.2"/>
    <row r="125" s="442" customFormat="1" x14ac:dyDescent="0.2"/>
    <row r="126" s="442" customFormat="1" x14ac:dyDescent="0.2"/>
    <row r="127" s="442" customFormat="1" x14ac:dyDescent="0.2"/>
    <row r="128" s="442" customFormat="1" x14ac:dyDescent="0.2"/>
    <row r="129" s="442" customFormat="1" x14ac:dyDescent="0.2"/>
    <row r="130" s="442" customFormat="1" x14ac:dyDescent="0.2"/>
    <row r="131" s="442" customFormat="1" x14ac:dyDescent="0.2"/>
    <row r="132" s="442" customFormat="1" x14ac:dyDescent="0.2"/>
    <row r="133" s="442" customFormat="1" x14ac:dyDescent="0.2"/>
    <row r="134" s="442" customFormat="1" x14ac:dyDescent="0.2"/>
    <row r="135" s="442" customFormat="1" x14ac:dyDescent="0.2"/>
    <row r="136" s="442" customFormat="1" x14ac:dyDescent="0.2"/>
    <row r="137" s="442" customFormat="1" x14ac:dyDescent="0.2"/>
    <row r="138" s="442" customFormat="1" x14ac:dyDescent="0.2"/>
    <row r="139" s="442" customFormat="1" x14ac:dyDescent="0.2"/>
    <row r="140" s="442" customFormat="1" x14ac:dyDescent="0.2"/>
    <row r="141" s="442" customFormat="1" x14ac:dyDescent="0.2"/>
    <row r="142" s="442" customFormat="1" x14ac:dyDescent="0.2"/>
    <row r="143" s="442" customFormat="1" x14ac:dyDescent="0.2"/>
    <row r="144" s="442" customFormat="1" x14ac:dyDescent="0.2"/>
    <row r="145" s="442" customFormat="1" x14ac:dyDescent="0.2"/>
    <row r="146" s="442" customFormat="1" x14ac:dyDescent="0.2"/>
    <row r="147" s="442" customFormat="1" x14ac:dyDescent="0.2"/>
    <row r="148" s="442" customFormat="1" x14ac:dyDescent="0.2"/>
    <row r="149" s="442" customFormat="1" x14ac:dyDescent="0.2"/>
    <row r="150" s="442" customFormat="1" x14ac:dyDescent="0.2"/>
    <row r="151" s="442" customFormat="1" x14ac:dyDescent="0.2"/>
    <row r="152" s="442" customFormat="1" x14ac:dyDescent="0.2"/>
    <row r="153" s="442" customFormat="1" x14ac:dyDescent="0.2"/>
    <row r="154" s="442" customFormat="1" x14ac:dyDescent="0.2"/>
    <row r="155" s="442" customFormat="1" x14ac:dyDescent="0.2"/>
    <row r="156" s="442" customFormat="1" x14ac:dyDescent="0.2"/>
    <row r="157" s="442" customFormat="1" x14ac:dyDescent="0.2"/>
    <row r="158" s="442" customFormat="1" x14ac:dyDescent="0.2"/>
    <row r="159" s="442" customFormat="1" x14ac:dyDescent="0.2"/>
    <row r="160" s="442" customFormat="1" x14ac:dyDescent="0.2"/>
    <row r="161" spans="28:48" s="442" customFormat="1" x14ac:dyDescent="0.2"/>
    <row r="162" spans="28:48" s="442" customFormat="1" x14ac:dyDescent="0.2"/>
    <row r="163" spans="28:48" s="442" customFormat="1" x14ac:dyDescent="0.2"/>
    <row r="164" spans="28:48" s="442" customFormat="1" x14ac:dyDescent="0.2"/>
    <row r="165" spans="28:48" s="442" customFormat="1" x14ac:dyDescent="0.2"/>
    <row r="166" spans="28:48" s="442" customFormat="1" x14ac:dyDescent="0.2"/>
    <row r="167" spans="28:48" s="442" customFormat="1" x14ac:dyDescent="0.2"/>
    <row r="168" spans="28:48" s="442" customFormat="1" x14ac:dyDescent="0.2"/>
    <row r="169" spans="28:48" s="442" customFormat="1" x14ac:dyDescent="0.2"/>
    <row r="170" spans="28:48" s="442" customFormat="1" x14ac:dyDescent="0.2"/>
    <row r="171" spans="28:48" s="442" customFormat="1" x14ac:dyDescent="0.2"/>
    <row r="172" spans="28:48" s="442" customFormat="1" x14ac:dyDescent="0.2"/>
    <row r="173" spans="28:48" s="442" customFormat="1" x14ac:dyDescent="0.2"/>
    <row r="174" spans="28:48" s="442" customFormat="1" x14ac:dyDescent="0.2"/>
    <row r="175" spans="28:48" s="442" customFormat="1" x14ac:dyDescent="0.2">
      <c r="AB175" s="141"/>
    </row>
    <row r="176" spans="28:48" s="442" customFormat="1" x14ac:dyDescent="0.2">
      <c r="AB176" s="141"/>
      <c r="AC176" s="903"/>
      <c r="AD176" s="141"/>
      <c r="AE176" s="141"/>
      <c r="AF176" s="141"/>
      <c r="AG176" s="141"/>
      <c r="AH176" s="141"/>
      <c r="AI176" s="141"/>
      <c r="AJ176" s="141"/>
      <c r="AK176" s="141"/>
      <c r="AL176" s="141"/>
      <c r="AM176" s="141"/>
      <c r="AN176" s="141"/>
      <c r="AO176" s="141"/>
      <c r="AP176" s="141"/>
      <c r="AQ176" s="141"/>
      <c r="AR176" s="141"/>
      <c r="AS176" s="141"/>
      <c r="AT176" s="141"/>
      <c r="AU176" s="141"/>
      <c r="AV176" s="141"/>
    </row>
    <row r="177" spans="28:48" s="442" customFormat="1" x14ac:dyDescent="0.2">
      <c r="AB177" s="141"/>
      <c r="AC177" s="903"/>
      <c r="AD177" s="141"/>
      <c r="AE177" s="141"/>
      <c r="AF177" s="141"/>
      <c r="AG177" s="141"/>
      <c r="AH177" s="141"/>
      <c r="AI177" s="141"/>
      <c r="AJ177" s="141"/>
      <c r="AK177" s="141"/>
      <c r="AL177" s="141"/>
      <c r="AM177" s="141"/>
      <c r="AN177" s="141"/>
      <c r="AO177" s="141"/>
      <c r="AP177" s="141"/>
      <c r="AQ177" s="141"/>
      <c r="AR177" s="141"/>
      <c r="AS177" s="141"/>
      <c r="AT177" s="141"/>
      <c r="AU177" s="141"/>
      <c r="AV177" s="141"/>
    </row>
    <row r="178" spans="28:48" s="442" customFormat="1" x14ac:dyDescent="0.2">
      <c r="AB178" s="141"/>
      <c r="AC178" s="903"/>
      <c r="AD178" s="141"/>
      <c r="AE178" s="141"/>
      <c r="AF178" s="141"/>
      <c r="AG178" s="141"/>
      <c r="AH178" s="141"/>
      <c r="AI178" s="141"/>
      <c r="AJ178" s="141"/>
      <c r="AK178" s="141"/>
      <c r="AL178" s="141"/>
      <c r="AM178" s="141"/>
      <c r="AN178" s="141"/>
      <c r="AO178" s="141"/>
      <c r="AP178" s="141"/>
      <c r="AQ178" s="141"/>
      <c r="AR178" s="141"/>
      <c r="AS178" s="141"/>
      <c r="AT178" s="141"/>
      <c r="AU178" s="141"/>
      <c r="AV178" s="141"/>
    </row>
    <row r="179" spans="28:48" s="442" customFormat="1" x14ac:dyDescent="0.2">
      <c r="AB179" s="141"/>
      <c r="AC179" s="903"/>
      <c r="AD179" s="141"/>
      <c r="AE179" s="141"/>
      <c r="AF179" s="141"/>
      <c r="AG179" s="141"/>
      <c r="AH179" s="141"/>
      <c r="AI179" s="141"/>
      <c r="AJ179" s="141"/>
      <c r="AK179" s="141"/>
      <c r="AL179" s="141"/>
      <c r="AM179" s="141"/>
      <c r="AN179" s="141"/>
      <c r="AO179" s="141"/>
      <c r="AP179" s="141"/>
      <c r="AQ179" s="141"/>
      <c r="AR179" s="141"/>
      <c r="AS179" s="141"/>
      <c r="AT179" s="141"/>
      <c r="AU179" s="141"/>
      <c r="AV179" s="141"/>
    </row>
    <row r="180" spans="28:48" s="442" customFormat="1" x14ac:dyDescent="0.2">
      <c r="AB180" s="141"/>
      <c r="AC180" s="903"/>
      <c r="AD180" s="141"/>
      <c r="AE180" s="141"/>
      <c r="AF180" s="141"/>
      <c r="AG180" s="141"/>
      <c r="AH180" s="141"/>
      <c r="AI180" s="141"/>
      <c r="AJ180" s="141"/>
      <c r="AK180" s="141"/>
      <c r="AL180" s="141"/>
      <c r="AM180" s="141"/>
      <c r="AN180" s="141"/>
      <c r="AO180" s="141"/>
      <c r="AP180" s="141"/>
      <c r="AQ180" s="141"/>
      <c r="AR180" s="141"/>
      <c r="AS180" s="141"/>
      <c r="AT180" s="141"/>
      <c r="AU180" s="141"/>
      <c r="AV180" s="141"/>
    </row>
    <row r="181" spans="28:48" s="442" customFormat="1" x14ac:dyDescent="0.2">
      <c r="AB181" s="141"/>
      <c r="AC181" s="903"/>
      <c r="AD181" s="141"/>
      <c r="AE181" s="141"/>
      <c r="AF181" s="141"/>
      <c r="AG181" s="141"/>
      <c r="AH181" s="141"/>
      <c r="AI181" s="141"/>
      <c r="AJ181" s="141"/>
      <c r="AK181" s="141"/>
      <c r="AL181" s="141"/>
      <c r="AM181" s="141"/>
      <c r="AN181" s="141"/>
      <c r="AO181" s="141"/>
      <c r="AP181" s="141"/>
      <c r="AQ181" s="141"/>
      <c r="AR181" s="141"/>
      <c r="AS181" s="141"/>
      <c r="AT181" s="141"/>
      <c r="AU181" s="141"/>
      <c r="AV181" s="141"/>
    </row>
    <row r="182" spans="28:48" s="442" customFormat="1" x14ac:dyDescent="0.2">
      <c r="AB182" s="141"/>
      <c r="AC182" s="903"/>
      <c r="AD182" s="141"/>
      <c r="AE182" s="141"/>
      <c r="AF182" s="141"/>
      <c r="AG182" s="141"/>
      <c r="AH182" s="141"/>
      <c r="AI182" s="141"/>
      <c r="AJ182" s="141"/>
      <c r="AK182" s="141"/>
      <c r="AL182" s="141"/>
      <c r="AM182" s="141"/>
      <c r="AN182" s="141"/>
      <c r="AO182" s="141"/>
      <c r="AP182" s="141"/>
      <c r="AQ182" s="141"/>
      <c r="AR182" s="141"/>
      <c r="AS182" s="141"/>
      <c r="AT182" s="141"/>
      <c r="AU182" s="141"/>
      <c r="AV182" s="141"/>
    </row>
    <row r="183" spans="28:48" s="442" customFormat="1" x14ac:dyDescent="0.2">
      <c r="AB183" s="141"/>
      <c r="AC183" s="141"/>
      <c r="AD183" s="141"/>
      <c r="AE183" s="141"/>
      <c r="AF183" s="141"/>
      <c r="AG183" s="141"/>
      <c r="AH183" s="141"/>
      <c r="AI183" s="141"/>
      <c r="AJ183" s="141"/>
      <c r="AK183" s="141"/>
      <c r="AL183" s="141"/>
      <c r="AM183" s="141"/>
      <c r="AN183" s="141"/>
      <c r="AO183" s="141"/>
      <c r="AP183" s="141"/>
      <c r="AQ183" s="141"/>
      <c r="AR183" s="141"/>
      <c r="AS183" s="141"/>
      <c r="AT183" s="141"/>
      <c r="AU183" s="141"/>
      <c r="AV183" s="141"/>
    </row>
    <row r="184" spans="28:48" s="442" customFormat="1" x14ac:dyDescent="0.2">
      <c r="AB184" s="141"/>
      <c r="AC184" s="141"/>
      <c r="AD184" s="141"/>
      <c r="AE184" s="141"/>
      <c r="AF184" s="141"/>
      <c r="AG184" s="141"/>
      <c r="AH184" s="141"/>
      <c r="AI184" s="141"/>
      <c r="AJ184" s="141"/>
      <c r="AK184" s="141"/>
      <c r="AL184" s="141"/>
      <c r="AM184" s="141"/>
      <c r="AN184" s="141"/>
      <c r="AO184" s="141"/>
      <c r="AP184" s="141"/>
      <c r="AQ184" s="141"/>
      <c r="AR184" s="141"/>
      <c r="AS184" s="141"/>
      <c r="AT184" s="141"/>
      <c r="AU184" s="141"/>
      <c r="AV184" s="141"/>
    </row>
    <row r="185" spans="28:48" s="442" customFormat="1" x14ac:dyDescent="0.2">
      <c r="AB185" s="141"/>
      <c r="AC185" s="141"/>
      <c r="AD185" s="141"/>
      <c r="AE185" s="141"/>
      <c r="AF185" s="141"/>
      <c r="AG185" s="141"/>
      <c r="AH185" s="141"/>
      <c r="AI185" s="141"/>
      <c r="AJ185" s="141"/>
      <c r="AK185" s="141"/>
      <c r="AL185" s="141"/>
      <c r="AM185" s="141"/>
      <c r="AN185" s="141"/>
      <c r="AO185" s="141"/>
      <c r="AP185" s="141"/>
      <c r="AQ185" s="141"/>
      <c r="AR185" s="141"/>
      <c r="AS185" s="141"/>
      <c r="AT185" s="141"/>
      <c r="AU185" s="141"/>
      <c r="AV185" s="141"/>
    </row>
    <row r="186" spans="28:48" s="442" customFormat="1" x14ac:dyDescent="0.2">
      <c r="AB186" s="141"/>
      <c r="AC186" s="141"/>
      <c r="AD186" s="141"/>
      <c r="AE186" s="141"/>
      <c r="AF186" s="141"/>
      <c r="AG186" s="141"/>
      <c r="AH186" s="141"/>
      <c r="AI186" s="141"/>
      <c r="AJ186" s="141"/>
      <c r="AK186" s="141"/>
      <c r="AL186" s="141"/>
      <c r="AM186" s="141"/>
      <c r="AN186" s="141"/>
      <c r="AO186" s="141"/>
      <c r="AP186" s="141"/>
      <c r="AQ186" s="141"/>
      <c r="AR186" s="141"/>
      <c r="AS186" s="141"/>
      <c r="AT186" s="141"/>
      <c r="AU186" s="141"/>
      <c r="AV186" s="141"/>
    </row>
    <row r="187" spans="28:48" s="442" customFormat="1" x14ac:dyDescent="0.2">
      <c r="AB187" s="141"/>
      <c r="AC187" s="141"/>
      <c r="AD187" s="141"/>
      <c r="AE187" s="141"/>
      <c r="AF187" s="141"/>
      <c r="AG187" s="141"/>
      <c r="AH187" s="141"/>
      <c r="AI187" s="141"/>
      <c r="AJ187" s="141"/>
      <c r="AK187" s="141"/>
      <c r="AL187" s="141"/>
      <c r="AM187" s="141"/>
      <c r="AN187" s="141"/>
      <c r="AO187" s="141"/>
      <c r="AP187" s="141"/>
      <c r="AQ187" s="141"/>
      <c r="AR187" s="141"/>
      <c r="AS187" s="141"/>
      <c r="AT187" s="141"/>
      <c r="AU187" s="141"/>
      <c r="AV187" s="141"/>
    </row>
    <row r="188" spans="28:48" s="442" customFormat="1" x14ac:dyDescent="0.2">
      <c r="AB188" s="141"/>
      <c r="AC188" s="141"/>
      <c r="AD188" s="141"/>
      <c r="AE188" s="141"/>
      <c r="AF188" s="141"/>
      <c r="AG188" s="141"/>
      <c r="AH188" s="141"/>
      <c r="AI188" s="141"/>
      <c r="AJ188" s="141"/>
      <c r="AK188" s="141"/>
      <c r="AL188" s="141"/>
      <c r="AM188" s="141"/>
      <c r="AN188" s="141"/>
      <c r="AO188" s="141"/>
      <c r="AP188" s="141"/>
      <c r="AQ188" s="141"/>
      <c r="AR188" s="141"/>
      <c r="AS188" s="141"/>
      <c r="AT188" s="141"/>
      <c r="AU188" s="141"/>
      <c r="AV188" s="141"/>
    </row>
    <row r="189" spans="28:48" s="442" customFormat="1" x14ac:dyDescent="0.2">
      <c r="AB189" s="141"/>
      <c r="AC189" s="141"/>
      <c r="AD189" s="141"/>
      <c r="AE189" s="141"/>
      <c r="AF189" s="141"/>
      <c r="AG189" s="141"/>
      <c r="AH189" s="141"/>
      <c r="AI189" s="141"/>
      <c r="AJ189" s="141"/>
      <c r="AK189" s="141"/>
      <c r="AL189" s="141"/>
      <c r="AM189" s="141"/>
      <c r="AN189" s="141"/>
      <c r="AO189" s="141"/>
      <c r="AP189" s="141"/>
      <c r="AQ189" s="141"/>
      <c r="AR189" s="141"/>
      <c r="AS189" s="141"/>
      <c r="AT189" s="141"/>
      <c r="AU189" s="141"/>
      <c r="AV189" s="141"/>
    </row>
    <row r="190" spans="28:48" s="442" customFormat="1" x14ac:dyDescent="0.2">
      <c r="AB190" s="141"/>
      <c r="AC190" s="141"/>
      <c r="AD190" s="141"/>
      <c r="AE190" s="141"/>
      <c r="AF190" s="141"/>
      <c r="AG190" s="141"/>
      <c r="AH190" s="141"/>
      <c r="AI190" s="141"/>
      <c r="AJ190" s="141"/>
      <c r="AK190" s="141"/>
      <c r="AL190" s="141"/>
      <c r="AM190" s="141"/>
      <c r="AN190" s="141"/>
      <c r="AO190" s="141"/>
      <c r="AP190" s="141"/>
      <c r="AQ190" s="141"/>
      <c r="AR190" s="141"/>
      <c r="AS190" s="141"/>
      <c r="AT190" s="141"/>
      <c r="AU190" s="141"/>
      <c r="AV190" s="141"/>
    </row>
    <row r="191" spans="28:48" s="442" customFormat="1" x14ac:dyDescent="0.2">
      <c r="AB191" s="141"/>
      <c r="AC191" s="141"/>
      <c r="AD191" s="141"/>
      <c r="AE191" s="141"/>
      <c r="AF191" s="141"/>
      <c r="AG191" s="141"/>
      <c r="AH191" s="141"/>
      <c r="AI191" s="141"/>
      <c r="AJ191" s="141"/>
      <c r="AK191" s="141"/>
      <c r="AL191" s="141"/>
      <c r="AM191" s="141"/>
      <c r="AN191" s="141"/>
      <c r="AO191" s="141"/>
      <c r="AP191" s="141"/>
      <c r="AQ191" s="141"/>
      <c r="AR191" s="141"/>
      <c r="AS191" s="141"/>
      <c r="AT191" s="141"/>
      <c r="AU191" s="141"/>
      <c r="AV191" s="141"/>
    </row>
    <row r="192" spans="28:48" s="442" customFormat="1" x14ac:dyDescent="0.2">
      <c r="AB192" s="141"/>
      <c r="AC192" s="141"/>
      <c r="AD192" s="141"/>
      <c r="AE192" s="141"/>
      <c r="AF192" s="141"/>
      <c r="AG192" s="141"/>
      <c r="AH192" s="141"/>
      <c r="AI192" s="141"/>
      <c r="AJ192" s="141"/>
      <c r="AK192" s="141"/>
      <c r="AL192" s="141"/>
      <c r="AM192" s="141"/>
      <c r="AN192" s="141"/>
      <c r="AO192" s="141"/>
      <c r="AP192" s="141"/>
      <c r="AQ192" s="141"/>
      <c r="AR192" s="141"/>
      <c r="AS192" s="141"/>
      <c r="AT192" s="141"/>
      <c r="AU192" s="141"/>
      <c r="AV192" s="141"/>
    </row>
    <row r="193" spans="1:48" s="442" customFormat="1" x14ac:dyDescent="0.2">
      <c r="AB193" s="141"/>
      <c r="AC193" s="141"/>
      <c r="AD193" s="141"/>
      <c r="AE193" s="141"/>
      <c r="AF193" s="141"/>
      <c r="AG193" s="141"/>
      <c r="AH193" s="141"/>
      <c r="AI193" s="141"/>
      <c r="AJ193" s="141"/>
      <c r="AK193" s="141"/>
      <c r="AL193" s="141"/>
      <c r="AM193" s="141"/>
      <c r="AN193" s="141"/>
      <c r="AO193" s="141"/>
      <c r="AP193" s="141"/>
      <c r="AQ193" s="141"/>
      <c r="AR193" s="141"/>
      <c r="AS193" s="141"/>
      <c r="AT193" s="141"/>
      <c r="AU193" s="141"/>
      <c r="AV193" s="141"/>
    </row>
    <row r="194" spans="1:48" s="442" customFormat="1" x14ac:dyDescent="0.2">
      <c r="AB194" s="141"/>
      <c r="AC194" s="141"/>
      <c r="AD194" s="141"/>
      <c r="AE194" s="141"/>
      <c r="AF194" s="141"/>
      <c r="AG194" s="141"/>
      <c r="AH194" s="141"/>
      <c r="AI194" s="141"/>
      <c r="AJ194" s="141"/>
      <c r="AK194" s="141"/>
      <c r="AL194" s="141"/>
      <c r="AM194" s="141"/>
      <c r="AN194" s="141"/>
      <c r="AO194" s="141"/>
      <c r="AP194" s="141"/>
      <c r="AQ194" s="141"/>
      <c r="AR194" s="141"/>
      <c r="AS194" s="141"/>
      <c r="AT194" s="141"/>
      <c r="AU194" s="141"/>
      <c r="AV194" s="141"/>
    </row>
    <row r="195" spans="1:48" s="442" customFormat="1" x14ac:dyDescent="0.2">
      <c r="AB195" s="141"/>
      <c r="AC195" s="141"/>
      <c r="AD195" s="141"/>
      <c r="AE195" s="141"/>
      <c r="AF195" s="141"/>
      <c r="AG195" s="141"/>
      <c r="AH195" s="141"/>
      <c r="AI195" s="141"/>
      <c r="AJ195" s="141"/>
      <c r="AK195" s="141"/>
      <c r="AL195" s="141"/>
      <c r="AM195" s="141"/>
      <c r="AN195" s="141"/>
      <c r="AO195" s="141"/>
      <c r="AP195" s="141"/>
      <c r="AQ195" s="141"/>
      <c r="AR195" s="141"/>
      <c r="AS195" s="141"/>
      <c r="AT195" s="141"/>
      <c r="AU195" s="141"/>
      <c r="AV195" s="141"/>
    </row>
    <row r="196" spans="1:48" s="442" customFormat="1" x14ac:dyDescent="0.2">
      <c r="A196" s="141"/>
      <c r="AB196" s="141"/>
      <c r="AC196" s="141"/>
      <c r="AD196" s="141"/>
      <c r="AE196" s="141"/>
      <c r="AF196" s="141"/>
      <c r="AG196" s="141"/>
      <c r="AH196" s="141"/>
      <c r="AI196" s="141"/>
      <c r="AJ196" s="141"/>
      <c r="AK196" s="141"/>
      <c r="AL196" s="141"/>
      <c r="AM196" s="141"/>
      <c r="AN196" s="141"/>
      <c r="AO196" s="141"/>
      <c r="AP196" s="141"/>
      <c r="AQ196" s="141"/>
      <c r="AR196" s="141"/>
      <c r="AS196" s="141"/>
      <c r="AT196" s="141"/>
      <c r="AU196" s="141"/>
      <c r="AV196" s="141"/>
    </row>
    <row r="197" spans="1:48" x14ac:dyDescent="0.2">
      <c r="B197" s="903"/>
    </row>
    <row r="198" spans="1:48" x14ac:dyDescent="0.2">
      <c r="B198" s="903"/>
    </row>
    <row r="199" spans="1:48" x14ac:dyDescent="0.2">
      <c r="B199" s="903"/>
    </row>
    <row r="200" spans="1:48" x14ac:dyDescent="0.2">
      <c r="B200" s="903"/>
    </row>
    <row r="201" spans="1:48" x14ac:dyDescent="0.2">
      <c r="B201" s="903"/>
    </row>
    <row r="202" spans="1:48" x14ac:dyDescent="0.2">
      <c r="B202" s="903"/>
    </row>
    <row r="203" spans="1:48" x14ac:dyDescent="0.2">
      <c r="B203" s="903"/>
    </row>
  </sheetData>
  <mergeCells count="9">
    <mergeCell ref="A11:K11"/>
    <mergeCell ref="A12:K12"/>
    <mergeCell ref="A2:K2"/>
    <mergeCell ref="A4:A6"/>
    <mergeCell ref="B4:C4"/>
    <mergeCell ref="D4:E4"/>
    <mergeCell ref="F4:G4"/>
    <mergeCell ref="H4:I4"/>
    <mergeCell ref="J4:K4"/>
  </mergeCells>
  <pageMargins left="0.7" right="0.7" top="0.75" bottom="0.75" header="0.3" footer="0.3"/>
  <pageSetup paperSize="14" scale="90" orientation="landscape" r:id="rId1"/>
  <drawing r:id="rId2"/>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64300-1457-42EE-9AB1-D61C3A15E002}">
  <sheetPr codeName="Hoja273"/>
  <dimension ref="A1:J25"/>
  <sheetViews>
    <sheetView workbookViewId="0">
      <selection activeCell="A4" sqref="A4:A6"/>
    </sheetView>
  </sheetViews>
  <sheetFormatPr baseColWidth="10" defaultColWidth="11.44140625" defaultRowHeight="10.199999999999999" x14ac:dyDescent="0.2"/>
  <cols>
    <col min="1" max="1" width="33.33203125" style="2" customWidth="1"/>
    <col min="2" max="2" width="20.33203125" style="2" customWidth="1"/>
    <col min="3" max="6" width="11.44140625" style="2"/>
    <col min="7" max="7" width="14" style="2" customWidth="1"/>
    <col min="8" max="16384" width="11.44140625" style="2"/>
  </cols>
  <sheetData>
    <row r="1" spans="1:8" ht="13.2" x14ac:dyDescent="0.2">
      <c r="A1" s="1012"/>
    </row>
    <row r="2" spans="1:8" s="759" customFormat="1" x14ac:dyDescent="0.2">
      <c r="A2" s="305" t="s">
        <v>2912</v>
      </c>
      <c r="B2" s="305"/>
      <c r="C2" s="305"/>
      <c r="D2" s="305"/>
      <c r="E2" s="305"/>
      <c r="F2" s="305"/>
      <c r="G2" s="305"/>
      <c r="H2" s="305"/>
    </row>
    <row r="4" spans="1:8" ht="12.75" customHeight="1" x14ac:dyDescent="0.2">
      <c r="A4" s="323" t="s">
        <v>0</v>
      </c>
      <c r="B4" s="298" t="s">
        <v>3216</v>
      </c>
      <c r="C4" s="685" t="s">
        <v>3217</v>
      </c>
      <c r="D4" s="685"/>
      <c r="E4" s="685"/>
      <c r="F4" s="685"/>
      <c r="G4" s="685"/>
      <c r="H4" s="685"/>
    </row>
    <row r="5" spans="1:8" x14ac:dyDescent="0.2">
      <c r="A5" s="323"/>
      <c r="B5" s="298"/>
      <c r="C5" s="644" t="s">
        <v>439</v>
      </c>
      <c r="D5" s="644" t="s">
        <v>3204</v>
      </c>
      <c r="E5" s="644" t="s">
        <v>1235</v>
      </c>
      <c r="F5" s="644" t="s">
        <v>435</v>
      </c>
      <c r="G5" s="644" t="s">
        <v>3209</v>
      </c>
      <c r="H5" s="644" t="s">
        <v>446</v>
      </c>
    </row>
    <row r="6" spans="1:8" x14ac:dyDescent="0.2">
      <c r="A6" s="712" t="s">
        <v>3</v>
      </c>
      <c r="B6" s="1015">
        <f>SUM(B7:B21)</f>
        <v>1364</v>
      </c>
      <c r="C6" s="1015">
        <f t="shared" ref="C6:H6" si="0">SUM(C7:C21)</f>
        <v>1226</v>
      </c>
      <c r="D6" s="1015">
        <f t="shared" si="0"/>
        <v>98</v>
      </c>
      <c r="E6" s="1015">
        <f t="shared" si="0"/>
        <v>6</v>
      </c>
      <c r="F6" s="1015">
        <f t="shared" si="0"/>
        <v>26</v>
      </c>
      <c r="G6" s="1015">
        <f t="shared" si="0"/>
        <v>1</v>
      </c>
      <c r="H6" s="1015">
        <f t="shared" si="0"/>
        <v>7</v>
      </c>
    </row>
    <row r="7" spans="1:8" x14ac:dyDescent="0.2">
      <c r="A7" s="1440" t="s">
        <v>4</v>
      </c>
      <c r="B7" s="1015">
        <f>SUM(C7:H7)</f>
        <v>96</v>
      </c>
      <c r="C7" s="1441">
        <v>92</v>
      </c>
      <c r="D7" s="1441">
        <v>4</v>
      </c>
      <c r="E7" s="1441">
        <v>0</v>
      </c>
      <c r="F7" s="1441">
        <v>0</v>
      </c>
      <c r="G7" s="1441">
        <v>0</v>
      </c>
      <c r="H7" s="1441">
        <v>0</v>
      </c>
    </row>
    <row r="8" spans="1:8" x14ac:dyDescent="0.2">
      <c r="A8" s="1440" t="s">
        <v>5</v>
      </c>
      <c r="B8" s="1015">
        <f t="shared" ref="B8:B21" si="1">SUM(C8:H8)</f>
        <v>90</v>
      </c>
      <c r="C8" s="1441">
        <v>80</v>
      </c>
      <c r="D8" s="1441">
        <v>5</v>
      </c>
      <c r="E8" s="1441">
        <v>0</v>
      </c>
      <c r="F8" s="1441">
        <v>4</v>
      </c>
      <c r="G8" s="1441">
        <v>0</v>
      </c>
      <c r="H8" s="1441">
        <v>1</v>
      </c>
    </row>
    <row r="9" spans="1:8" x14ac:dyDescent="0.2">
      <c r="A9" s="1440" t="s">
        <v>6</v>
      </c>
      <c r="B9" s="1015">
        <f t="shared" si="1"/>
        <v>98</v>
      </c>
      <c r="C9" s="1441">
        <v>84</v>
      </c>
      <c r="D9" s="1441">
        <v>9</v>
      </c>
      <c r="E9" s="1441">
        <v>0</v>
      </c>
      <c r="F9" s="1441">
        <v>4</v>
      </c>
      <c r="G9" s="1441">
        <v>0</v>
      </c>
      <c r="H9" s="1441">
        <v>1</v>
      </c>
    </row>
    <row r="10" spans="1:8" x14ac:dyDescent="0.2">
      <c r="A10" s="1440" t="s">
        <v>7</v>
      </c>
      <c r="B10" s="1015">
        <f>SUM(C10:H10)</f>
        <v>76</v>
      </c>
      <c r="C10" s="1441">
        <v>74</v>
      </c>
      <c r="D10" s="1441">
        <v>2</v>
      </c>
      <c r="E10" s="1441">
        <v>0</v>
      </c>
      <c r="F10" s="1441">
        <v>0</v>
      </c>
      <c r="G10" s="1441">
        <v>0</v>
      </c>
      <c r="H10" s="1441">
        <v>0</v>
      </c>
    </row>
    <row r="11" spans="1:8" x14ac:dyDescent="0.2">
      <c r="A11" s="1440" t="s">
        <v>8</v>
      </c>
      <c r="B11" s="1015">
        <f t="shared" si="1"/>
        <v>96</v>
      </c>
      <c r="C11" s="1441">
        <v>90</v>
      </c>
      <c r="D11" s="1441">
        <v>3</v>
      </c>
      <c r="E11" s="1441">
        <v>0</v>
      </c>
      <c r="F11" s="1441">
        <v>3</v>
      </c>
      <c r="G11" s="1441">
        <v>0</v>
      </c>
      <c r="H11" s="1441">
        <v>0</v>
      </c>
    </row>
    <row r="12" spans="1:8" x14ac:dyDescent="0.2">
      <c r="A12" s="1440" t="s">
        <v>9</v>
      </c>
      <c r="B12" s="1015">
        <f t="shared" si="1"/>
        <v>107</v>
      </c>
      <c r="C12" s="1441">
        <v>98</v>
      </c>
      <c r="D12" s="1441">
        <v>7</v>
      </c>
      <c r="E12" s="1441">
        <v>0</v>
      </c>
      <c r="F12" s="1441">
        <v>1</v>
      </c>
      <c r="G12" s="1441">
        <v>0</v>
      </c>
      <c r="H12" s="1441">
        <v>1</v>
      </c>
    </row>
    <row r="13" spans="1:8" x14ac:dyDescent="0.2">
      <c r="A13" s="1440" t="s">
        <v>10</v>
      </c>
      <c r="B13" s="1015">
        <f t="shared" si="1"/>
        <v>145</v>
      </c>
      <c r="C13" s="1441">
        <v>115</v>
      </c>
      <c r="D13" s="1441">
        <v>19</v>
      </c>
      <c r="E13" s="1441">
        <v>5</v>
      </c>
      <c r="F13" s="1441">
        <v>4</v>
      </c>
      <c r="G13" s="1441">
        <v>1</v>
      </c>
      <c r="H13" s="1441">
        <v>1</v>
      </c>
    </row>
    <row r="14" spans="1:8" x14ac:dyDescent="0.2">
      <c r="A14" s="1440" t="s">
        <v>134</v>
      </c>
      <c r="B14" s="1015">
        <f t="shared" si="1"/>
        <v>94</v>
      </c>
      <c r="C14" s="1441">
        <v>85</v>
      </c>
      <c r="D14" s="1441">
        <v>6</v>
      </c>
      <c r="E14" s="1441">
        <v>0</v>
      </c>
      <c r="F14" s="1441">
        <v>3</v>
      </c>
      <c r="G14" s="1441">
        <v>0</v>
      </c>
      <c r="H14" s="1441">
        <v>0</v>
      </c>
    </row>
    <row r="15" spans="1:8" x14ac:dyDescent="0.2">
      <c r="A15" s="1440" t="s">
        <v>12</v>
      </c>
      <c r="B15" s="1015">
        <f t="shared" si="1"/>
        <v>103</v>
      </c>
      <c r="C15" s="1441">
        <v>91</v>
      </c>
      <c r="D15" s="1441">
        <v>8</v>
      </c>
      <c r="E15" s="1441">
        <v>0</v>
      </c>
      <c r="F15" s="1441">
        <v>3</v>
      </c>
      <c r="G15" s="1441">
        <v>0</v>
      </c>
      <c r="H15" s="1441">
        <v>1</v>
      </c>
    </row>
    <row r="16" spans="1:8" x14ac:dyDescent="0.2">
      <c r="A16" s="1440" t="s">
        <v>13</v>
      </c>
      <c r="B16" s="1015">
        <f t="shared" si="1"/>
        <v>109</v>
      </c>
      <c r="C16" s="1441">
        <v>100</v>
      </c>
      <c r="D16" s="1441">
        <v>6</v>
      </c>
      <c r="E16" s="1441">
        <v>0</v>
      </c>
      <c r="F16" s="1441">
        <v>3</v>
      </c>
      <c r="G16" s="1441">
        <v>0</v>
      </c>
      <c r="H16" s="1441">
        <v>0</v>
      </c>
    </row>
    <row r="17" spans="1:10" x14ac:dyDescent="0.2">
      <c r="A17" s="1440" t="s">
        <v>47</v>
      </c>
      <c r="B17" s="1015">
        <f t="shared" si="1"/>
        <v>120</v>
      </c>
      <c r="C17" s="1441">
        <v>110</v>
      </c>
      <c r="D17" s="1441">
        <v>8</v>
      </c>
      <c r="E17" s="1441">
        <v>0</v>
      </c>
      <c r="F17" s="1441">
        <v>1</v>
      </c>
      <c r="G17" s="1441">
        <v>0</v>
      </c>
      <c r="H17" s="1441">
        <v>1</v>
      </c>
    </row>
    <row r="18" spans="1:10" x14ac:dyDescent="0.2">
      <c r="A18" s="1440" t="s">
        <v>135</v>
      </c>
      <c r="B18" s="1015">
        <f t="shared" si="1"/>
        <v>76</v>
      </c>
      <c r="C18" s="1441">
        <v>70</v>
      </c>
      <c r="D18" s="1441">
        <v>5</v>
      </c>
      <c r="E18" s="1441">
        <v>0</v>
      </c>
      <c r="F18" s="1441">
        <v>0</v>
      </c>
      <c r="G18" s="1441">
        <v>0</v>
      </c>
      <c r="H18" s="1441">
        <v>1</v>
      </c>
    </row>
    <row r="19" spans="1:10" x14ac:dyDescent="0.2">
      <c r="A19" s="1440" t="s">
        <v>136</v>
      </c>
      <c r="B19" s="1015">
        <f t="shared" si="1"/>
        <v>80</v>
      </c>
      <c r="C19" s="1441">
        <v>72</v>
      </c>
      <c r="D19" s="1441">
        <v>8</v>
      </c>
      <c r="E19" s="1441">
        <v>0</v>
      </c>
      <c r="F19" s="1441">
        <v>0</v>
      </c>
      <c r="G19" s="1441">
        <v>0</v>
      </c>
      <c r="H19" s="1441">
        <v>0</v>
      </c>
    </row>
    <row r="20" spans="1:10" ht="12" x14ac:dyDescent="0.2">
      <c r="A20" s="1440" t="s">
        <v>3218</v>
      </c>
      <c r="B20" s="1442">
        <f t="shared" si="1"/>
        <v>0</v>
      </c>
      <c r="C20" s="1307">
        <v>0</v>
      </c>
      <c r="D20" s="1307">
        <v>0</v>
      </c>
      <c r="E20" s="1307">
        <v>0</v>
      </c>
      <c r="F20" s="1307">
        <v>0</v>
      </c>
      <c r="G20" s="1307">
        <v>0</v>
      </c>
      <c r="H20" s="1307">
        <v>0</v>
      </c>
    </row>
    <row r="21" spans="1:10" x14ac:dyDescent="0.2">
      <c r="A21" s="1440" t="s">
        <v>18</v>
      </c>
      <c r="B21" s="1015">
        <f t="shared" si="1"/>
        <v>74</v>
      </c>
      <c r="C21" s="1441">
        <v>65</v>
      </c>
      <c r="D21" s="1441">
        <v>8</v>
      </c>
      <c r="E21" s="1441">
        <v>1</v>
      </c>
      <c r="F21" s="1441">
        <v>0</v>
      </c>
      <c r="G21" s="1441">
        <v>0</v>
      </c>
      <c r="H21" s="1441">
        <v>0</v>
      </c>
    </row>
    <row r="22" spans="1:10" x14ac:dyDescent="0.2">
      <c r="A22" s="288"/>
      <c r="B22" s="269"/>
      <c r="C22" s="269"/>
      <c r="D22" s="269"/>
      <c r="E22" s="269"/>
      <c r="F22" s="269"/>
      <c r="G22" s="269"/>
      <c r="H22" s="269"/>
    </row>
    <row r="23" spans="1:10" x14ac:dyDescent="0.2">
      <c r="A23" s="288" t="s">
        <v>3219</v>
      </c>
      <c r="B23" s="269"/>
      <c r="C23" s="269"/>
      <c r="D23" s="269"/>
      <c r="E23" s="269"/>
      <c r="F23" s="269"/>
      <c r="G23" s="269"/>
      <c r="H23" s="269"/>
    </row>
    <row r="24" spans="1:10" s="714" customFormat="1" ht="11.25" customHeight="1" x14ac:dyDescent="0.2">
      <c r="A24" s="296" t="s">
        <v>19</v>
      </c>
      <c r="B24" s="296"/>
      <c r="C24" s="296"/>
      <c r="D24" s="296"/>
      <c r="E24" s="296"/>
      <c r="F24" s="296"/>
      <c r="G24" s="296"/>
      <c r="H24" s="296"/>
      <c r="J24" s="2"/>
    </row>
    <row r="25" spans="1:10" x14ac:dyDescent="0.2">
      <c r="A25" s="1405" t="s">
        <v>3195</v>
      </c>
      <c r="B25" s="1405"/>
      <c r="C25" s="1405"/>
      <c r="D25" s="1405"/>
      <c r="E25" s="1405"/>
      <c r="F25" s="1405"/>
      <c r="G25" s="1405"/>
      <c r="H25" s="1405"/>
    </row>
  </sheetData>
  <mergeCells count="6">
    <mergeCell ref="A2:H2"/>
    <mergeCell ref="A4:A5"/>
    <mergeCell ref="B4:B5"/>
    <mergeCell ref="C4:H4"/>
    <mergeCell ref="A24:H24"/>
    <mergeCell ref="A25:H25"/>
  </mergeCells>
  <pageMargins left="0.7" right="0.7" top="0.75" bottom="0.75" header="0.3" footer="0.3"/>
  <pageSetup paperSize="14" scale="90" orientation="landscape" r:id="rId1"/>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C981CB-2CF5-4625-AAF9-FC751600CB4F}">
  <sheetPr codeName="Hoja274"/>
  <dimension ref="A1:E25"/>
  <sheetViews>
    <sheetView workbookViewId="0">
      <selection activeCell="A4" sqref="A4:A6"/>
    </sheetView>
  </sheetViews>
  <sheetFormatPr baseColWidth="10" defaultRowHeight="13.2" x14ac:dyDescent="0.25"/>
  <cols>
    <col min="1" max="1" width="20.88671875" customWidth="1"/>
    <col min="2" max="5" width="15.44140625" customWidth="1"/>
  </cols>
  <sheetData>
    <row r="1" spans="1:5" x14ac:dyDescent="0.25">
      <c r="A1" s="1012"/>
    </row>
    <row r="2" spans="1:5" ht="24.75" customHeight="1" x14ac:dyDescent="0.25">
      <c r="A2" s="308" t="s">
        <v>2913</v>
      </c>
      <c r="B2" s="308"/>
      <c r="C2" s="308"/>
      <c r="D2" s="308"/>
      <c r="E2" s="308"/>
    </row>
    <row r="4" spans="1:5" x14ac:dyDescent="0.25">
      <c r="A4" s="298" t="s">
        <v>0</v>
      </c>
      <c r="B4" s="275" t="s">
        <v>2204</v>
      </c>
      <c r="C4" s="1187" t="s">
        <v>2851</v>
      </c>
      <c r="D4" s="1188"/>
      <c r="E4" s="1189"/>
    </row>
    <row r="5" spans="1:5" x14ac:dyDescent="0.25">
      <c r="A5" s="298"/>
      <c r="B5" s="277"/>
      <c r="C5" s="889" t="s">
        <v>42</v>
      </c>
      <c r="D5" s="889" t="s">
        <v>1293</v>
      </c>
      <c r="E5" s="889" t="s">
        <v>1294</v>
      </c>
    </row>
    <row r="6" spans="1:5" x14ac:dyDescent="0.25">
      <c r="A6" s="712" t="s">
        <v>42</v>
      </c>
      <c r="B6" s="622">
        <f>SUM(B7:B21)</f>
        <v>3127</v>
      </c>
      <c r="C6" s="622">
        <f>SUM(C7:C21)</f>
        <v>366706</v>
      </c>
      <c r="D6" s="622">
        <f>SUM(D7:D21)</f>
        <v>114769</v>
      </c>
      <c r="E6" s="622">
        <f>SUM(E7:E21)</f>
        <v>251937</v>
      </c>
    </row>
    <row r="7" spans="1:5" x14ac:dyDescent="0.25">
      <c r="A7" s="288" t="s">
        <v>4</v>
      </c>
      <c r="B7" s="622">
        <v>0</v>
      </c>
      <c r="C7" s="626">
        <f>SUM(D7:E7)</f>
        <v>0</v>
      </c>
      <c r="D7" s="626">
        <v>0</v>
      </c>
      <c r="E7" s="626">
        <v>0</v>
      </c>
    </row>
    <row r="8" spans="1:5" x14ac:dyDescent="0.25">
      <c r="A8" s="288" t="s">
        <v>5</v>
      </c>
      <c r="B8" s="622">
        <v>27</v>
      </c>
      <c r="C8" s="626">
        <f t="shared" ref="C8:C21" si="0">SUM(D8:E8)</f>
        <v>2000</v>
      </c>
      <c r="D8" s="626">
        <v>0</v>
      </c>
      <c r="E8" s="626">
        <v>2000</v>
      </c>
    </row>
    <row r="9" spans="1:5" x14ac:dyDescent="0.25">
      <c r="A9" s="288" t="s">
        <v>6</v>
      </c>
      <c r="B9" s="622">
        <v>19</v>
      </c>
      <c r="C9" s="626">
        <f t="shared" si="0"/>
        <v>6831</v>
      </c>
      <c r="D9" s="626">
        <v>0</v>
      </c>
      <c r="E9" s="626">
        <v>6831</v>
      </c>
    </row>
    <row r="10" spans="1:5" x14ac:dyDescent="0.25">
      <c r="A10" s="288" t="s">
        <v>7</v>
      </c>
      <c r="B10" s="622">
        <v>220</v>
      </c>
      <c r="C10" s="626">
        <f t="shared" si="0"/>
        <v>45270</v>
      </c>
      <c r="D10" s="626">
        <v>600</v>
      </c>
      <c r="E10" s="626">
        <v>44670</v>
      </c>
    </row>
    <row r="11" spans="1:5" x14ac:dyDescent="0.25">
      <c r="A11" s="288" t="s">
        <v>8</v>
      </c>
      <c r="B11" s="622">
        <v>84</v>
      </c>
      <c r="C11" s="626">
        <f t="shared" si="0"/>
        <v>8728</v>
      </c>
      <c r="D11" s="626">
        <v>0</v>
      </c>
      <c r="E11" s="626">
        <v>8728</v>
      </c>
    </row>
    <row r="12" spans="1:5" x14ac:dyDescent="0.25">
      <c r="A12" s="288" t="s">
        <v>9</v>
      </c>
      <c r="B12" s="622">
        <v>316</v>
      </c>
      <c r="C12" s="626">
        <f t="shared" si="0"/>
        <v>28761</v>
      </c>
      <c r="D12" s="626">
        <v>5223</v>
      </c>
      <c r="E12" s="626">
        <v>23538</v>
      </c>
    </row>
    <row r="13" spans="1:5" x14ac:dyDescent="0.25">
      <c r="A13" s="288" t="s">
        <v>10</v>
      </c>
      <c r="B13" s="622">
        <v>1314</v>
      </c>
      <c r="C13" s="626">
        <f t="shared" si="0"/>
        <v>97616</v>
      </c>
      <c r="D13" s="626">
        <v>31025</v>
      </c>
      <c r="E13" s="626">
        <v>66591</v>
      </c>
    </row>
    <row r="14" spans="1:5" x14ac:dyDescent="0.25">
      <c r="A14" s="288" t="s">
        <v>134</v>
      </c>
      <c r="B14" s="622">
        <v>123</v>
      </c>
      <c r="C14" s="626">
        <f t="shared" si="0"/>
        <v>19430</v>
      </c>
      <c r="D14" s="626">
        <v>0</v>
      </c>
      <c r="E14" s="626">
        <v>19430</v>
      </c>
    </row>
    <row r="15" spans="1:5" x14ac:dyDescent="0.25">
      <c r="A15" s="288" t="s">
        <v>12</v>
      </c>
      <c r="B15" s="622">
        <v>298</v>
      </c>
      <c r="C15" s="626">
        <f t="shared" si="0"/>
        <v>29760</v>
      </c>
      <c r="D15" s="626">
        <v>1587</v>
      </c>
      <c r="E15" s="626">
        <v>28173</v>
      </c>
    </row>
    <row r="16" spans="1:5" x14ac:dyDescent="0.25">
      <c r="A16" s="288" t="s">
        <v>13</v>
      </c>
      <c r="B16" s="622">
        <v>272</v>
      </c>
      <c r="C16" s="626">
        <f t="shared" si="0"/>
        <v>53231</v>
      </c>
      <c r="D16" s="626">
        <v>38996</v>
      </c>
      <c r="E16" s="626">
        <v>14235</v>
      </c>
    </row>
    <row r="17" spans="1:5" x14ac:dyDescent="0.25">
      <c r="A17" s="288" t="s">
        <v>47</v>
      </c>
      <c r="B17" s="622">
        <v>115</v>
      </c>
      <c r="C17" s="626">
        <f t="shared" si="0"/>
        <v>9073</v>
      </c>
      <c r="D17" s="626">
        <v>0</v>
      </c>
      <c r="E17" s="626">
        <v>9073</v>
      </c>
    </row>
    <row r="18" spans="1:5" x14ac:dyDescent="0.25">
      <c r="A18" s="288" t="s">
        <v>135</v>
      </c>
      <c r="B18" s="622">
        <v>165</v>
      </c>
      <c r="C18" s="626">
        <f t="shared" si="0"/>
        <v>37287</v>
      </c>
      <c r="D18" s="626">
        <v>17562</v>
      </c>
      <c r="E18" s="626">
        <v>19725</v>
      </c>
    </row>
    <row r="19" spans="1:5" x14ac:dyDescent="0.25">
      <c r="A19" s="288" t="s">
        <v>136</v>
      </c>
      <c r="B19" s="622">
        <v>39</v>
      </c>
      <c r="C19" s="626">
        <f t="shared" si="0"/>
        <v>3878</v>
      </c>
      <c r="D19" s="626">
        <v>376</v>
      </c>
      <c r="E19" s="626">
        <v>3502</v>
      </c>
    </row>
    <row r="20" spans="1:5" x14ac:dyDescent="0.25">
      <c r="A20" s="288" t="s">
        <v>17</v>
      </c>
      <c r="B20" s="622">
        <v>133</v>
      </c>
      <c r="C20" s="626">
        <f t="shared" si="0"/>
        <v>24041</v>
      </c>
      <c r="D20" s="626">
        <v>19400</v>
      </c>
      <c r="E20" s="626">
        <v>4641</v>
      </c>
    </row>
    <row r="21" spans="1:5" x14ac:dyDescent="0.25">
      <c r="A21" s="284" t="s">
        <v>18</v>
      </c>
      <c r="B21" s="622">
        <v>2</v>
      </c>
      <c r="C21" s="626">
        <f t="shared" si="0"/>
        <v>800</v>
      </c>
      <c r="D21" s="626">
        <v>0</v>
      </c>
      <c r="E21" s="626">
        <v>800</v>
      </c>
    </row>
    <row r="22" spans="1:5" x14ac:dyDescent="0.25">
      <c r="A22" s="288"/>
      <c r="B22" s="643"/>
      <c r="C22" s="650"/>
      <c r="D22" s="650"/>
      <c r="E22" s="650"/>
    </row>
    <row r="23" spans="1:5" ht="33.75" customHeight="1" x14ac:dyDescent="0.25">
      <c r="A23" s="879" t="s">
        <v>3220</v>
      </c>
      <c r="B23" s="879"/>
      <c r="C23" s="879"/>
      <c r="D23" s="879"/>
      <c r="E23" s="879"/>
    </row>
    <row r="24" spans="1:5" x14ac:dyDescent="0.25">
      <c r="A24" s="881" t="s">
        <v>197</v>
      </c>
      <c r="B24" s="882"/>
      <c r="C24" s="882"/>
      <c r="D24" s="882"/>
      <c r="E24" s="882"/>
    </row>
    <row r="25" spans="1:5" x14ac:dyDescent="0.25">
      <c r="A25" s="336" t="s">
        <v>2213</v>
      </c>
      <c r="B25" s="2"/>
      <c r="C25" s="2"/>
      <c r="D25" s="2"/>
      <c r="E25" s="2"/>
    </row>
  </sheetData>
  <mergeCells count="5">
    <mergeCell ref="A2:E2"/>
    <mergeCell ref="A4:A5"/>
    <mergeCell ref="B4:B5"/>
    <mergeCell ref="C4:E4"/>
    <mergeCell ref="A23:E23"/>
  </mergeCells>
  <pageMargins left="0.70866141732283472" right="0.70866141732283472" top="0.74803149606299213" bottom="0.74803149606299213" header="0.31496062992125984" footer="0.31496062992125984"/>
  <pageSetup paperSize="14" scale="120" orientation="landscape" r:id="rId1"/>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7A6EC5-C35B-475F-BA7F-40F153CB33CD}">
  <sheetPr codeName="Hoja275"/>
  <dimension ref="A1:I29"/>
  <sheetViews>
    <sheetView workbookViewId="0">
      <selection activeCell="A4" sqref="A4:A6"/>
    </sheetView>
  </sheetViews>
  <sheetFormatPr baseColWidth="10" defaultRowHeight="13.2" x14ac:dyDescent="0.25"/>
  <cols>
    <col min="1" max="1" width="17.44140625" customWidth="1"/>
    <col min="2" max="2" width="13.6640625" customWidth="1"/>
    <col min="3" max="3" width="12.88671875" customWidth="1"/>
    <col min="4" max="4" width="12.6640625" customWidth="1"/>
    <col min="6" max="6" width="14.109375" customWidth="1"/>
    <col min="7" max="7" width="17.33203125" bestFit="1" customWidth="1"/>
    <col min="8" max="8" width="12.6640625" customWidth="1"/>
  </cols>
  <sheetData>
    <row r="1" spans="1:9" x14ac:dyDescent="0.25">
      <c r="A1" s="1012"/>
    </row>
    <row r="2" spans="1:9" x14ac:dyDescent="0.25">
      <c r="A2" s="1443" t="s">
        <v>3221</v>
      </c>
      <c r="B2" s="1443"/>
      <c r="C2" s="1443"/>
      <c r="D2" s="1443"/>
      <c r="E2" s="1443"/>
      <c r="F2" s="1443"/>
      <c r="G2" s="1443"/>
      <c r="H2" s="1443"/>
      <c r="I2" s="338"/>
    </row>
    <row r="3" spans="1:9" x14ac:dyDescent="0.25">
      <c r="A3" s="1444"/>
      <c r="B3" s="1444"/>
      <c r="C3" s="1444"/>
      <c r="D3" s="1444"/>
      <c r="E3" s="1444"/>
      <c r="F3" s="1444"/>
      <c r="G3" s="1444"/>
      <c r="H3" s="338"/>
      <c r="I3" s="338"/>
    </row>
    <row r="4" spans="1:9" x14ac:dyDescent="0.25">
      <c r="A4" s="298" t="s">
        <v>0</v>
      </c>
      <c r="B4" s="1445" t="s">
        <v>3222</v>
      </c>
      <c r="C4" s="1445"/>
      <c r="D4" s="1445"/>
      <c r="E4" s="1445"/>
      <c r="F4" s="1445"/>
      <c r="G4" s="1445"/>
      <c r="H4" s="1445"/>
      <c r="I4" s="338"/>
    </row>
    <row r="5" spans="1:9" x14ac:dyDescent="0.25">
      <c r="A5" s="298"/>
      <c r="B5" s="653" t="s">
        <v>1334</v>
      </c>
      <c r="C5" s="685" t="s">
        <v>3217</v>
      </c>
      <c r="D5" s="685"/>
      <c r="E5" s="685"/>
      <c r="F5" s="685"/>
      <c r="G5" s="685"/>
      <c r="H5" s="685"/>
      <c r="I5" s="338"/>
    </row>
    <row r="6" spans="1:9" x14ac:dyDescent="0.25">
      <c r="A6" s="298"/>
      <c r="B6" s="654"/>
      <c r="C6" s="644" t="s">
        <v>3204</v>
      </c>
      <c r="D6" s="644" t="s">
        <v>3223</v>
      </c>
      <c r="E6" s="644" t="s">
        <v>1235</v>
      </c>
      <c r="F6" s="644" t="s">
        <v>3209</v>
      </c>
      <c r="G6" s="644" t="s">
        <v>3224</v>
      </c>
      <c r="H6" s="644" t="s">
        <v>3225</v>
      </c>
      <c r="I6" s="338"/>
    </row>
    <row r="7" spans="1:9" x14ac:dyDescent="0.25">
      <c r="A7" s="712" t="s">
        <v>3</v>
      </c>
      <c r="B7" s="622">
        <f>SUM(B8:B22)</f>
        <v>21019442</v>
      </c>
      <c r="C7" s="622">
        <f>SUM(C8:C22)</f>
        <v>1914511</v>
      </c>
      <c r="D7" s="622">
        <f>SUM(D8:D22)</f>
        <v>18985868</v>
      </c>
      <c r="E7" s="622">
        <f>SUM(E8:E22)</f>
        <v>36963</v>
      </c>
      <c r="F7" s="622">
        <f>SUM(F8:F22)</f>
        <v>46297</v>
      </c>
      <c r="G7" s="660" t="s">
        <v>193</v>
      </c>
      <c r="H7" s="622">
        <f>SUM(H8:H22)</f>
        <v>35803</v>
      </c>
      <c r="I7" s="1056"/>
    </row>
    <row r="8" spans="1:9" x14ac:dyDescent="0.25">
      <c r="A8" s="288" t="s">
        <v>4</v>
      </c>
      <c r="B8" s="622">
        <f t="shared" ref="B8:B22" si="0">SUM(C8:H8)</f>
        <v>121131</v>
      </c>
      <c r="C8" s="315">
        <v>21662</v>
      </c>
      <c r="D8" s="315">
        <f>111767-12298</f>
        <v>99469</v>
      </c>
      <c r="E8" s="315">
        <v>0</v>
      </c>
      <c r="F8" s="315">
        <v>0</v>
      </c>
      <c r="G8" s="626" t="s">
        <v>193</v>
      </c>
      <c r="H8" s="315">
        <v>0</v>
      </c>
      <c r="I8" s="1446"/>
    </row>
    <row r="9" spans="1:9" x14ac:dyDescent="0.25">
      <c r="A9" s="288" t="s">
        <v>5</v>
      </c>
      <c r="B9" s="622">
        <f>SUM(C9:H9)</f>
        <v>558686</v>
      </c>
      <c r="C9" s="315">
        <f>21826+3037+127+2252+1349+1101+844+2724+807+658+2601+5070</f>
        <v>42396</v>
      </c>
      <c r="D9" s="315">
        <v>515318</v>
      </c>
      <c r="E9" s="315">
        <v>0</v>
      </c>
      <c r="F9" s="315">
        <f>280+344+348</f>
        <v>972</v>
      </c>
      <c r="G9" s="626" t="s">
        <v>193</v>
      </c>
      <c r="H9" s="315">
        <v>0</v>
      </c>
      <c r="I9" s="1446"/>
    </row>
    <row r="10" spans="1:9" x14ac:dyDescent="0.25">
      <c r="A10" s="288" t="s">
        <v>6</v>
      </c>
      <c r="B10" s="622">
        <f t="shared" si="0"/>
        <v>989240</v>
      </c>
      <c r="C10" s="315">
        <f>39170+3970+1358+673+404+5032+2084+65+66+294+211+144+1332+874+2691+8343+3211</f>
        <v>69922</v>
      </c>
      <c r="D10" s="315">
        <v>915877</v>
      </c>
      <c r="E10" s="315">
        <v>0</v>
      </c>
      <c r="F10" s="315">
        <v>132</v>
      </c>
      <c r="G10" s="626" t="s">
        <v>193</v>
      </c>
      <c r="H10" s="315">
        <f>2605+449+255</f>
        <v>3309</v>
      </c>
      <c r="I10" s="1446"/>
    </row>
    <row r="11" spans="1:9" x14ac:dyDescent="0.25">
      <c r="A11" s="288" t="s">
        <v>7</v>
      </c>
      <c r="B11" s="622">
        <f t="shared" si="0"/>
        <v>56567</v>
      </c>
      <c r="C11" s="315">
        <f>6984+264+376+332</f>
        <v>7956</v>
      </c>
      <c r="D11" s="315">
        <v>48315</v>
      </c>
      <c r="E11" s="315">
        <v>0</v>
      </c>
      <c r="F11" s="315">
        <v>136</v>
      </c>
      <c r="G11" s="626" t="s">
        <v>193</v>
      </c>
      <c r="H11" s="315">
        <v>160</v>
      </c>
      <c r="I11" s="1446"/>
    </row>
    <row r="12" spans="1:9" x14ac:dyDescent="0.25">
      <c r="A12" s="288" t="s">
        <v>8</v>
      </c>
      <c r="B12" s="622">
        <f t="shared" si="0"/>
        <v>558695</v>
      </c>
      <c r="C12" s="315">
        <f>28818+3923+1621+1053+3743+340+759+2719+5449</f>
        <v>48425</v>
      </c>
      <c r="D12" s="315">
        <f>558695-48425-1691</f>
        <v>508579</v>
      </c>
      <c r="E12" s="315"/>
      <c r="F12" s="315">
        <f>347+720+624</f>
        <v>1691</v>
      </c>
      <c r="G12" s="626" t="s">
        <v>193</v>
      </c>
      <c r="H12" s="315">
        <v>0</v>
      </c>
      <c r="I12" s="1446"/>
    </row>
    <row r="13" spans="1:9" x14ac:dyDescent="0.25">
      <c r="A13" s="288" t="s">
        <v>9</v>
      </c>
      <c r="B13" s="622">
        <f>SUM(C13:H13)</f>
        <v>1690802</v>
      </c>
      <c r="C13" s="315">
        <f>87031+2661+1048+6634+1815+1263+564+882+523+439+163+3891+1269+920+106+214+63+363+721+287+231+2507+149+621+230+217+9522+3140+878+605+123+11236+4298+2216</f>
        <v>146830</v>
      </c>
      <c r="D13" s="315">
        <f>441703+1014928+7329+226842-146830-426-4167-1552</f>
        <v>1537827</v>
      </c>
      <c r="E13" s="315">
        <f>72+354</f>
        <v>426</v>
      </c>
      <c r="F13" s="315">
        <f>1933+1146+138+950</f>
        <v>4167</v>
      </c>
      <c r="G13" s="626" t="s">
        <v>193</v>
      </c>
      <c r="H13" s="315">
        <f>1225+203+124</f>
        <v>1552</v>
      </c>
      <c r="I13" s="1446"/>
    </row>
    <row r="14" spans="1:9" x14ac:dyDescent="0.25">
      <c r="A14" s="288" t="s">
        <v>10</v>
      </c>
      <c r="B14" s="622">
        <f t="shared" si="0"/>
        <v>13045938</v>
      </c>
      <c r="C14" s="315">
        <v>1278367</v>
      </c>
      <c r="D14" s="315">
        <v>11670856</v>
      </c>
      <c r="E14" s="315">
        <f>4009+1000+3449+541+243+1212+25837+56</f>
        <v>36347</v>
      </c>
      <c r="F14" s="315">
        <f>8661+21522+3945</f>
        <v>34128</v>
      </c>
      <c r="G14" s="626" t="s">
        <v>193</v>
      </c>
      <c r="H14" s="315">
        <f>24+26216</f>
        <v>26240</v>
      </c>
      <c r="I14" s="1446"/>
    </row>
    <row r="15" spans="1:9" x14ac:dyDescent="0.25">
      <c r="A15" s="288" t="s">
        <v>134</v>
      </c>
      <c r="B15" s="622">
        <f t="shared" si="0"/>
        <v>440539</v>
      </c>
      <c r="C15" s="315">
        <f>22439+2258+88+40+1115+5468</f>
        <v>31408</v>
      </c>
      <c r="D15" s="315">
        <f>420891+19648-31408</f>
        <v>409131</v>
      </c>
      <c r="E15" s="315">
        <v>0</v>
      </c>
      <c r="F15" s="315">
        <v>0</v>
      </c>
      <c r="G15" s="626" t="s">
        <v>193</v>
      </c>
      <c r="H15" s="315">
        <v>0</v>
      </c>
      <c r="I15" s="1446"/>
    </row>
    <row r="16" spans="1:9" x14ac:dyDescent="0.25">
      <c r="A16" s="288" t="s">
        <v>12</v>
      </c>
      <c r="B16" s="622">
        <f t="shared" si="0"/>
        <v>383218</v>
      </c>
      <c r="C16" s="315">
        <f>5216+1952+336+919+196+137+990+201+171+3222+888+69+53+28+126+352+570+56+43+605+1139+142+480+113+4024+1112</f>
        <v>23140</v>
      </c>
      <c r="D16" s="315">
        <f>65475+317743-23140-133-1155-88</f>
        <v>358702</v>
      </c>
      <c r="E16" s="315">
        <v>133</v>
      </c>
      <c r="F16" s="315">
        <f>297+247+93+148+73+297</f>
        <v>1155</v>
      </c>
      <c r="G16" s="626" t="s">
        <v>193</v>
      </c>
      <c r="H16" s="315">
        <f>55+33</f>
        <v>88</v>
      </c>
      <c r="I16" s="1446"/>
    </row>
    <row r="17" spans="1:9" x14ac:dyDescent="0.25">
      <c r="A17" s="288" t="s">
        <v>13</v>
      </c>
      <c r="B17" s="622">
        <f t="shared" si="0"/>
        <v>1777184</v>
      </c>
      <c r="C17" s="315">
        <f>28056+68117+1985+1389+7750+637+168+5267+749+277+1020+7780+725+502+13+101+844+2220+103+73+284+292+6045+2055+1498+16322+2986+1682</f>
        <v>158940</v>
      </c>
      <c r="D17" s="315">
        <f>169788+282585+1324811-158940-3790-2493</f>
        <v>1611961</v>
      </c>
      <c r="E17" s="315">
        <v>0</v>
      </c>
      <c r="F17" s="315">
        <f>1607+1403+780</f>
        <v>3790</v>
      </c>
      <c r="G17" s="626" t="s">
        <v>193</v>
      </c>
      <c r="H17" s="315">
        <f>1548+945</f>
        <v>2493</v>
      </c>
      <c r="I17" s="1446"/>
    </row>
    <row r="18" spans="1:9" x14ac:dyDescent="0.25">
      <c r="A18" s="288" t="s">
        <v>47</v>
      </c>
      <c r="B18" s="622">
        <f t="shared" si="0"/>
        <v>562939</v>
      </c>
      <c r="C18" s="315">
        <f>30105+2387+1303+244+1379+127+95+40+211+224+395+451+976+4553+254</f>
        <v>42744</v>
      </c>
      <c r="D18" s="315">
        <f>560469+2470-42744-126-1418</f>
        <v>518651</v>
      </c>
      <c r="E18" s="315">
        <v>0</v>
      </c>
      <c r="F18" s="315">
        <v>126</v>
      </c>
      <c r="G18" s="626" t="s">
        <v>193</v>
      </c>
      <c r="H18" s="315">
        <f>814+604</f>
        <v>1418</v>
      </c>
      <c r="I18" s="1446"/>
    </row>
    <row r="19" spans="1:9" x14ac:dyDescent="0.25">
      <c r="A19" s="288" t="s">
        <v>135</v>
      </c>
      <c r="B19" s="622">
        <f t="shared" si="0"/>
        <v>269705</v>
      </c>
      <c r="C19" s="315">
        <v>3424</v>
      </c>
      <c r="D19" s="315">
        <v>266281</v>
      </c>
      <c r="E19" s="315">
        <v>0</v>
      </c>
      <c r="F19" s="315">
        <v>0</v>
      </c>
      <c r="G19" s="626" t="s">
        <v>193</v>
      </c>
      <c r="H19" s="315">
        <v>0</v>
      </c>
      <c r="I19" s="1446"/>
    </row>
    <row r="20" spans="1:9" x14ac:dyDescent="0.25">
      <c r="A20" s="288" t="s">
        <v>136</v>
      </c>
      <c r="B20" s="622">
        <f t="shared" si="0"/>
        <v>388052</v>
      </c>
      <c r="C20" s="315">
        <f>23911+2011+328+556+134+119+47+742+165+115+292+125+552+37+3111+367</f>
        <v>32612</v>
      </c>
      <c r="D20" s="315">
        <f>352400+35652-32612-323</f>
        <v>355117</v>
      </c>
      <c r="E20" s="315">
        <v>0</v>
      </c>
      <c r="F20" s="315">
        <v>0</v>
      </c>
      <c r="G20" s="626" t="s">
        <v>193</v>
      </c>
      <c r="H20" s="315">
        <f>198+125</f>
        <v>323</v>
      </c>
      <c r="I20" s="1446"/>
    </row>
    <row r="21" spans="1:9" x14ac:dyDescent="0.25">
      <c r="A21" s="288" t="s">
        <v>17</v>
      </c>
      <c r="B21" s="622">
        <f t="shared" si="0"/>
        <v>2243</v>
      </c>
      <c r="C21" s="315">
        <v>2243</v>
      </c>
      <c r="D21" s="315">
        <v>0</v>
      </c>
      <c r="E21" s="315">
        <v>0</v>
      </c>
      <c r="F21" s="315">
        <v>0</v>
      </c>
      <c r="G21" s="626" t="s">
        <v>193</v>
      </c>
      <c r="H21" s="315">
        <v>0</v>
      </c>
      <c r="I21" s="1446"/>
    </row>
    <row r="22" spans="1:9" x14ac:dyDescent="0.25">
      <c r="A22" s="288" t="s">
        <v>18</v>
      </c>
      <c r="B22" s="622">
        <f t="shared" si="0"/>
        <v>174503</v>
      </c>
      <c r="C22" s="315">
        <f>575+84+336+311+39+46+227+611+58+684+1471</f>
        <v>4442</v>
      </c>
      <c r="D22" s="315">
        <f>170503-442-57-220</f>
        <v>169784</v>
      </c>
      <c r="E22" s="315">
        <v>57</v>
      </c>
      <c r="F22" s="315">
        <v>0</v>
      </c>
      <c r="G22" s="626" t="s">
        <v>193</v>
      </c>
      <c r="H22" s="315">
        <f>23+197</f>
        <v>220</v>
      </c>
      <c r="I22" s="1446"/>
    </row>
    <row r="23" spans="1:9" x14ac:dyDescent="0.25">
      <c r="A23" s="288"/>
      <c r="B23" s="622"/>
      <c r="C23" s="315"/>
      <c r="D23" s="315"/>
      <c r="E23" s="315"/>
      <c r="F23" s="315"/>
      <c r="G23" s="315"/>
      <c r="H23" s="315"/>
      <c r="I23" s="1446"/>
    </row>
    <row r="24" spans="1:9" x14ac:dyDescent="0.25">
      <c r="A24" s="1405" t="s">
        <v>3194</v>
      </c>
      <c r="B24" s="1405"/>
      <c r="C24" s="1405"/>
      <c r="D24" s="1405"/>
      <c r="E24" s="1405"/>
      <c r="F24" s="1405"/>
      <c r="G24" s="1405"/>
      <c r="H24" s="1405"/>
      <c r="I24" s="714"/>
    </row>
    <row r="25" spans="1:9" ht="28.5" customHeight="1" x14ac:dyDescent="0.25">
      <c r="A25" s="697" t="s">
        <v>3226</v>
      </c>
      <c r="B25" s="697"/>
      <c r="C25" s="697"/>
      <c r="D25" s="697"/>
      <c r="E25" s="697"/>
      <c r="F25" s="697"/>
      <c r="G25" s="697"/>
      <c r="H25" s="697"/>
      <c r="I25" s="714"/>
    </row>
    <row r="26" spans="1:9" x14ac:dyDescent="0.25">
      <c r="A26" s="296" t="s">
        <v>19</v>
      </c>
      <c r="B26" s="296"/>
      <c r="C26" s="296"/>
      <c r="D26" s="296"/>
      <c r="E26" s="296"/>
      <c r="F26" s="296"/>
      <c r="G26" s="296"/>
      <c r="H26" s="296"/>
      <c r="I26" s="714"/>
    </row>
    <row r="27" spans="1:9" x14ac:dyDescent="0.25">
      <c r="A27" s="704" t="s">
        <v>1313</v>
      </c>
      <c r="B27" s="704"/>
      <c r="C27" s="704"/>
      <c r="D27" s="704"/>
      <c r="E27" s="704"/>
      <c r="F27" s="704"/>
      <c r="G27" s="704"/>
      <c r="H27" s="704"/>
      <c r="I27" s="714"/>
    </row>
    <row r="28" spans="1:9" x14ac:dyDescent="0.25">
      <c r="A28" s="1405" t="s">
        <v>3195</v>
      </c>
      <c r="B28" s="1405"/>
      <c r="C28" s="1405"/>
      <c r="D28" s="1405"/>
      <c r="E28" s="1405"/>
      <c r="F28" s="1405"/>
      <c r="G28" s="1405"/>
      <c r="H28" s="1405"/>
      <c r="I28" s="1447"/>
    </row>
    <row r="29" spans="1:9" x14ac:dyDescent="0.25">
      <c r="A29" s="1448"/>
      <c r="B29" s="1448"/>
      <c r="C29" s="1448"/>
      <c r="D29" s="1448"/>
      <c r="E29" s="1448"/>
      <c r="F29" s="1448"/>
      <c r="G29" s="1448"/>
      <c r="H29" s="1448"/>
      <c r="I29" s="1447"/>
    </row>
  </sheetData>
  <mergeCells count="10">
    <mergeCell ref="A25:H25"/>
    <mergeCell ref="A26:H26"/>
    <mergeCell ref="A27:H27"/>
    <mergeCell ref="A28:H28"/>
    <mergeCell ref="A2:H2"/>
    <mergeCell ref="A4:A6"/>
    <mergeCell ref="B4:H4"/>
    <mergeCell ref="B5:B6"/>
    <mergeCell ref="C5:H5"/>
    <mergeCell ref="A24:H24"/>
  </mergeCells>
  <pageMargins left="0.7" right="0.7" top="0.75" bottom="0.75" header="0.3" footer="0.3"/>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03BD4-ADCD-4B35-A87F-50BBBAAF744F}">
  <sheetPr codeName="Hoja276"/>
  <dimension ref="A1:J24"/>
  <sheetViews>
    <sheetView workbookViewId="0">
      <selection activeCell="A4" sqref="A4:A6"/>
    </sheetView>
  </sheetViews>
  <sheetFormatPr baseColWidth="10" defaultColWidth="11.44140625" defaultRowHeight="13.2" x14ac:dyDescent="0.25"/>
  <cols>
    <col min="1" max="1" width="7.109375" style="338" customWidth="1"/>
    <col min="2" max="2" width="13" style="338" bestFit="1" customWidth="1"/>
    <col min="3" max="7" width="18" style="338" customWidth="1"/>
    <col min="8" max="8" width="9.6640625" style="338" customWidth="1"/>
    <col min="9" max="16384" width="11.44140625" style="338"/>
  </cols>
  <sheetData>
    <row r="1" spans="1:10" x14ac:dyDescent="0.25">
      <c r="A1" s="1012"/>
    </row>
    <row r="2" spans="1:10" x14ac:dyDescent="0.25">
      <c r="A2" s="1443" t="s">
        <v>3227</v>
      </c>
      <c r="B2" s="1443"/>
      <c r="C2" s="1443"/>
      <c r="D2" s="1443"/>
      <c r="E2" s="1443"/>
      <c r="F2" s="1443"/>
      <c r="G2" s="1443"/>
      <c r="H2" s="1443"/>
    </row>
    <row r="3" spans="1:10" x14ac:dyDescent="0.25">
      <c r="C3" s="1447"/>
      <c r="D3" s="1447"/>
      <c r="E3" s="1449"/>
    </row>
    <row r="4" spans="1:10" x14ac:dyDescent="0.25">
      <c r="A4" s="323" t="s">
        <v>825</v>
      </c>
      <c r="B4" s="1450" t="s">
        <v>3222</v>
      </c>
      <c r="C4" s="1450"/>
      <c r="D4" s="1450"/>
      <c r="E4" s="1450"/>
      <c r="F4" s="1450"/>
      <c r="G4" s="1450"/>
      <c r="H4" s="1450"/>
    </row>
    <row r="5" spans="1:10" x14ac:dyDescent="0.25">
      <c r="A5" s="323"/>
      <c r="B5" s="323" t="s">
        <v>1334</v>
      </c>
      <c r="C5" s="323" t="s">
        <v>3228</v>
      </c>
      <c r="D5" s="323"/>
      <c r="E5" s="323"/>
      <c r="F5" s="323"/>
      <c r="G5" s="323"/>
      <c r="H5" s="323"/>
    </row>
    <row r="6" spans="1:10" s="2" customFormat="1" ht="20.399999999999999" x14ac:dyDescent="0.2">
      <c r="A6" s="323"/>
      <c r="B6" s="323"/>
      <c r="C6" s="621" t="s">
        <v>3204</v>
      </c>
      <c r="D6" s="621" t="s">
        <v>3229</v>
      </c>
      <c r="E6" s="621" t="s">
        <v>1235</v>
      </c>
      <c r="F6" s="644" t="s">
        <v>3209</v>
      </c>
      <c r="G6" s="644" t="s">
        <v>3224</v>
      </c>
      <c r="H6" s="644" t="s">
        <v>3225</v>
      </c>
    </row>
    <row r="7" spans="1:10" s="2" customFormat="1" ht="10.199999999999999" x14ac:dyDescent="0.2">
      <c r="A7" s="997">
        <v>2009</v>
      </c>
      <c r="B7" s="1451">
        <f>SUM(C7:H7)</f>
        <v>14442596</v>
      </c>
      <c r="C7" s="1452">
        <v>562119</v>
      </c>
      <c r="D7" s="1452">
        <v>12501351</v>
      </c>
      <c r="E7" s="1452">
        <v>226572</v>
      </c>
      <c r="F7" s="1452">
        <v>5100</v>
      </c>
      <c r="G7" s="1452">
        <v>1112722</v>
      </c>
      <c r="H7" s="1452">
        <v>34732</v>
      </c>
    </row>
    <row r="8" spans="1:10" s="2" customFormat="1" ht="10.199999999999999" x14ac:dyDescent="0.2">
      <c r="A8" s="669">
        <v>2010</v>
      </c>
      <c r="B8" s="1451">
        <f>SUM(C8:H8)</f>
        <v>14714031</v>
      </c>
      <c r="C8" s="1452">
        <v>345662</v>
      </c>
      <c r="D8" s="1452">
        <v>13732183</v>
      </c>
      <c r="E8" s="1452">
        <v>164531</v>
      </c>
      <c r="F8" s="1452">
        <v>88931</v>
      </c>
      <c r="G8" s="1452">
        <v>380182</v>
      </c>
      <c r="H8" s="1452">
        <v>2542</v>
      </c>
      <c r="I8" s="643"/>
    </row>
    <row r="9" spans="1:10" s="2" customFormat="1" ht="10.199999999999999" x14ac:dyDescent="0.2">
      <c r="A9" s="669" t="s">
        <v>2215</v>
      </c>
      <c r="B9" s="1451">
        <f>SUM(C9:H9)</f>
        <v>17320697</v>
      </c>
      <c r="C9" s="1452">
        <v>912332</v>
      </c>
      <c r="D9" s="1452">
        <v>15946588</v>
      </c>
      <c r="E9" s="1452">
        <v>200671</v>
      </c>
      <c r="F9" s="1452">
        <v>27500</v>
      </c>
      <c r="G9" s="1452">
        <v>228420</v>
      </c>
      <c r="H9" s="1452">
        <v>5186</v>
      </c>
      <c r="I9" s="643"/>
      <c r="J9" s="1453"/>
    </row>
    <row r="10" spans="1:10" s="2" customFormat="1" ht="10.199999999999999" x14ac:dyDescent="0.2">
      <c r="A10" s="669" t="s">
        <v>2216</v>
      </c>
      <c r="B10" s="1451">
        <f>SUM(C10:H10)</f>
        <v>20122604</v>
      </c>
      <c r="C10" s="1452">
        <v>2495367</v>
      </c>
      <c r="D10" s="1452">
        <v>16323896</v>
      </c>
      <c r="E10" s="1452">
        <v>585461</v>
      </c>
      <c r="F10" s="1452">
        <v>26481</v>
      </c>
      <c r="G10" s="1452">
        <v>665532</v>
      </c>
      <c r="H10" s="1452">
        <v>25867</v>
      </c>
      <c r="I10" s="643"/>
      <c r="J10" s="1453"/>
    </row>
    <row r="11" spans="1:10" s="2" customFormat="1" ht="12" x14ac:dyDescent="0.2">
      <c r="A11" s="669" t="s">
        <v>3230</v>
      </c>
      <c r="B11" s="1451">
        <f>SUM(C11:H11)</f>
        <v>21019442</v>
      </c>
      <c r="C11" s="1452">
        <v>1914511</v>
      </c>
      <c r="D11" s="1452">
        <v>18985868</v>
      </c>
      <c r="E11" s="1452">
        <v>36963</v>
      </c>
      <c r="F11" s="1452">
        <v>46297</v>
      </c>
      <c r="G11" s="1452" t="s">
        <v>193</v>
      </c>
      <c r="H11" s="1452">
        <v>35803</v>
      </c>
      <c r="I11" s="643"/>
      <c r="J11" s="1453"/>
    </row>
    <row r="12" spans="1:10" s="2" customFormat="1" ht="6.75" customHeight="1" x14ac:dyDescent="0.2">
      <c r="A12" s="669"/>
      <c r="B12" s="655"/>
      <c r="C12" s="643"/>
      <c r="D12" s="643"/>
      <c r="E12" s="643"/>
      <c r="F12" s="643"/>
      <c r="G12" s="643"/>
      <c r="H12" s="643"/>
      <c r="I12" s="643"/>
      <c r="J12" s="1453"/>
    </row>
    <row r="13" spans="1:10" s="2" customFormat="1" ht="10.199999999999999" x14ac:dyDescent="0.2">
      <c r="A13" s="669" t="s">
        <v>3231</v>
      </c>
      <c r="B13" s="655"/>
      <c r="C13" s="643"/>
      <c r="D13" s="643"/>
      <c r="E13" s="643"/>
      <c r="F13" s="643"/>
      <c r="G13" s="643"/>
      <c r="H13" s="643"/>
      <c r="I13" s="643"/>
      <c r="J13" s="1453"/>
    </row>
    <row r="14" spans="1:10" s="2" customFormat="1" ht="10.199999999999999" x14ac:dyDescent="0.2">
      <c r="A14" s="647" t="s">
        <v>3232</v>
      </c>
      <c r="B14" s="647"/>
      <c r="C14" s="647"/>
      <c r="D14" s="647"/>
      <c r="E14" s="647"/>
      <c r="F14" s="647"/>
      <c r="G14" s="647"/>
      <c r="H14" s="647"/>
    </row>
    <row r="15" spans="1:10" s="714" customFormat="1" ht="10.199999999999999" x14ac:dyDescent="0.2">
      <c r="A15" s="704" t="s">
        <v>1313</v>
      </c>
      <c r="B15" s="704"/>
      <c r="C15" s="704"/>
      <c r="D15" s="704"/>
      <c r="E15" s="704"/>
      <c r="F15" s="704"/>
      <c r="G15" s="704"/>
      <c r="H15" s="704"/>
      <c r="J15" s="2"/>
    </row>
    <row r="16" spans="1:10" x14ac:dyDescent="0.25">
      <c r="A16" s="1405" t="s">
        <v>3195</v>
      </c>
      <c r="B16" s="1405"/>
      <c r="C16" s="1405"/>
      <c r="D16" s="1405"/>
      <c r="E16" s="1405"/>
      <c r="F16" s="1405"/>
      <c r="G16" s="1405"/>
      <c r="H16" s="1405"/>
    </row>
    <row r="19" spans="2:8" x14ac:dyDescent="0.25">
      <c r="B19" s="1454"/>
      <c r="C19" s="1455"/>
      <c r="D19" s="1455"/>
      <c r="E19" s="1455"/>
      <c r="F19" s="1455"/>
      <c r="G19" s="1455"/>
      <c r="H19" s="1455"/>
    </row>
    <row r="20" spans="2:8" x14ac:dyDescent="0.25">
      <c r="B20" s="948"/>
      <c r="C20" s="1455"/>
      <c r="D20" s="1455"/>
      <c r="E20" s="1455"/>
      <c r="F20" s="1455"/>
      <c r="G20" s="1455"/>
      <c r="H20" s="1455"/>
    </row>
    <row r="21" spans="2:8" x14ac:dyDescent="0.25">
      <c r="B21" s="669"/>
      <c r="C21" s="1455"/>
      <c r="D21" s="1455"/>
      <c r="E21" s="1455"/>
      <c r="F21" s="1455"/>
      <c r="G21" s="1455"/>
      <c r="H21" s="1455"/>
    </row>
    <row r="22" spans="2:8" x14ac:dyDescent="0.25">
      <c r="B22" s="669"/>
      <c r="C22" s="1455"/>
      <c r="D22" s="1455"/>
      <c r="E22" s="1455"/>
      <c r="F22" s="1455"/>
      <c r="G22" s="1455"/>
      <c r="H22" s="1455"/>
    </row>
    <row r="23" spans="2:8" x14ac:dyDescent="0.25">
      <c r="B23" s="669"/>
      <c r="C23" s="1455"/>
      <c r="D23" s="1455"/>
      <c r="E23" s="1455"/>
      <c r="F23" s="1455"/>
      <c r="G23" s="1455"/>
      <c r="H23" s="1455"/>
    </row>
    <row r="24" spans="2:8" x14ac:dyDescent="0.25">
      <c r="B24" s="669"/>
      <c r="C24" s="1455"/>
      <c r="D24" s="1455"/>
      <c r="E24" s="1455"/>
      <c r="F24" s="1455"/>
      <c r="G24" s="1455"/>
      <c r="H24" s="1455"/>
    </row>
  </sheetData>
  <mergeCells count="8">
    <mergeCell ref="A15:H15"/>
    <mergeCell ref="A16:H16"/>
    <mergeCell ref="A2:H2"/>
    <mergeCell ref="A4:A6"/>
    <mergeCell ref="B4:H4"/>
    <mergeCell ref="B5:B6"/>
    <mergeCell ref="C5:H5"/>
    <mergeCell ref="A14:H14"/>
  </mergeCells>
  <pageMargins left="0.7" right="0.7" top="0.75" bottom="0.75" header="0.3" footer="0.3"/>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E7E831-7DF9-4B02-B59B-A4E48A0C5016}">
  <sheetPr codeName="Hoja277"/>
  <dimension ref="A1:M32"/>
  <sheetViews>
    <sheetView workbookViewId="0">
      <selection activeCell="A4" sqref="A4:A6"/>
    </sheetView>
  </sheetViews>
  <sheetFormatPr baseColWidth="10" defaultColWidth="11.44140625" defaultRowHeight="13.2" x14ac:dyDescent="0.25"/>
  <cols>
    <col min="1" max="1" width="27.44140625" style="338" customWidth="1"/>
    <col min="2" max="2" width="13.33203125" style="338" bestFit="1" customWidth="1"/>
    <col min="3" max="3" width="12.88671875" style="338" customWidth="1"/>
    <col min="4" max="4" width="11.88671875" style="338" bestFit="1" customWidth="1"/>
    <col min="5" max="5" width="13.33203125" style="338" bestFit="1" customWidth="1"/>
    <col min="6" max="6" width="14.33203125" style="338" bestFit="1" customWidth="1"/>
    <col min="7" max="7" width="11.44140625" style="338"/>
    <col min="8" max="8" width="14.109375" style="338" bestFit="1" customWidth="1"/>
    <col min="9" max="16384" width="11.44140625" style="338"/>
  </cols>
  <sheetData>
    <row r="1" spans="1:13" x14ac:dyDescent="0.25">
      <c r="A1" s="1012"/>
    </row>
    <row r="2" spans="1:13" s="1458" customFormat="1" ht="27.75" customHeight="1" x14ac:dyDescent="0.25">
      <c r="A2" s="1456" t="s">
        <v>3233</v>
      </c>
      <c r="B2" s="1456"/>
      <c r="C2" s="1456"/>
      <c r="D2" s="1456"/>
      <c r="E2" s="1456"/>
      <c r="F2" s="1456"/>
      <c r="G2" s="1011"/>
      <c r="H2" s="1457"/>
      <c r="I2" s="1457"/>
      <c r="J2" s="1457"/>
      <c r="K2" s="1457"/>
      <c r="L2" s="1457"/>
      <c r="M2" s="1457"/>
    </row>
    <row r="3" spans="1:13" s="1458" customFormat="1" ht="12.6" x14ac:dyDescent="0.2">
      <c r="B3" s="1459"/>
      <c r="C3" s="1459"/>
      <c r="D3" s="1459"/>
      <c r="E3" s="1459"/>
      <c r="H3" s="1457"/>
      <c r="I3" s="1457"/>
      <c r="J3" s="1457"/>
      <c r="K3" s="1457"/>
      <c r="L3" s="1457"/>
      <c r="M3" s="1460"/>
    </row>
    <row r="4" spans="1:13" s="1458" customFormat="1" ht="12.6" x14ac:dyDescent="0.2">
      <c r="A4" s="323" t="s">
        <v>0</v>
      </c>
      <c r="B4" s="1450" t="s">
        <v>3222</v>
      </c>
      <c r="C4" s="1450"/>
      <c r="D4" s="1450"/>
      <c r="E4" s="1450"/>
      <c r="F4" s="1450"/>
      <c r="H4" s="2"/>
      <c r="I4" s="1457"/>
      <c r="J4" s="1457"/>
      <c r="K4" s="1457"/>
      <c r="L4" s="1457"/>
      <c r="M4" s="1457"/>
    </row>
    <row r="5" spans="1:13" s="1461" customFormat="1" ht="12.75" customHeight="1" x14ac:dyDescent="0.2">
      <c r="A5" s="323"/>
      <c r="B5" s="1450" t="s">
        <v>42</v>
      </c>
      <c r="C5" s="1450" t="s">
        <v>3234</v>
      </c>
      <c r="D5" s="1450"/>
      <c r="E5" s="1450"/>
      <c r="F5" s="1450"/>
      <c r="H5" s="2"/>
      <c r="I5" s="1457"/>
      <c r="J5" s="1457"/>
      <c r="K5" s="1457"/>
      <c r="L5" s="1457"/>
      <c r="M5" s="1457"/>
    </row>
    <row r="6" spans="1:13" s="1461" customFormat="1" ht="24.75" customHeight="1" x14ac:dyDescent="0.2">
      <c r="A6" s="323"/>
      <c r="B6" s="1450"/>
      <c r="C6" s="1462" t="s">
        <v>3235</v>
      </c>
      <c r="D6" s="1462" t="s">
        <v>3236</v>
      </c>
      <c r="E6" s="1462" t="s">
        <v>3237</v>
      </c>
      <c r="F6" s="1462" t="s">
        <v>3238</v>
      </c>
      <c r="H6" s="2"/>
      <c r="I6" s="1457"/>
      <c r="J6" s="1457"/>
      <c r="K6" s="1457"/>
      <c r="L6" s="1457"/>
      <c r="M6" s="1457"/>
    </row>
    <row r="7" spans="1:13" s="1056" customFormat="1" ht="11.4" x14ac:dyDescent="0.2">
      <c r="A7" s="1463" t="s">
        <v>3</v>
      </c>
      <c r="B7" s="622">
        <f t="shared" ref="B7:B22" si="0">SUM(C7:F7)</f>
        <v>21019442</v>
      </c>
      <c r="C7" s="622">
        <f>SUM(C8:C22)</f>
        <v>4313988</v>
      </c>
      <c r="D7" s="622">
        <f t="shared" ref="D7:E7" si="1">SUM(D8:D22)</f>
        <v>6072479</v>
      </c>
      <c r="E7" s="622">
        <f t="shared" si="1"/>
        <v>331828</v>
      </c>
      <c r="F7" s="622">
        <f>SUM(F8:F22)</f>
        <v>10301147</v>
      </c>
      <c r="H7" s="894"/>
      <c r="I7" s="643"/>
      <c r="J7" s="643"/>
      <c r="K7" s="643"/>
      <c r="L7" s="643"/>
      <c r="M7" s="643"/>
    </row>
    <row r="8" spans="1:13" x14ac:dyDescent="0.25">
      <c r="A8" s="1464" t="s">
        <v>4</v>
      </c>
      <c r="B8" s="622">
        <f t="shared" si="0"/>
        <v>121131</v>
      </c>
      <c r="C8" s="1465">
        <v>21376</v>
      </c>
      <c r="D8" s="1465">
        <v>28715</v>
      </c>
      <c r="E8" s="1465">
        <v>0</v>
      </c>
      <c r="F8" s="1465">
        <v>71040</v>
      </c>
    </row>
    <row r="9" spans="1:13" x14ac:dyDescent="0.25">
      <c r="A9" s="1464" t="s">
        <v>5</v>
      </c>
      <c r="B9" s="622">
        <f t="shared" si="0"/>
        <v>558686</v>
      </c>
      <c r="C9" s="1465">
        <f>27749+110035</f>
        <v>137784</v>
      </c>
      <c r="D9" s="1465">
        <f>36700+147150</f>
        <v>183850</v>
      </c>
      <c r="E9" s="1465">
        <f>777+5511</f>
        <v>6288</v>
      </c>
      <c r="F9" s="1465">
        <v>230764</v>
      </c>
    </row>
    <row r="10" spans="1:13" x14ac:dyDescent="0.25">
      <c r="A10" s="1464" t="s">
        <v>6</v>
      </c>
      <c r="B10" s="622">
        <f t="shared" si="0"/>
        <v>989240</v>
      </c>
      <c r="C10" s="1465">
        <f>161426+56986</f>
        <v>218412</v>
      </c>
      <c r="D10" s="1465">
        <f>221809+82616</f>
        <v>304425</v>
      </c>
      <c r="E10" s="1465">
        <f>10556+6871</f>
        <v>17427</v>
      </c>
      <c r="F10" s="1465">
        <f>329081+119895</f>
        <v>448976</v>
      </c>
    </row>
    <row r="11" spans="1:13" x14ac:dyDescent="0.25">
      <c r="A11" s="1464" t="s">
        <v>3239</v>
      </c>
      <c r="B11" s="622">
        <f t="shared" si="0"/>
        <v>56567</v>
      </c>
      <c r="C11" s="1465">
        <v>0</v>
      </c>
      <c r="D11" s="1465">
        <v>0</v>
      </c>
      <c r="E11" s="1465">
        <v>0</v>
      </c>
      <c r="F11" s="1465">
        <v>56567</v>
      </c>
    </row>
    <row r="12" spans="1:13" x14ac:dyDescent="0.25">
      <c r="A12" s="1464" t="s">
        <v>8</v>
      </c>
      <c r="B12" s="622">
        <f t="shared" si="0"/>
        <v>558695</v>
      </c>
      <c r="C12" s="1465">
        <f>130000+63000</f>
        <v>193000</v>
      </c>
      <c r="D12" s="1465">
        <v>107107</v>
      </c>
      <c r="E12" s="1465">
        <v>0</v>
      </c>
      <c r="F12" s="1465">
        <v>258588</v>
      </c>
    </row>
    <row r="13" spans="1:13" x14ac:dyDescent="0.25">
      <c r="A13" s="1464" t="s">
        <v>9</v>
      </c>
      <c r="B13" s="622">
        <f t="shared" si="0"/>
        <v>1690802</v>
      </c>
      <c r="C13" s="1465">
        <v>130000</v>
      </c>
      <c r="D13" s="1465">
        <f>70576+4027+128619+352774</f>
        <v>555996</v>
      </c>
      <c r="E13" s="1465">
        <f>4990+14127</f>
        <v>19117</v>
      </c>
      <c r="F13" s="1465">
        <f>128363+10195+246480+491127+109524</f>
        <v>985689</v>
      </c>
    </row>
    <row r="14" spans="1:13" x14ac:dyDescent="0.25">
      <c r="A14" s="1464" t="s">
        <v>10</v>
      </c>
      <c r="B14" s="622">
        <f t="shared" si="0"/>
        <v>13045938</v>
      </c>
      <c r="C14" s="1465">
        <f>419108+161240+84955+53092+158896+397843+454183+40211+30647+216425+25628+83955+193352+171707+38059+30839+86384+174072+34+16+1669+45+21+32+122</f>
        <v>2822535</v>
      </c>
      <c r="D14" s="1465">
        <f>595256+239185+110878+69727+232743+535976+573456+49623+32325+308118+32674+113033+268570+231041+55473+40779+118747+285491</f>
        <v>3893095</v>
      </c>
      <c r="E14" s="1465">
        <f>47969+12358+1675+2094+16214+44939+36596+1418+1280+14651+334+5099+24599+9129+1295+1505+4726+18622</f>
        <v>244503</v>
      </c>
      <c r="F14" s="1465">
        <f>788812+398688+265145+137468+326856+629276+718030+94695+85647+515460+78919+171450+260341+468136+88055+101302+170969+349886+41545+661406-266281</f>
        <v>6085805</v>
      </c>
    </row>
    <row r="15" spans="1:13" x14ac:dyDescent="0.25">
      <c r="A15" s="1464" t="s">
        <v>134</v>
      </c>
      <c r="B15" s="622">
        <f t="shared" si="0"/>
        <v>440539</v>
      </c>
      <c r="C15" s="1465">
        <f>87762+3438</f>
        <v>91200</v>
      </c>
      <c r="D15" s="1465">
        <v>95354</v>
      </c>
      <c r="E15" s="1465">
        <f>1226+377</f>
        <v>1603</v>
      </c>
      <c r="F15" s="1465">
        <f>238008+14374</f>
        <v>252382</v>
      </c>
    </row>
    <row r="16" spans="1:13" x14ac:dyDescent="0.25">
      <c r="A16" s="1464" t="s">
        <v>12</v>
      </c>
      <c r="B16" s="622">
        <f t="shared" si="0"/>
        <v>383218</v>
      </c>
      <c r="C16" s="1465">
        <v>67047</v>
      </c>
      <c r="D16" s="1465">
        <f>21218+99401</f>
        <v>120619</v>
      </c>
      <c r="E16" s="1465">
        <v>0</v>
      </c>
      <c r="F16" s="1465">
        <v>195552</v>
      </c>
    </row>
    <row r="17" spans="1:10" x14ac:dyDescent="0.25">
      <c r="A17" s="1464" t="s">
        <v>13</v>
      </c>
      <c r="B17" s="622">
        <f t="shared" si="0"/>
        <v>1777184</v>
      </c>
      <c r="C17" s="1465">
        <f>35680+329213+58987</f>
        <v>423880</v>
      </c>
      <c r="D17" s="1465">
        <f>476769+91902</f>
        <v>568671</v>
      </c>
      <c r="E17" s="1465">
        <f>23533+1275</f>
        <v>24808</v>
      </c>
      <c r="F17" s="1465">
        <v>759825</v>
      </c>
    </row>
    <row r="18" spans="1:10" x14ac:dyDescent="0.25">
      <c r="A18" s="1464" t="s">
        <v>47</v>
      </c>
      <c r="B18" s="622">
        <f t="shared" si="0"/>
        <v>562939</v>
      </c>
      <c r="C18" s="1465">
        <v>85100</v>
      </c>
      <c r="D18" s="1465">
        <v>77420</v>
      </c>
      <c r="E18" s="1465">
        <v>8717</v>
      </c>
      <c r="F18" s="1465">
        <v>391702</v>
      </c>
    </row>
    <row r="19" spans="1:10" x14ac:dyDescent="0.25">
      <c r="A19" s="1464" t="s">
        <v>2269</v>
      </c>
      <c r="B19" s="622">
        <f t="shared" si="0"/>
        <v>269705</v>
      </c>
      <c r="C19" s="1465">
        <v>0</v>
      </c>
      <c r="D19" s="1465">
        <v>0</v>
      </c>
      <c r="E19" s="1465">
        <v>2361</v>
      </c>
      <c r="F19" s="1465">
        <f>1063+266281</f>
        <v>267344</v>
      </c>
    </row>
    <row r="20" spans="1:10" x14ac:dyDescent="0.25">
      <c r="A20" s="1464" t="s">
        <v>136</v>
      </c>
      <c r="B20" s="622">
        <f t="shared" si="0"/>
        <v>388052</v>
      </c>
      <c r="C20" s="1465">
        <f>8900+78603</f>
        <v>87503</v>
      </c>
      <c r="D20" s="1465">
        <v>81861</v>
      </c>
      <c r="E20" s="1465">
        <f>33+475+3945</f>
        <v>4453</v>
      </c>
      <c r="F20" s="1465">
        <f>19747+194488</f>
        <v>214235</v>
      </c>
    </row>
    <row r="21" spans="1:10" x14ac:dyDescent="0.25">
      <c r="A21" s="1464" t="s">
        <v>3218</v>
      </c>
      <c r="B21" s="622">
        <f t="shared" si="0"/>
        <v>2243</v>
      </c>
      <c r="C21" s="1465">
        <v>0</v>
      </c>
      <c r="D21" s="1465">
        <v>0</v>
      </c>
      <c r="E21" s="1465">
        <v>0</v>
      </c>
      <c r="F21" s="1465">
        <v>2243</v>
      </c>
    </row>
    <row r="22" spans="1:10" x14ac:dyDescent="0.25">
      <c r="A22" s="1464" t="s">
        <v>18</v>
      </c>
      <c r="B22" s="622">
        <f t="shared" si="0"/>
        <v>174503</v>
      </c>
      <c r="C22" s="1465">
        <v>36151</v>
      </c>
      <c r="D22" s="1465">
        <v>55366</v>
      </c>
      <c r="E22" s="1465">
        <v>2551</v>
      </c>
      <c r="F22" s="1465">
        <v>80435</v>
      </c>
    </row>
    <row r="23" spans="1:10" s="714" customFormat="1" ht="7.5" customHeight="1" x14ac:dyDescent="0.2">
      <c r="G23" s="1466"/>
    </row>
    <row r="24" spans="1:10" s="714" customFormat="1" ht="23.25" customHeight="1" x14ac:dyDescent="0.2">
      <c r="A24" s="1402" t="s">
        <v>3194</v>
      </c>
      <c r="B24" s="1402"/>
      <c r="C24" s="1402"/>
      <c r="D24" s="1402"/>
      <c r="E24" s="1402"/>
      <c r="F24" s="1402"/>
    </row>
    <row r="25" spans="1:10" s="714" customFormat="1" ht="24.75" customHeight="1" x14ac:dyDescent="0.2">
      <c r="A25" s="1402" t="s">
        <v>3240</v>
      </c>
      <c r="B25" s="1402"/>
      <c r="C25" s="1402"/>
      <c r="D25" s="1402"/>
      <c r="E25" s="1402"/>
      <c r="F25" s="1402"/>
    </row>
    <row r="26" spans="1:10" s="714" customFormat="1" ht="10.199999999999999" x14ac:dyDescent="0.2">
      <c r="A26" s="296" t="s">
        <v>19</v>
      </c>
      <c r="B26" s="296"/>
      <c r="C26" s="296"/>
      <c r="D26" s="296"/>
      <c r="E26" s="296"/>
      <c r="F26" s="296"/>
      <c r="G26" s="682"/>
      <c r="H26" s="682"/>
      <c r="J26" s="2"/>
    </row>
    <row r="27" spans="1:10" s="714" customFormat="1" ht="10.199999999999999" x14ac:dyDescent="0.2">
      <c r="A27" s="1405" t="s">
        <v>3195</v>
      </c>
      <c r="B27" s="1405"/>
      <c r="C27" s="1405"/>
      <c r="D27" s="1405"/>
      <c r="E27" s="1405"/>
      <c r="F27" s="1405"/>
    </row>
    <row r="28" spans="1:10" x14ac:dyDescent="0.25">
      <c r="A28" s="2"/>
      <c r="B28" s="605"/>
      <c r="C28" s="605"/>
      <c r="D28" s="605"/>
      <c r="E28" s="605"/>
      <c r="F28" s="605"/>
    </row>
    <row r="29" spans="1:10" ht="14.4" x14ac:dyDescent="0.3">
      <c r="A29" s="1467"/>
      <c r="B29" s="605"/>
      <c r="C29" s="605"/>
      <c r="D29" s="605"/>
      <c r="E29" s="605"/>
      <c r="F29" s="605"/>
    </row>
    <row r="30" spans="1:10" x14ac:dyDescent="0.25">
      <c r="A30" s="2"/>
      <c r="B30" s="605"/>
      <c r="C30" s="605"/>
      <c r="D30" s="605"/>
      <c r="E30" s="605"/>
      <c r="F30" s="605"/>
    </row>
    <row r="31" spans="1:10" x14ac:dyDescent="0.25">
      <c r="A31" s="2"/>
      <c r="B31" s="605"/>
      <c r="C31" s="605"/>
      <c r="D31" s="605"/>
      <c r="E31" s="605"/>
      <c r="F31" s="605"/>
    </row>
    <row r="32" spans="1:10" x14ac:dyDescent="0.25">
      <c r="A32" s="2"/>
      <c r="B32" s="605"/>
      <c r="C32" s="605"/>
      <c r="D32" s="605"/>
      <c r="E32" s="605"/>
      <c r="F32" s="605"/>
    </row>
  </sheetData>
  <mergeCells count="9">
    <mergeCell ref="A25:F25"/>
    <mergeCell ref="A26:F26"/>
    <mergeCell ref="A27:F27"/>
    <mergeCell ref="A2:F2"/>
    <mergeCell ref="A4:A6"/>
    <mergeCell ref="B4:F4"/>
    <mergeCell ref="B5:B6"/>
    <mergeCell ref="C5:F5"/>
    <mergeCell ref="A24:F24"/>
  </mergeCells>
  <pageMargins left="0.7" right="0.7" top="0.75" bottom="0.75" header="0.3" footer="0.3"/>
  <pageSetup paperSize="14" scale="90" orientation="landscape" r:id="rId1"/>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C4A7B-A64E-43D0-B77B-F9FACB5B4460}">
  <sheetPr codeName="Hoja278"/>
  <dimension ref="A1:P43"/>
  <sheetViews>
    <sheetView zoomScaleNormal="100" zoomScaleSheetLayoutView="150" workbookViewId="0">
      <selection activeCell="A4" sqref="A4:A6"/>
    </sheetView>
  </sheetViews>
  <sheetFormatPr baseColWidth="10" defaultColWidth="11.44140625" defaultRowHeight="12.6" x14ac:dyDescent="0.2"/>
  <cols>
    <col min="1" max="1" width="16.109375" style="633" customWidth="1"/>
    <col min="2" max="2" width="13" style="633" bestFit="1" customWidth="1"/>
    <col min="3" max="14" width="11.88671875" style="633" bestFit="1" customWidth="1"/>
    <col min="15" max="15" width="12.6640625" style="633" bestFit="1" customWidth="1"/>
    <col min="16" max="16384" width="11.44140625" style="633"/>
  </cols>
  <sheetData>
    <row r="1" spans="1:16" ht="13.2" x14ac:dyDescent="0.2">
      <c r="A1" s="1012"/>
    </row>
    <row r="2" spans="1:16" s="1468" customFormat="1" x14ac:dyDescent="0.2">
      <c r="A2" s="1456" t="s">
        <v>3241</v>
      </c>
      <c r="B2" s="1456"/>
      <c r="C2" s="1456"/>
      <c r="D2" s="1456"/>
      <c r="E2" s="1456"/>
      <c r="F2" s="1456"/>
      <c r="G2" s="1456"/>
      <c r="H2" s="1456"/>
      <c r="I2" s="1456"/>
      <c r="J2" s="1456"/>
      <c r="K2" s="1456"/>
      <c r="L2" s="1456"/>
      <c r="M2" s="1456"/>
      <c r="N2" s="1456"/>
    </row>
    <row r="3" spans="1:16" s="1468" customFormat="1" x14ac:dyDescent="0.2">
      <c r="A3" s="1469"/>
      <c r="B3" s="1469"/>
      <c r="C3" s="1469"/>
      <c r="D3" s="1469"/>
      <c r="E3" s="1469"/>
      <c r="F3" s="1469"/>
      <c r="G3" s="1469"/>
      <c r="H3" s="1469"/>
      <c r="I3" s="1469"/>
      <c r="J3" s="1469"/>
      <c r="K3" s="1469"/>
      <c r="L3" s="1469"/>
      <c r="M3" s="1469"/>
      <c r="N3" s="1469"/>
    </row>
    <row r="4" spans="1:16" s="1472" customFormat="1" x14ac:dyDescent="0.2">
      <c r="A4" s="323" t="s">
        <v>0</v>
      </c>
      <c r="B4" s="1470" t="s">
        <v>42</v>
      </c>
      <c r="C4" s="1471" t="s">
        <v>3242</v>
      </c>
      <c r="D4" s="1471"/>
      <c r="E4" s="1471"/>
      <c r="F4" s="1471"/>
      <c r="G4" s="1471"/>
      <c r="H4" s="1471"/>
      <c r="I4" s="1471"/>
      <c r="J4" s="1471"/>
      <c r="K4" s="1471"/>
      <c r="L4" s="1471"/>
      <c r="M4" s="1471"/>
      <c r="N4" s="1471"/>
    </row>
    <row r="5" spans="1:16" s="1472" customFormat="1" ht="19.5" customHeight="1" x14ac:dyDescent="0.2">
      <c r="A5" s="323"/>
      <c r="B5" s="1470"/>
      <c r="C5" s="1473" t="s">
        <v>2221</v>
      </c>
      <c r="D5" s="1473" t="s">
        <v>2222</v>
      </c>
      <c r="E5" s="1473" t="s">
        <v>2223</v>
      </c>
      <c r="F5" s="1473" t="s">
        <v>2224</v>
      </c>
      <c r="G5" s="1473" t="s">
        <v>2225</v>
      </c>
      <c r="H5" s="1473" t="s">
        <v>2226</v>
      </c>
      <c r="I5" s="1473" t="s">
        <v>2227</v>
      </c>
      <c r="J5" s="1473" t="s">
        <v>2228</v>
      </c>
      <c r="K5" s="1473" t="s">
        <v>2229</v>
      </c>
      <c r="L5" s="1473" t="s">
        <v>2230</v>
      </c>
      <c r="M5" s="1473" t="s">
        <v>2231</v>
      </c>
      <c r="N5" s="1473" t="s">
        <v>2232</v>
      </c>
    </row>
    <row r="6" spans="1:16" s="635" customFormat="1" ht="11.4" x14ac:dyDescent="0.2">
      <c r="A6" s="712" t="s">
        <v>3</v>
      </c>
      <c r="B6" s="622">
        <f>SUM(B7:B21)</f>
        <v>21019442</v>
      </c>
      <c r="C6" s="622">
        <f t="shared" ref="C6:N6" si="0">SUM(C7:C21)</f>
        <v>2885373</v>
      </c>
      <c r="D6" s="622">
        <f t="shared" si="0"/>
        <v>1299501</v>
      </c>
      <c r="E6" s="622">
        <f t="shared" si="0"/>
        <v>1154384</v>
      </c>
      <c r="F6" s="622">
        <f t="shared" si="0"/>
        <v>1246880</v>
      </c>
      <c r="G6" s="622">
        <f t="shared" si="0"/>
        <v>1813079</v>
      </c>
      <c r="H6" s="622">
        <f t="shared" si="0"/>
        <v>1990471</v>
      </c>
      <c r="I6" s="622">
        <f t="shared" si="0"/>
        <v>3235204</v>
      </c>
      <c r="J6" s="622">
        <f t="shared" si="0"/>
        <v>1743133</v>
      </c>
      <c r="K6" s="622">
        <f t="shared" si="0"/>
        <v>1437272</v>
      </c>
      <c r="L6" s="622">
        <f t="shared" si="0"/>
        <v>1519954</v>
      </c>
      <c r="M6" s="622">
        <f t="shared" si="0"/>
        <v>1257487</v>
      </c>
      <c r="N6" s="622">
        <f t="shared" si="0"/>
        <v>1436704</v>
      </c>
      <c r="O6" s="1474"/>
    </row>
    <row r="7" spans="1:16" s="635" customFormat="1" ht="11.4" x14ac:dyDescent="0.2">
      <c r="A7" s="1475" t="s">
        <v>4</v>
      </c>
      <c r="B7" s="660">
        <f t="shared" ref="B7:B21" si="1">SUM(C7:N7)</f>
        <v>121131</v>
      </c>
      <c r="C7" s="315">
        <v>6675</v>
      </c>
      <c r="D7" s="315">
        <v>3921</v>
      </c>
      <c r="E7" s="315">
        <v>6138</v>
      </c>
      <c r="F7" s="315">
        <v>8546</v>
      </c>
      <c r="G7" s="315">
        <v>8936</v>
      </c>
      <c r="H7" s="315">
        <v>16687</v>
      </c>
      <c r="I7" s="315">
        <v>25105</v>
      </c>
      <c r="J7" s="315">
        <v>10132</v>
      </c>
      <c r="K7" s="315">
        <v>9364</v>
      </c>
      <c r="L7" s="315">
        <v>8846</v>
      </c>
      <c r="M7" s="315">
        <v>6714</v>
      </c>
      <c r="N7" s="315">
        <v>10067</v>
      </c>
      <c r="O7" s="1466"/>
      <c r="P7" s="1466"/>
    </row>
    <row r="8" spans="1:16" s="635" customFormat="1" ht="11.4" x14ac:dyDescent="0.2">
      <c r="A8" s="1475" t="s">
        <v>5</v>
      </c>
      <c r="B8" s="660">
        <f t="shared" si="1"/>
        <v>558686</v>
      </c>
      <c r="C8" s="315">
        <v>36825</v>
      </c>
      <c r="D8" s="315">
        <v>26337</v>
      </c>
      <c r="E8" s="315">
        <v>30787</v>
      </c>
      <c r="F8" s="315">
        <v>35307</v>
      </c>
      <c r="G8" s="315">
        <v>47080</v>
      </c>
      <c r="H8" s="315">
        <v>51248</v>
      </c>
      <c r="I8" s="315">
        <v>141614</v>
      </c>
      <c r="J8" s="315">
        <v>46876</v>
      </c>
      <c r="K8" s="315">
        <v>39620</v>
      </c>
      <c r="L8" s="315">
        <v>40271</v>
      </c>
      <c r="M8" s="315">
        <v>29649</v>
      </c>
      <c r="N8" s="315">
        <v>33072</v>
      </c>
      <c r="O8" s="1466"/>
      <c r="P8" s="1466"/>
    </row>
    <row r="9" spans="1:16" s="635" customFormat="1" ht="11.4" x14ac:dyDescent="0.2">
      <c r="A9" s="1475" t="s">
        <v>6</v>
      </c>
      <c r="B9" s="660">
        <f t="shared" si="1"/>
        <v>989240</v>
      </c>
      <c r="C9" s="315">
        <f>59954+21427</f>
        <v>81381</v>
      </c>
      <c r="D9" s="315">
        <f>43175+15395</f>
        <v>58570</v>
      </c>
      <c r="E9" s="315">
        <f>44684+15430</f>
        <v>60114</v>
      </c>
      <c r="F9" s="315">
        <f>44245+16703</f>
        <v>60948</v>
      </c>
      <c r="G9" s="315">
        <f>62515+24284</f>
        <v>86799</v>
      </c>
      <c r="H9" s="315">
        <f>73964+29139</f>
        <v>103103</v>
      </c>
      <c r="I9" s="315">
        <v>115552</v>
      </c>
      <c r="J9" s="315">
        <f>71239+25028</f>
        <v>96267</v>
      </c>
      <c r="K9" s="315">
        <v>121314</v>
      </c>
      <c r="L9" s="315">
        <f>55984+20871</f>
        <v>76855</v>
      </c>
      <c r="M9" s="315">
        <f>44667+16221</f>
        <v>60888</v>
      </c>
      <c r="N9" s="315">
        <f>48283+19166</f>
        <v>67449</v>
      </c>
      <c r="O9" s="1466"/>
      <c r="P9" s="1466"/>
    </row>
    <row r="10" spans="1:16" s="635" customFormat="1" ht="11.4" x14ac:dyDescent="0.2">
      <c r="A10" s="1475" t="s">
        <v>7</v>
      </c>
      <c r="B10" s="660">
        <f t="shared" si="1"/>
        <v>56567</v>
      </c>
      <c r="C10" s="315">
        <f>638+296</f>
        <v>934</v>
      </c>
      <c r="D10" s="315">
        <v>1395</v>
      </c>
      <c r="E10" s="315">
        <v>2141</v>
      </c>
      <c r="F10" s="315">
        <v>8460</v>
      </c>
      <c r="G10" s="315">
        <v>2683</v>
      </c>
      <c r="H10" s="315">
        <v>3498</v>
      </c>
      <c r="I10" s="315">
        <v>5576</v>
      </c>
      <c r="J10" s="315">
        <v>1887</v>
      </c>
      <c r="K10" s="315">
        <v>4556</v>
      </c>
      <c r="L10" s="315">
        <v>8223</v>
      </c>
      <c r="M10" s="315">
        <v>7606</v>
      </c>
      <c r="N10" s="315">
        <v>9608</v>
      </c>
      <c r="O10" s="1466"/>
      <c r="P10" s="1466"/>
    </row>
    <row r="11" spans="1:16" s="635" customFormat="1" ht="11.4" x14ac:dyDescent="0.2">
      <c r="A11" s="1475" t="s">
        <v>8</v>
      </c>
      <c r="B11" s="660">
        <f t="shared" si="1"/>
        <v>558695</v>
      </c>
      <c r="C11" s="315">
        <v>63502</v>
      </c>
      <c r="D11" s="315">
        <v>46159</v>
      </c>
      <c r="E11" s="315">
        <v>35617</v>
      </c>
      <c r="F11" s="315">
        <v>36911</v>
      </c>
      <c r="G11" s="315">
        <v>51320</v>
      </c>
      <c r="H11" s="315">
        <v>58588</v>
      </c>
      <c r="I11" s="315">
        <v>43409</v>
      </c>
      <c r="J11" s="315">
        <v>55069</v>
      </c>
      <c r="K11" s="315">
        <v>43029</v>
      </c>
      <c r="L11" s="315">
        <v>45850</v>
      </c>
      <c r="M11" s="315">
        <v>34177</v>
      </c>
      <c r="N11" s="315">
        <v>45064</v>
      </c>
      <c r="O11" s="1466"/>
      <c r="P11" s="1466"/>
    </row>
    <row r="12" spans="1:16" s="635" customFormat="1" ht="11.4" x14ac:dyDescent="0.2">
      <c r="A12" s="1475" t="s">
        <v>9</v>
      </c>
      <c r="B12" s="660">
        <f t="shared" si="1"/>
        <v>1690802</v>
      </c>
      <c r="C12" s="315">
        <f>101297+38259+1214</f>
        <v>140770</v>
      </c>
      <c r="D12" s="315">
        <f>80189+25227+11688+617</f>
        <v>117721</v>
      </c>
      <c r="E12" s="315">
        <f>59794+22505+1336</f>
        <v>83635</v>
      </c>
      <c r="F12" s="315">
        <f>65310+27498+13562+920</f>
        <v>107290</v>
      </c>
      <c r="G12" s="315">
        <f>101708+45280+22520+1125</f>
        <v>170633</v>
      </c>
      <c r="H12" s="315">
        <f>82224+51112+21874+184</f>
        <v>155394</v>
      </c>
      <c r="I12" s="315">
        <f>174465+97296+53671</f>
        <v>325432</v>
      </c>
      <c r="J12" s="315">
        <f>91027+43915</f>
        <v>134942</v>
      </c>
      <c r="K12" s="315">
        <f>75287+28347+15785</f>
        <v>119419</v>
      </c>
      <c r="L12" s="315">
        <f>78927+34438+20041</f>
        <v>133406</v>
      </c>
      <c r="M12" s="315">
        <f>68204+24927+14259+1816</f>
        <v>109206</v>
      </c>
      <c r="N12" s="315">
        <f>35248+19479+2249+35978</f>
        <v>92954</v>
      </c>
      <c r="O12" s="1466"/>
      <c r="P12" s="1466"/>
    </row>
    <row r="13" spans="1:16" s="635" customFormat="1" ht="11.4" x14ac:dyDescent="0.2">
      <c r="A13" s="1475" t="s">
        <v>10</v>
      </c>
      <c r="B13" s="660">
        <f t="shared" si="1"/>
        <v>13045938</v>
      </c>
      <c r="C13" s="315">
        <v>2225879</v>
      </c>
      <c r="D13" s="315">
        <f>860581-75689</f>
        <v>784892</v>
      </c>
      <c r="E13" s="315">
        <f>769190-64245</f>
        <v>704945</v>
      </c>
      <c r="F13" s="315">
        <f>804143-63507</f>
        <v>740636</v>
      </c>
      <c r="G13" s="315">
        <f>1162045-85596</f>
        <v>1076449</v>
      </c>
      <c r="H13" s="315">
        <f>1284129-97159</f>
        <v>1186970</v>
      </c>
      <c r="I13" s="315">
        <f>2174492-155458</f>
        <v>2019034</v>
      </c>
      <c r="J13" s="315">
        <f>1153028-97159</f>
        <v>1055869</v>
      </c>
      <c r="K13" s="315">
        <f>860461-85596</f>
        <v>774865</v>
      </c>
      <c r="L13" s="315">
        <f>939671-63507</f>
        <v>876164</v>
      </c>
      <c r="M13" s="315">
        <f>815268-84785</f>
        <v>730483</v>
      </c>
      <c r="N13" s="315">
        <f>959621-89869</f>
        <v>869752</v>
      </c>
      <c r="O13" s="1466"/>
    </row>
    <row r="14" spans="1:16" s="635" customFormat="1" ht="11.4" x14ac:dyDescent="0.2">
      <c r="A14" s="1475" t="s">
        <v>134</v>
      </c>
      <c r="B14" s="660">
        <f t="shared" si="1"/>
        <v>440539</v>
      </c>
      <c r="C14" s="315">
        <v>33873</v>
      </c>
      <c r="D14" s="315">
        <v>23764</v>
      </c>
      <c r="E14" s="315">
        <v>22993</v>
      </c>
      <c r="F14" s="315">
        <v>27440</v>
      </c>
      <c r="G14" s="315">
        <v>41362</v>
      </c>
      <c r="H14" s="315">
        <v>39117</v>
      </c>
      <c r="I14" s="315">
        <v>94194</v>
      </c>
      <c r="J14" s="315">
        <v>36849</v>
      </c>
      <c r="K14" s="315">
        <v>30749</v>
      </c>
      <c r="L14" s="315">
        <v>32315</v>
      </c>
      <c r="M14" s="315">
        <v>27048</v>
      </c>
      <c r="N14" s="315">
        <v>30835</v>
      </c>
      <c r="O14" s="1466"/>
      <c r="P14" s="1466"/>
    </row>
    <row r="15" spans="1:16" s="635" customFormat="1" ht="11.4" x14ac:dyDescent="0.2">
      <c r="A15" s="1475" t="s">
        <v>12</v>
      </c>
      <c r="B15" s="660">
        <f t="shared" si="1"/>
        <v>383218</v>
      </c>
      <c r="C15" s="315">
        <f>23769+18717+4047+1459</f>
        <v>47992</v>
      </c>
      <c r="D15" s="315">
        <f>18714+2162+750</f>
        <v>21626</v>
      </c>
      <c r="E15" s="315">
        <v>26845</v>
      </c>
      <c r="F15" s="315">
        <f>17417+3525+1433</f>
        <v>22375</v>
      </c>
      <c r="G15" s="315">
        <v>31667</v>
      </c>
      <c r="H15" s="315">
        <f>34679+2316</f>
        <v>36995</v>
      </c>
      <c r="I15" s="315">
        <v>42179</v>
      </c>
      <c r="J15" s="315">
        <v>26216</v>
      </c>
      <c r="K15" s="315">
        <f>26175+4075+1103</f>
        <v>31353</v>
      </c>
      <c r="L15" s="315">
        <f>27443+5486+1682</f>
        <v>34611</v>
      </c>
      <c r="M15" s="315">
        <f>20918+4104+716</f>
        <v>25738</v>
      </c>
      <c r="N15" s="315">
        <f>26115+6662+2844</f>
        <v>35621</v>
      </c>
      <c r="O15" s="1466"/>
      <c r="P15" s="1466"/>
    </row>
    <row r="16" spans="1:16" s="635" customFormat="1" ht="11.4" x14ac:dyDescent="0.2">
      <c r="A16" s="1475" t="s">
        <v>13</v>
      </c>
      <c r="B16" s="660">
        <f>SUM(C16:N16)</f>
        <v>1777184</v>
      </c>
      <c r="C16" s="315">
        <f>105830+19692+10405</f>
        <v>135927</v>
      </c>
      <c r="D16" s="315">
        <f>85242+18891+9079</f>
        <v>113212</v>
      </c>
      <c r="E16" s="315">
        <f>70503+13118+7384</f>
        <v>91005</v>
      </c>
      <c r="F16" s="315">
        <f>78928+15889+10457</f>
        <v>105274</v>
      </c>
      <c r="G16" s="315">
        <f>118940+27401+17122</f>
        <v>163463</v>
      </c>
      <c r="H16" s="315">
        <f>140045+31322+18602+8227</f>
        <v>198196</v>
      </c>
      <c r="I16" s="315">
        <v>294085</v>
      </c>
      <c r="J16" s="315">
        <v>146461</v>
      </c>
      <c r="K16" s="315">
        <f>121416+14616</f>
        <v>136032</v>
      </c>
      <c r="L16" s="315">
        <f>118720+12348</f>
        <v>131068</v>
      </c>
      <c r="M16" s="315">
        <f>98331+17529+11890</f>
        <v>127750</v>
      </c>
      <c r="N16" s="315">
        <f>118543+16168</f>
        <v>134711</v>
      </c>
      <c r="O16" s="1466"/>
      <c r="P16" s="1466"/>
    </row>
    <row r="17" spans="1:16" s="635" customFormat="1" ht="11.4" x14ac:dyDescent="0.2">
      <c r="A17" s="1475" t="s">
        <v>47</v>
      </c>
      <c r="B17" s="660">
        <f t="shared" si="1"/>
        <v>562939</v>
      </c>
      <c r="C17" s="315">
        <f>38201+923</f>
        <v>39124</v>
      </c>
      <c r="D17" s="315">
        <f>40376+707</f>
        <v>41083</v>
      </c>
      <c r="E17" s="315">
        <f>29242+840</f>
        <v>30082</v>
      </c>
      <c r="F17" s="315">
        <v>34761</v>
      </c>
      <c r="G17" s="315">
        <v>53307</v>
      </c>
      <c r="H17" s="315">
        <v>58460</v>
      </c>
      <c r="I17" s="315">
        <v>35880</v>
      </c>
      <c r="J17" s="315">
        <v>67013</v>
      </c>
      <c r="K17" s="315">
        <f>45502+23543</f>
        <v>69045</v>
      </c>
      <c r="L17" s="315">
        <f>48120+23711</f>
        <v>71831</v>
      </c>
      <c r="M17" s="315">
        <v>41231</v>
      </c>
      <c r="N17" s="315">
        <v>21122</v>
      </c>
      <c r="O17" s="1466"/>
      <c r="P17" s="1466"/>
    </row>
    <row r="18" spans="1:16" s="635" customFormat="1" ht="11.4" x14ac:dyDescent="0.2">
      <c r="A18" s="1475" t="s">
        <v>135</v>
      </c>
      <c r="B18" s="660">
        <f>SUM(C18:N18)</f>
        <v>269705</v>
      </c>
      <c r="C18" s="315">
        <v>33424</v>
      </c>
      <c r="D18" s="315">
        <v>25650</v>
      </c>
      <c r="E18" s="315">
        <v>29574</v>
      </c>
      <c r="F18" s="315">
        <v>23820</v>
      </c>
      <c r="G18" s="315">
        <v>24950</v>
      </c>
      <c r="H18" s="315">
        <v>22914</v>
      </c>
      <c r="I18" s="315">
        <v>25620</v>
      </c>
      <c r="J18" s="315">
        <v>14801</v>
      </c>
      <c r="K18" s="315">
        <v>13660</v>
      </c>
      <c r="L18" s="315">
        <v>11610</v>
      </c>
      <c r="M18" s="315">
        <v>18500</v>
      </c>
      <c r="N18" s="315">
        <v>25182</v>
      </c>
      <c r="O18" s="1466"/>
      <c r="P18" s="1466"/>
    </row>
    <row r="19" spans="1:16" s="635" customFormat="1" ht="11.4" x14ac:dyDescent="0.2">
      <c r="A19" s="1475" t="s">
        <v>136</v>
      </c>
      <c r="B19" s="660">
        <f t="shared" si="1"/>
        <v>388052</v>
      </c>
      <c r="C19" s="315">
        <f>23884+2006</f>
        <v>25890</v>
      </c>
      <c r="D19" s="315">
        <f>23806+1406</f>
        <v>25212</v>
      </c>
      <c r="E19" s="315">
        <f>17438+2294</f>
        <v>19732</v>
      </c>
      <c r="F19" s="315">
        <f>21611+2252</f>
        <v>23863</v>
      </c>
      <c r="G19" s="315">
        <f>34230+3888</f>
        <v>38118</v>
      </c>
      <c r="H19" s="315">
        <f>36001+3751</f>
        <v>39752</v>
      </c>
      <c r="I19" s="315">
        <v>35795</v>
      </c>
      <c r="J19" s="315">
        <f>37946+3977</f>
        <v>41923</v>
      </c>
      <c r="K19" s="315">
        <f>27931+2384</f>
        <v>30315</v>
      </c>
      <c r="L19" s="315">
        <f>31484+2858</f>
        <v>34342</v>
      </c>
      <c r="M19" s="315">
        <f>24534+2777</f>
        <v>27311</v>
      </c>
      <c r="N19" s="315">
        <v>45799</v>
      </c>
      <c r="O19" s="1466"/>
      <c r="P19" s="1466"/>
    </row>
    <row r="20" spans="1:16" s="635" customFormat="1" ht="12" x14ac:dyDescent="0.2">
      <c r="A20" s="1475" t="s">
        <v>3218</v>
      </c>
      <c r="B20" s="660">
        <f t="shared" si="1"/>
        <v>2243</v>
      </c>
      <c r="C20" s="315">
        <v>2243</v>
      </c>
      <c r="D20" s="626" t="s">
        <v>193</v>
      </c>
      <c r="E20" s="626" t="s">
        <v>193</v>
      </c>
      <c r="F20" s="626" t="s">
        <v>193</v>
      </c>
      <c r="G20" s="626" t="s">
        <v>193</v>
      </c>
      <c r="H20" s="626" t="s">
        <v>193</v>
      </c>
      <c r="I20" s="626" t="s">
        <v>193</v>
      </c>
      <c r="J20" s="626" t="s">
        <v>193</v>
      </c>
      <c r="K20" s="626" t="s">
        <v>193</v>
      </c>
      <c r="L20" s="626" t="s">
        <v>193</v>
      </c>
      <c r="M20" s="626" t="s">
        <v>193</v>
      </c>
      <c r="N20" s="626" t="s">
        <v>193</v>
      </c>
      <c r="O20" s="1466"/>
      <c r="P20" s="1466"/>
    </row>
    <row r="21" spans="1:16" s="635" customFormat="1" ht="11.4" x14ac:dyDescent="0.2">
      <c r="A21" s="1475" t="s">
        <v>18</v>
      </c>
      <c r="B21" s="660">
        <f t="shared" si="1"/>
        <v>174503</v>
      </c>
      <c r="C21" s="315">
        <v>10934</v>
      </c>
      <c r="D21" s="315">
        <v>9959</v>
      </c>
      <c r="E21" s="315">
        <v>10776</v>
      </c>
      <c r="F21" s="315">
        <v>11249</v>
      </c>
      <c r="G21" s="315">
        <v>16312</v>
      </c>
      <c r="H21" s="315">
        <v>19549</v>
      </c>
      <c r="I21" s="315">
        <v>31729</v>
      </c>
      <c r="J21" s="315">
        <f>19165-10337</f>
        <v>8828</v>
      </c>
      <c r="K21" s="315">
        <v>13951</v>
      </c>
      <c r="L21" s="315">
        <v>14562</v>
      </c>
      <c r="M21" s="315">
        <v>11186</v>
      </c>
      <c r="N21" s="315">
        <v>15468</v>
      </c>
      <c r="O21" s="1466"/>
      <c r="P21" s="1466"/>
    </row>
    <row r="22" spans="1:16" s="635" customFormat="1" ht="7.5" customHeight="1" x14ac:dyDescent="0.2">
      <c r="A22" s="288"/>
      <c r="B22" s="660"/>
      <c r="C22" s="643"/>
      <c r="D22" s="643"/>
      <c r="E22" s="643"/>
      <c r="F22" s="643"/>
      <c r="G22" s="643"/>
      <c r="H22" s="643"/>
      <c r="I22" s="643"/>
      <c r="J22" s="643"/>
      <c r="K22" s="643"/>
      <c r="L22" s="643"/>
      <c r="M22" s="643"/>
      <c r="N22" s="643"/>
      <c r="O22" s="1466"/>
    </row>
    <row r="23" spans="1:16" s="714" customFormat="1" ht="11.25" customHeight="1" x14ac:dyDescent="0.2">
      <c r="A23" s="1405" t="s">
        <v>3194</v>
      </c>
      <c r="B23" s="1405"/>
      <c r="C23" s="1405"/>
      <c r="D23" s="1405"/>
      <c r="E23" s="1405"/>
      <c r="F23" s="1405"/>
      <c r="G23" s="1405"/>
      <c r="H23" s="1405"/>
      <c r="I23" s="1405"/>
      <c r="J23" s="1405"/>
      <c r="K23" s="1405"/>
      <c r="L23" s="1476"/>
      <c r="M23" s="1476"/>
      <c r="N23" s="1476"/>
      <c r="O23" s="1390"/>
    </row>
    <row r="24" spans="1:16" s="714" customFormat="1" ht="11.25" customHeight="1" x14ac:dyDescent="0.2">
      <c r="A24" s="745" t="s">
        <v>3243</v>
      </c>
      <c r="B24" s="745"/>
      <c r="C24" s="745"/>
      <c r="D24" s="745"/>
      <c r="E24" s="745"/>
      <c r="F24" s="745"/>
      <c r="G24" s="745"/>
      <c r="H24" s="745"/>
      <c r="I24" s="745"/>
      <c r="J24" s="745"/>
      <c r="K24" s="745"/>
      <c r="L24" s="745"/>
      <c r="M24" s="745"/>
      <c r="N24" s="1476"/>
      <c r="O24" s="1390"/>
    </row>
    <row r="25" spans="1:16" s="714" customFormat="1" ht="11.25" customHeight="1" x14ac:dyDescent="0.2">
      <c r="A25" s="704" t="s">
        <v>1313</v>
      </c>
      <c r="B25" s="704"/>
      <c r="C25" s="704"/>
      <c r="D25" s="704"/>
      <c r="E25" s="704"/>
      <c r="F25" s="704"/>
      <c r="G25" s="704"/>
      <c r="H25" s="704"/>
      <c r="J25" s="2"/>
    </row>
    <row r="26" spans="1:16" ht="11.25" customHeight="1" x14ac:dyDescent="0.2">
      <c r="A26" s="1405" t="s">
        <v>3195</v>
      </c>
      <c r="B26" s="1405"/>
      <c r="C26" s="1405"/>
      <c r="D26" s="1405"/>
      <c r="E26" s="1405"/>
      <c r="F26" s="1405"/>
      <c r="G26" s="1405"/>
      <c r="H26" s="1405"/>
      <c r="I26" s="1477"/>
      <c r="J26" s="1477"/>
      <c r="K26" s="1477"/>
      <c r="L26" s="1477"/>
      <c r="M26" s="1477"/>
      <c r="N26" s="1477"/>
    </row>
    <row r="27" spans="1:16" x14ac:dyDescent="0.2">
      <c r="B27" s="605"/>
      <c r="C27" s="667"/>
    </row>
    <row r="28" spans="1:16" ht="13.2" x14ac:dyDescent="0.25">
      <c r="A28" s="712"/>
      <c r="B28" s="622"/>
      <c r="C28" s="1478"/>
    </row>
    <row r="29" spans="1:16" ht="13.2" x14ac:dyDescent="0.25">
      <c r="A29" s="288"/>
      <c r="B29" s="622"/>
      <c r="C29" s="1478"/>
    </row>
    <row r="30" spans="1:16" ht="13.2" x14ac:dyDescent="0.25">
      <c r="A30" s="288"/>
      <c r="B30" s="622"/>
      <c r="C30" s="1478"/>
    </row>
    <row r="31" spans="1:16" ht="13.2" x14ac:dyDescent="0.25">
      <c r="A31" s="288"/>
      <c r="B31" s="622"/>
      <c r="C31" s="1478"/>
    </row>
    <row r="32" spans="1:16" ht="13.2" x14ac:dyDescent="0.25">
      <c r="A32" s="288"/>
      <c r="B32" s="622"/>
      <c r="C32" s="1478"/>
    </row>
    <row r="33" spans="1:3" ht="13.2" x14ac:dyDescent="0.25">
      <c r="A33" s="288"/>
      <c r="B33" s="622"/>
      <c r="C33" s="1478"/>
    </row>
    <row r="34" spans="1:3" ht="13.2" x14ac:dyDescent="0.25">
      <c r="A34" s="288"/>
      <c r="B34" s="622"/>
      <c r="C34" s="1478"/>
    </row>
    <row r="35" spans="1:3" ht="13.2" x14ac:dyDescent="0.25">
      <c r="A35" s="288"/>
      <c r="B35" s="622"/>
      <c r="C35" s="1478"/>
    </row>
    <row r="36" spans="1:3" ht="13.2" x14ac:dyDescent="0.25">
      <c r="A36" s="288"/>
      <c r="B36" s="622"/>
      <c r="C36" s="1478"/>
    </row>
    <row r="37" spans="1:3" ht="13.2" x14ac:dyDescent="0.25">
      <c r="A37" s="288"/>
      <c r="B37" s="622"/>
      <c r="C37" s="1478"/>
    </row>
    <row r="38" spans="1:3" ht="13.2" x14ac:dyDescent="0.25">
      <c r="A38" s="288"/>
      <c r="B38" s="622"/>
      <c r="C38" s="1478"/>
    </row>
    <row r="39" spans="1:3" ht="13.2" x14ac:dyDescent="0.25">
      <c r="A39" s="288"/>
      <c r="B39" s="622"/>
      <c r="C39" s="1478"/>
    </row>
    <row r="40" spans="1:3" ht="13.2" x14ac:dyDescent="0.25">
      <c r="A40" s="288"/>
      <c r="B40" s="622"/>
      <c r="C40" s="1478"/>
    </row>
    <row r="41" spans="1:3" ht="13.2" x14ac:dyDescent="0.25">
      <c r="A41" s="288"/>
      <c r="B41" s="622"/>
      <c r="C41" s="1478"/>
    </row>
    <row r="42" spans="1:3" ht="13.2" x14ac:dyDescent="0.25">
      <c r="A42" s="288"/>
      <c r="B42" s="622"/>
      <c r="C42" s="1478"/>
    </row>
    <row r="43" spans="1:3" ht="13.2" x14ac:dyDescent="0.25">
      <c r="A43" s="288"/>
      <c r="B43" s="622"/>
      <c r="C43" s="1478"/>
    </row>
  </sheetData>
  <mergeCells count="8">
    <mergeCell ref="A25:H25"/>
    <mergeCell ref="A26:H26"/>
    <mergeCell ref="A2:N2"/>
    <mergeCell ref="A4:A5"/>
    <mergeCell ref="B4:B5"/>
    <mergeCell ref="C4:N4"/>
    <mergeCell ref="A23:K23"/>
    <mergeCell ref="A24:M24"/>
  </mergeCells>
  <pageMargins left="0.7" right="0.7" top="0.75" bottom="0.75" header="0.3" footer="0.3"/>
  <pageSetup paperSize="14" scale="79" orientation="landscape" r:id="rId1"/>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BC2D6-7176-406D-965E-66CEB1A135E7}">
  <sheetPr codeName="Hoja279"/>
  <dimension ref="A1:M27"/>
  <sheetViews>
    <sheetView workbookViewId="0">
      <selection activeCell="A4" sqref="A4:A6"/>
    </sheetView>
  </sheetViews>
  <sheetFormatPr baseColWidth="10" defaultRowHeight="13.2" x14ac:dyDescent="0.25"/>
  <cols>
    <col min="1" max="1" width="16.109375" customWidth="1"/>
    <col min="2" max="2" width="13" bestFit="1" customWidth="1"/>
    <col min="3" max="4" width="11.88671875" bestFit="1" customWidth="1"/>
    <col min="5" max="5" width="10.6640625" bestFit="1" customWidth="1"/>
    <col min="6" max="7" width="11.88671875" bestFit="1" customWidth="1"/>
    <col min="8" max="8" width="9" bestFit="1" customWidth="1"/>
    <col min="9" max="9" width="11.88671875" bestFit="1" customWidth="1"/>
    <col min="10" max="10" width="12" bestFit="1" customWidth="1"/>
    <col min="11" max="11" width="10.6640625" bestFit="1" customWidth="1"/>
    <col min="12" max="12" width="11.88671875" bestFit="1" customWidth="1"/>
  </cols>
  <sheetData>
    <row r="1" spans="1:13" x14ac:dyDescent="0.25">
      <c r="A1" s="1012"/>
    </row>
    <row r="2" spans="1:13" s="2" customFormat="1" ht="10.199999999999999" x14ac:dyDescent="0.2">
      <c r="A2" s="305" t="s">
        <v>2918</v>
      </c>
      <c r="B2" s="305"/>
      <c r="C2" s="305"/>
      <c r="D2" s="305"/>
      <c r="E2" s="305"/>
      <c r="F2" s="305"/>
      <c r="G2" s="305"/>
      <c r="H2" s="305"/>
      <c r="I2" s="305"/>
      <c r="J2" s="305"/>
      <c r="K2" s="305"/>
      <c r="L2" s="305"/>
    </row>
    <row r="3" spans="1:13" s="2" customFormat="1" ht="10.199999999999999" x14ac:dyDescent="0.2"/>
    <row r="4" spans="1:13" s="2" customFormat="1" ht="12.75" customHeight="1" x14ac:dyDescent="0.2">
      <c r="A4" s="323" t="s">
        <v>0</v>
      </c>
      <c r="B4" s="1479" t="s">
        <v>3244</v>
      </c>
      <c r="C4" s="1480"/>
      <c r="D4" s="1480"/>
      <c r="E4" s="1480"/>
      <c r="F4" s="1480"/>
      <c r="G4" s="1480"/>
      <c r="H4" s="1480"/>
      <c r="I4" s="1480"/>
      <c r="J4" s="1480"/>
      <c r="K4" s="1480"/>
      <c r="L4" s="1481"/>
    </row>
    <row r="5" spans="1:13" s="2" customFormat="1" ht="20.399999999999999" x14ac:dyDescent="0.2">
      <c r="A5" s="323"/>
      <c r="B5" s="621" t="s">
        <v>42</v>
      </c>
      <c r="C5" s="1482" t="s">
        <v>3245</v>
      </c>
      <c r="D5" s="1482" t="s">
        <v>3246</v>
      </c>
      <c r="E5" s="1482" t="s">
        <v>3247</v>
      </c>
      <c r="F5" s="1482" t="s">
        <v>3248</v>
      </c>
      <c r="G5" s="1483" t="s">
        <v>3249</v>
      </c>
      <c r="H5" s="1482" t="s">
        <v>3250</v>
      </c>
      <c r="I5" s="1482" t="s">
        <v>3251</v>
      </c>
      <c r="J5" s="1482" t="s">
        <v>3252</v>
      </c>
      <c r="K5" s="1482" t="s">
        <v>3253</v>
      </c>
      <c r="L5" s="1482" t="s">
        <v>3254</v>
      </c>
      <c r="M5" s="320"/>
    </row>
    <row r="6" spans="1:13" s="24" customFormat="1" ht="10.199999999999999" x14ac:dyDescent="0.2">
      <c r="A6" s="712" t="s">
        <v>3</v>
      </c>
      <c r="B6" s="622">
        <f t="shared" ref="B6:B21" si="0">SUM(C6:L6)</f>
        <v>21019442</v>
      </c>
      <c r="C6" s="622">
        <f t="shared" ref="C6:L6" si="1">SUM(C7:C21)</f>
        <v>2962649</v>
      </c>
      <c r="D6" s="622">
        <f t="shared" si="1"/>
        <v>2310514</v>
      </c>
      <c r="E6" s="622">
        <f t="shared" si="1"/>
        <v>153031</v>
      </c>
      <c r="F6" s="622">
        <f t="shared" si="1"/>
        <v>5326527</v>
      </c>
      <c r="G6" s="622">
        <f t="shared" si="1"/>
        <v>2322441</v>
      </c>
      <c r="H6" s="622">
        <f t="shared" si="1"/>
        <v>67209</v>
      </c>
      <c r="I6" s="622">
        <f t="shared" si="1"/>
        <v>6724032</v>
      </c>
      <c r="J6" s="622">
        <f t="shared" si="1"/>
        <v>96805</v>
      </c>
      <c r="K6" s="622">
        <f t="shared" si="1"/>
        <v>23137</v>
      </c>
      <c r="L6" s="622">
        <f t="shared" si="1"/>
        <v>1033097</v>
      </c>
    </row>
    <row r="7" spans="1:13" s="2" customFormat="1" ht="10.199999999999999" x14ac:dyDescent="0.2">
      <c r="A7" s="1484" t="s">
        <v>4</v>
      </c>
      <c r="B7" s="622">
        <f t="shared" si="0"/>
        <v>121131</v>
      </c>
      <c r="C7" s="315">
        <v>14875</v>
      </c>
      <c r="D7" s="315">
        <v>6001</v>
      </c>
      <c r="E7" s="315">
        <v>0</v>
      </c>
      <c r="F7" s="315">
        <v>41362</v>
      </c>
      <c r="G7" s="315">
        <v>11749</v>
      </c>
      <c r="H7" s="315">
        <v>0</v>
      </c>
      <c r="I7" s="315">
        <v>42311</v>
      </c>
      <c r="J7" s="315">
        <v>23</v>
      </c>
      <c r="K7" s="315">
        <v>0</v>
      </c>
      <c r="L7" s="315">
        <v>4810</v>
      </c>
      <c r="M7" s="643"/>
    </row>
    <row r="8" spans="1:13" s="2" customFormat="1" ht="10.199999999999999" x14ac:dyDescent="0.2">
      <c r="A8" s="1484" t="s">
        <v>5</v>
      </c>
      <c r="B8" s="622">
        <f>SUM(C8:L8)</f>
        <v>558686</v>
      </c>
      <c r="C8" s="315">
        <v>67733</v>
      </c>
      <c r="D8" s="315">
        <v>33179</v>
      </c>
      <c r="E8" s="315">
        <v>1255</v>
      </c>
      <c r="F8" s="315">
        <v>160841</v>
      </c>
      <c r="G8" s="315">
        <v>54684</v>
      </c>
      <c r="H8" s="315">
        <v>151</v>
      </c>
      <c r="I8" s="315">
        <v>200599</v>
      </c>
      <c r="J8" s="315">
        <v>3252</v>
      </c>
      <c r="K8" s="315">
        <v>0</v>
      </c>
      <c r="L8" s="315">
        <v>36992</v>
      </c>
      <c r="M8" s="643"/>
    </row>
    <row r="9" spans="1:13" s="2" customFormat="1" ht="10.199999999999999" x14ac:dyDescent="0.2">
      <c r="A9" s="1484" t="s">
        <v>6</v>
      </c>
      <c r="B9" s="622">
        <f t="shared" si="0"/>
        <v>989240</v>
      </c>
      <c r="C9" s="315">
        <v>120316</v>
      </c>
      <c r="D9" s="315">
        <v>82236</v>
      </c>
      <c r="E9" s="315">
        <v>3402</v>
      </c>
      <c r="F9" s="315">
        <v>324471</v>
      </c>
      <c r="G9" s="315">
        <v>117345</v>
      </c>
      <c r="H9" s="315">
        <v>255</v>
      </c>
      <c r="I9" s="315">
        <v>288569</v>
      </c>
      <c r="J9" s="315">
        <v>5939</v>
      </c>
      <c r="K9" s="315">
        <v>369</v>
      </c>
      <c r="L9" s="315">
        <v>46338</v>
      </c>
      <c r="M9" s="643"/>
    </row>
    <row r="10" spans="1:13" s="2" customFormat="1" ht="10.199999999999999" x14ac:dyDescent="0.2">
      <c r="A10" s="1484" t="s">
        <v>7</v>
      </c>
      <c r="B10" s="622">
        <f t="shared" si="0"/>
        <v>56567</v>
      </c>
      <c r="C10" s="315">
        <v>8253</v>
      </c>
      <c r="D10" s="315">
        <v>3164</v>
      </c>
      <c r="E10" s="315">
        <v>4534</v>
      </c>
      <c r="F10" s="315">
        <v>23768</v>
      </c>
      <c r="G10" s="315">
        <v>16848</v>
      </c>
      <c r="H10" s="315">
        <v>0</v>
      </c>
      <c r="I10" s="315">
        <v>0</v>
      </c>
      <c r="J10" s="315">
        <v>0</v>
      </c>
      <c r="K10" s="315">
        <v>0</v>
      </c>
      <c r="L10" s="315">
        <v>0</v>
      </c>
      <c r="M10" s="643"/>
    </row>
    <row r="11" spans="1:13" s="2" customFormat="1" ht="10.199999999999999" x14ac:dyDescent="0.2">
      <c r="A11" s="1484" t="s">
        <v>8</v>
      </c>
      <c r="B11" s="622">
        <f>SUM(C11:L11)</f>
        <v>558695</v>
      </c>
      <c r="C11" s="315">
        <v>79052</v>
      </c>
      <c r="D11" s="315">
        <v>0</v>
      </c>
      <c r="E11" s="315">
        <v>4174</v>
      </c>
      <c r="F11" s="315">
        <v>174851</v>
      </c>
      <c r="G11" s="315">
        <v>68600</v>
      </c>
      <c r="H11" s="315">
        <v>0</v>
      </c>
      <c r="I11" s="315">
        <v>179609</v>
      </c>
      <c r="J11" s="315">
        <v>3699</v>
      </c>
      <c r="K11" s="315">
        <v>0</v>
      </c>
      <c r="L11" s="315">
        <v>48710</v>
      </c>
      <c r="M11" s="643"/>
    </row>
    <row r="12" spans="1:13" s="2" customFormat="1" ht="10.199999999999999" x14ac:dyDescent="0.2">
      <c r="A12" s="1484" t="s">
        <v>9</v>
      </c>
      <c r="B12" s="622">
        <f t="shared" si="0"/>
        <v>1690802</v>
      </c>
      <c r="C12" s="315">
        <v>210620</v>
      </c>
      <c r="D12" s="315">
        <v>197191</v>
      </c>
      <c r="E12" s="315">
        <v>10404</v>
      </c>
      <c r="F12" s="315">
        <v>682577</v>
      </c>
      <c r="G12" s="315">
        <v>190233</v>
      </c>
      <c r="H12" s="315">
        <v>6107</v>
      </c>
      <c r="I12" s="315">
        <v>303147</v>
      </c>
      <c r="J12" s="315">
        <v>11308</v>
      </c>
      <c r="K12" s="315">
        <v>1271</v>
      </c>
      <c r="L12" s="315">
        <v>77944</v>
      </c>
      <c r="M12" s="643"/>
    </row>
    <row r="13" spans="1:13" s="2" customFormat="1" ht="10.199999999999999" x14ac:dyDescent="0.2">
      <c r="A13" s="1484" t="s">
        <v>10</v>
      </c>
      <c r="B13" s="622">
        <f t="shared" si="0"/>
        <v>13045938</v>
      </c>
      <c r="C13" s="315">
        <v>1938178</v>
      </c>
      <c r="D13" s="315">
        <v>1577459</v>
      </c>
      <c r="E13" s="315">
        <v>69202</v>
      </c>
      <c r="F13" s="315">
        <v>2743026</v>
      </c>
      <c r="G13" s="315">
        <v>1416399</v>
      </c>
      <c r="H13" s="315">
        <v>55391</v>
      </c>
      <c r="I13" s="315">
        <v>4577520</v>
      </c>
      <c r="J13" s="315">
        <v>48035</v>
      </c>
      <c r="K13" s="315">
        <v>18854</v>
      </c>
      <c r="L13" s="315">
        <v>601874</v>
      </c>
      <c r="M13" s="643"/>
    </row>
    <row r="14" spans="1:13" s="2" customFormat="1" ht="10.199999999999999" x14ac:dyDescent="0.2">
      <c r="A14" s="1484" t="s">
        <v>134</v>
      </c>
      <c r="B14" s="622">
        <f t="shared" si="0"/>
        <v>440539</v>
      </c>
      <c r="C14" s="315">
        <v>53720</v>
      </c>
      <c r="D14" s="315">
        <v>0</v>
      </c>
      <c r="E14" s="315">
        <v>38890</v>
      </c>
      <c r="F14" s="315">
        <v>115315</v>
      </c>
      <c r="G14" s="315">
        <v>46525</v>
      </c>
      <c r="H14" s="315">
        <v>0</v>
      </c>
      <c r="I14" s="315">
        <v>162782</v>
      </c>
      <c r="J14" s="315">
        <v>3572</v>
      </c>
      <c r="K14" s="315">
        <v>207</v>
      </c>
      <c r="L14" s="315">
        <v>19528</v>
      </c>
      <c r="M14" s="643"/>
    </row>
    <row r="15" spans="1:13" s="2" customFormat="1" ht="10.199999999999999" x14ac:dyDescent="0.2">
      <c r="A15" s="1484" t="s">
        <v>12</v>
      </c>
      <c r="B15" s="622">
        <f t="shared" si="0"/>
        <v>383218</v>
      </c>
      <c r="C15" s="315">
        <v>35158</v>
      </c>
      <c r="D15" s="315">
        <v>107539</v>
      </c>
      <c r="E15" s="315">
        <v>3103</v>
      </c>
      <c r="F15" s="315">
        <v>91568</v>
      </c>
      <c r="G15" s="315">
        <v>36704</v>
      </c>
      <c r="H15" s="315">
        <v>304</v>
      </c>
      <c r="I15" s="315">
        <v>78218</v>
      </c>
      <c r="J15" s="315">
        <v>3518</v>
      </c>
      <c r="K15" s="315">
        <v>0</v>
      </c>
      <c r="L15" s="315">
        <v>27106</v>
      </c>
      <c r="M15" s="643"/>
    </row>
    <row r="16" spans="1:13" s="2" customFormat="1" ht="10.199999999999999" x14ac:dyDescent="0.2">
      <c r="A16" s="1484" t="s">
        <v>13</v>
      </c>
      <c r="B16" s="622">
        <f t="shared" si="0"/>
        <v>1777184</v>
      </c>
      <c r="C16" s="315">
        <v>250418</v>
      </c>
      <c r="D16" s="315">
        <v>174333</v>
      </c>
      <c r="E16" s="315">
        <v>11421</v>
      </c>
      <c r="F16" s="315">
        <v>567040</v>
      </c>
      <c r="G16" s="315">
        <v>215426</v>
      </c>
      <c r="H16" s="315">
        <v>3265</v>
      </c>
      <c r="I16" s="315">
        <v>457329</v>
      </c>
      <c r="J16" s="315">
        <v>8272</v>
      </c>
      <c r="K16" s="315">
        <v>1982</v>
      </c>
      <c r="L16" s="315">
        <v>87698</v>
      </c>
      <c r="M16" s="643"/>
    </row>
    <row r="17" spans="1:13" s="2" customFormat="1" ht="10.199999999999999" x14ac:dyDescent="0.2">
      <c r="A17" s="1484" t="s">
        <v>47</v>
      </c>
      <c r="B17" s="622">
        <f t="shared" si="0"/>
        <v>562939</v>
      </c>
      <c r="C17" s="315">
        <v>83689</v>
      </c>
      <c r="D17" s="315">
        <v>59678</v>
      </c>
      <c r="E17" s="315">
        <v>3507</v>
      </c>
      <c r="F17" s="315">
        <v>120013</v>
      </c>
      <c r="G17" s="315">
        <v>64041</v>
      </c>
      <c r="H17" s="315">
        <v>879</v>
      </c>
      <c r="I17" s="315">
        <v>192905</v>
      </c>
      <c r="J17" s="315">
        <v>2946</v>
      </c>
      <c r="K17" s="315">
        <v>454</v>
      </c>
      <c r="L17" s="315">
        <v>34827</v>
      </c>
      <c r="M17" s="643"/>
    </row>
    <row r="18" spans="1:13" s="2" customFormat="1" ht="10.199999999999999" x14ac:dyDescent="0.2">
      <c r="A18" s="1484" t="s">
        <v>135</v>
      </c>
      <c r="B18" s="622">
        <f>SUM(C18:L18)</f>
        <v>269705</v>
      </c>
      <c r="C18" s="315">
        <v>28610</v>
      </c>
      <c r="D18" s="315">
        <v>23610</v>
      </c>
      <c r="E18" s="315">
        <v>1292</v>
      </c>
      <c r="F18" s="315">
        <v>95820</v>
      </c>
      <c r="G18" s="315">
        <v>22703</v>
      </c>
      <c r="H18" s="315">
        <v>398</v>
      </c>
      <c r="I18" s="315">
        <v>78749</v>
      </c>
      <c r="J18" s="315">
        <v>1513</v>
      </c>
      <c r="K18" s="315">
        <v>0</v>
      </c>
      <c r="L18" s="315">
        <v>17010</v>
      </c>
      <c r="M18" s="643"/>
    </row>
    <row r="19" spans="1:13" s="2" customFormat="1" ht="10.199999999999999" x14ac:dyDescent="0.2">
      <c r="A19" s="1484" t="s">
        <v>136</v>
      </c>
      <c r="B19" s="622">
        <f t="shared" si="0"/>
        <v>388052</v>
      </c>
      <c r="C19" s="315">
        <v>49104</v>
      </c>
      <c r="D19" s="315">
        <v>34898</v>
      </c>
      <c r="E19" s="315">
        <v>1408</v>
      </c>
      <c r="F19" s="315">
        <v>136999</v>
      </c>
      <c r="G19" s="315">
        <v>39380</v>
      </c>
      <c r="H19" s="315">
        <v>94</v>
      </c>
      <c r="I19" s="315">
        <v>102211</v>
      </c>
      <c r="J19" s="315">
        <v>3042</v>
      </c>
      <c r="K19" s="315">
        <v>0</v>
      </c>
      <c r="L19" s="315">
        <v>20916</v>
      </c>
      <c r="M19" s="643"/>
    </row>
    <row r="20" spans="1:13" s="2" customFormat="1" ht="10.199999999999999" x14ac:dyDescent="0.2">
      <c r="A20" s="1484" t="s">
        <v>17</v>
      </c>
      <c r="B20" s="622">
        <f t="shared" si="0"/>
        <v>2243</v>
      </c>
      <c r="C20" s="315">
        <v>2243</v>
      </c>
      <c r="D20" s="315">
        <v>0</v>
      </c>
      <c r="E20" s="315">
        <v>0</v>
      </c>
      <c r="F20" s="315">
        <v>0</v>
      </c>
      <c r="G20" s="315">
        <v>0</v>
      </c>
      <c r="H20" s="315">
        <v>0</v>
      </c>
      <c r="I20" s="315">
        <v>0</v>
      </c>
      <c r="J20" s="315">
        <v>0</v>
      </c>
      <c r="K20" s="315">
        <v>0</v>
      </c>
      <c r="L20" s="315">
        <v>0</v>
      </c>
      <c r="M20" s="643"/>
    </row>
    <row r="21" spans="1:13" s="2" customFormat="1" ht="10.199999999999999" x14ac:dyDescent="0.2">
      <c r="A21" s="1484" t="s">
        <v>18</v>
      </c>
      <c r="B21" s="622">
        <f t="shared" si="0"/>
        <v>174503</v>
      </c>
      <c r="C21" s="315">
        <v>20680</v>
      </c>
      <c r="D21" s="315">
        <v>11226</v>
      </c>
      <c r="E21" s="315">
        <v>439</v>
      </c>
      <c r="F21" s="315">
        <v>48876</v>
      </c>
      <c r="G21" s="315">
        <v>21804</v>
      </c>
      <c r="H21" s="315">
        <v>365</v>
      </c>
      <c r="I21" s="315">
        <v>60083</v>
      </c>
      <c r="J21" s="315">
        <v>1686</v>
      </c>
      <c r="K21" s="315">
        <v>0</v>
      </c>
      <c r="L21" s="315">
        <v>9344</v>
      </c>
      <c r="M21" s="643"/>
    </row>
    <row r="22" spans="1:13" s="2" customFormat="1" ht="6.75" customHeight="1" x14ac:dyDescent="0.2">
      <c r="A22" s="284"/>
      <c r="B22" s="643"/>
      <c r="C22" s="643"/>
      <c r="D22" s="643"/>
      <c r="E22" s="643"/>
      <c r="F22" s="643"/>
      <c r="G22" s="643"/>
      <c r="H22" s="643"/>
      <c r="I22" s="643"/>
      <c r="J22" s="643"/>
      <c r="K22" s="643"/>
      <c r="L22" s="643"/>
      <c r="M22" s="643"/>
    </row>
    <row r="23" spans="1:13" s="2" customFormat="1" ht="13.5" customHeight="1" x14ac:dyDescent="0.2">
      <c r="A23" s="320" t="s">
        <v>3255</v>
      </c>
      <c r="B23" s="320"/>
      <c r="C23" s="320"/>
      <c r="D23" s="320"/>
      <c r="E23" s="320"/>
    </row>
    <row r="24" spans="1:13" s="714" customFormat="1" ht="12" customHeight="1" x14ac:dyDescent="0.2">
      <c r="A24" s="296" t="s">
        <v>19</v>
      </c>
      <c r="B24" s="296"/>
      <c r="C24" s="296"/>
      <c r="D24" s="296"/>
      <c r="E24" s="304"/>
      <c r="F24" s="304"/>
      <c r="G24" s="682"/>
      <c r="H24" s="682"/>
      <c r="J24" s="2"/>
    </row>
    <row r="25" spans="1:13" s="2" customFormat="1" ht="10.199999999999999" x14ac:dyDescent="0.2">
      <c r="A25" s="1405" t="s">
        <v>3195</v>
      </c>
      <c r="B25" s="1405"/>
      <c r="C25" s="1405"/>
      <c r="D25" s="1405"/>
      <c r="E25" s="1405"/>
    </row>
    <row r="26" spans="1:13" s="2" customFormat="1" ht="10.199999999999999" x14ac:dyDescent="0.2"/>
    <row r="27" spans="1:13" s="2" customFormat="1" x14ac:dyDescent="0.25">
      <c r="A27" s="712"/>
      <c r="B27" s="622"/>
      <c r="C27" s="1478"/>
    </row>
  </sheetData>
  <mergeCells count="5">
    <mergeCell ref="A2:L2"/>
    <mergeCell ref="A4:A5"/>
    <mergeCell ref="B4:L4"/>
    <mergeCell ref="A24:D24"/>
    <mergeCell ref="A25:E25"/>
  </mergeCells>
  <pageMargins left="0.7" right="0.7" top="0.75" bottom="0.75" header="0.3" footer="0.3"/>
  <pageSetup paperSize="14" scale="9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7CE09-31D5-4F62-B1C1-8A0A20F85B84}">
  <sheetPr codeName="Hoja28"/>
  <dimension ref="A1:O27"/>
  <sheetViews>
    <sheetView zoomScaleNormal="100" zoomScaleSheetLayoutView="100" workbookViewId="0">
      <selection sqref="A1:G1"/>
    </sheetView>
  </sheetViews>
  <sheetFormatPr baseColWidth="10" defaultColWidth="11.44140625" defaultRowHeight="10.199999999999999" x14ac:dyDescent="0.2"/>
  <cols>
    <col min="1" max="1" width="18.109375" style="252" customWidth="1"/>
    <col min="2" max="2" width="13.109375" style="235" customWidth="1"/>
    <col min="3" max="3" width="16.6640625" style="235" customWidth="1"/>
    <col min="4" max="4" width="11.44140625" style="235"/>
    <col min="5" max="5" width="15.6640625" style="235" customWidth="1"/>
    <col min="6" max="6" width="14.109375" style="235" bestFit="1" customWidth="1"/>
    <col min="7" max="7" width="15.88671875" style="235" customWidth="1"/>
    <col min="8" max="8" width="11.44140625" style="235"/>
    <col min="9" max="13" width="7" style="235" bestFit="1" customWidth="1"/>
    <col min="14" max="16384" width="11.44140625" style="235"/>
  </cols>
  <sheetData>
    <row r="1" spans="1:15" x14ac:dyDescent="0.2">
      <c r="A1" s="234"/>
      <c r="B1" s="234"/>
      <c r="C1" s="234"/>
      <c r="D1" s="234"/>
      <c r="E1" s="234"/>
      <c r="F1" s="234"/>
      <c r="G1" s="234"/>
    </row>
    <row r="2" spans="1:15" ht="30" customHeight="1" x14ac:dyDescent="0.2">
      <c r="A2" s="236" t="s">
        <v>525</v>
      </c>
      <c r="B2" s="236"/>
      <c r="C2" s="236"/>
      <c r="D2" s="236"/>
      <c r="E2" s="236"/>
      <c r="F2" s="236"/>
      <c r="G2" s="236"/>
    </row>
    <row r="3" spans="1:15" s="237" customFormat="1" ht="10.5" customHeight="1" x14ac:dyDescent="0.2">
      <c r="H3" s="235"/>
      <c r="I3" s="238"/>
      <c r="J3" s="239"/>
      <c r="K3" s="239"/>
      <c r="L3" s="239"/>
      <c r="M3" s="239"/>
      <c r="N3" s="239"/>
      <c r="O3" s="239"/>
    </row>
    <row r="4" spans="1:15" s="244" customFormat="1" ht="18" customHeight="1" x14ac:dyDescent="0.2">
      <c r="A4" s="240" t="s">
        <v>533</v>
      </c>
      <c r="B4" s="241" t="s">
        <v>534</v>
      </c>
      <c r="C4" s="241"/>
      <c r="D4" s="241" t="s">
        <v>535</v>
      </c>
      <c r="E4" s="241"/>
      <c r="F4" s="241" t="s">
        <v>536</v>
      </c>
      <c r="G4" s="241"/>
      <c r="H4" s="235"/>
      <c r="I4" s="242"/>
      <c r="J4" s="243"/>
      <c r="K4" s="243"/>
      <c r="L4" s="243"/>
      <c r="M4" s="243"/>
      <c r="N4" s="243"/>
      <c r="O4" s="243"/>
    </row>
    <row r="5" spans="1:15" s="244" customFormat="1" ht="30.75" customHeight="1" x14ac:dyDescent="0.2">
      <c r="A5" s="245"/>
      <c r="B5" s="246" t="s">
        <v>537</v>
      </c>
      <c r="C5" s="247" t="s">
        <v>538</v>
      </c>
      <c r="D5" s="246" t="s">
        <v>539</v>
      </c>
      <c r="E5" s="247" t="s">
        <v>538</v>
      </c>
      <c r="F5" s="246" t="s">
        <v>539</v>
      </c>
      <c r="G5" s="247" t="s">
        <v>538</v>
      </c>
      <c r="H5" s="235"/>
      <c r="I5" s="242"/>
      <c r="J5" s="248"/>
      <c r="K5" s="249"/>
      <c r="L5" s="248"/>
      <c r="M5" s="249"/>
      <c r="N5" s="248"/>
      <c r="O5" s="249"/>
    </row>
    <row r="6" spans="1:15" s="244" customFormat="1" ht="16.5" customHeight="1" x14ac:dyDescent="0.25">
      <c r="A6" s="250" t="s">
        <v>3</v>
      </c>
      <c r="B6" s="251">
        <f t="shared" ref="B6:G6" si="0">SUM(B7:B11)</f>
        <v>9884</v>
      </c>
      <c r="C6" s="251">
        <f t="shared" si="0"/>
        <v>101200445933</v>
      </c>
      <c r="D6" s="251">
        <f t="shared" si="0"/>
        <v>3949</v>
      </c>
      <c r="E6" s="251">
        <f t="shared" si="0"/>
        <v>37051930641</v>
      </c>
      <c r="F6" s="251">
        <f t="shared" si="0"/>
        <v>1998</v>
      </c>
      <c r="G6" s="251">
        <f t="shared" si="0"/>
        <v>18002086456</v>
      </c>
      <c r="I6" s="238"/>
      <c r="J6" s="248"/>
      <c r="K6" s="249"/>
      <c r="L6" s="248"/>
      <c r="M6" s="249"/>
      <c r="N6" s="248"/>
      <c r="O6" s="249"/>
    </row>
    <row r="7" spans="1:15" ht="36" customHeight="1" x14ac:dyDescent="0.2">
      <c r="A7" s="252" t="s">
        <v>540</v>
      </c>
      <c r="B7" s="253">
        <v>1900</v>
      </c>
      <c r="C7" s="254">
        <v>27041920150</v>
      </c>
      <c r="D7" s="253">
        <v>370</v>
      </c>
      <c r="E7" s="254">
        <v>6251733719</v>
      </c>
      <c r="F7" s="253">
        <v>303</v>
      </c>
      <c r="G7" s="254">
        <v>4718031040</v>
      </c>
      <c r="I7" s="242"/>
      <c r="J7" s="248"/>
      <c r="K7" s="249"/>
      <c r="L7" s="248"/>
      <c r="M7" s="249"/>
      <c r="N7" s="248"/>
      <c r="O7" s="249"/>
    </row>
    <row r="8" spans="1:15" ht="36.75" customHeight="1" x14ac:dyDescent="0.2">
      <c r="A8" s="252" t="s">
        <v>541</v>
      </c>
      <c r="B8" s="253">
        <v>2842</v>
      </c>
      <c r="C8" s="254">
        <v>20486137582</v>
      </c>
      <c r="D8" s="253">
        <v>1140</v>
      </c>
      <c r="E8" s="254">
        <v>8342463687</v>
      </c>
      <c r="F8" s="253">
        <v>717</v>
      </c>
      <c r="G8" s="254">
        <v>4523797930</v>
      </c>
      <c r="I8" s="242"/>
      <c r="J8" s="248"/>
      <c r="K8" s="249"/>
      <c r="L8" s="248"/>
      <c r="M8" s="249"/>
      <c r="N8" s="248"/>
      <c r="O8" s="249"/>
    </row>
    <row r="9" spans="1:15" ht="23.25" customHeight="1" x14ac:dyDescent="0.2">
      <c r="A9" s="252" t="s">
        <v>542</v>
      </c>
      <c r="B9" s="253">
        <v>2229</v>
      </c>
      <c r="C9" s="254">
        <v>12261867972</v>
      </c>
      <c r="D9" s="253">
        <v>1058</v>
      </c>
      <c r="E9" s="254">
        <v>6135709460</v>
      </c>
      <c r="F9" s="253">
        <v>473</v>
      </c>
      <c r="G9" s="254">
        <v>2712437775</v>
      </c>
      <c r="I9" s="242"/>
      <c r="J9" s="248"/>
      <c r="K9" s="249"/>
      <c r="L9" s="248"/>
      <c r="M9" s="249"/>
      <c r="N9" s="248"/>
      <c r="O9" s="249"/>
    </row>
    <row r="10" spans="1:15" ht="20.25" customHeight="1" x14ac:dyDescent="0.3">
      <c r="A10" s="252" t="s">
        <v>543</v>
      </c>
      <c r="B10" s="253">
        <v>1678</v>
      </c>
      <c r="C10" s="254">
        <v>12409173314</v>
      </c>
      <c r="D10" s="253">
        <v>952</v>
      </c>
      <c r="E10" s="254">
        <v>7080971289</v>
      </c>
      <c r="F10" s="253">
        <v>327</v>
      </c>
      <c r="G10" s="254">
        <v>2019225701</v>
      </c>
      <c r="I10" s="255"/>
      <c r="J10" s="256"/>
      <c r="K10" s="256"/>
      <c r="L10" s="256"/>
      <c r="M10" s="256"/>
      <c r="N10" s="256"/>
      <c r="O10" s="256"/>
    </row>
    <row r="11" spans="1:15" ht="10.5" customHeight="1" x14ac:dyDescent="0.3">
      <c r="A11" s="252" t="s">
        <v>544</v>
      </c>
      <c r="B11" s="253">
        <v>1235</v>
      </c>
      <c r="C11" s="254">
        <v>29001346915</v>
      </c>
      <c r="D11" s="253">
        <v>429</v>
      </c>
      <c r="E11" s="254">
        <v>9241052486</v>
      </c>
      <c r="F11" s="253">
        <v>178</v>
      </c>
      <c r="G11" s="254">
        <v>4028594010</v>
      </c>
      <c r="I11" s="257"/>
      <c r="J11" s="256"/>
      <c r="K11" s="256"/>
      <c r="L11" s="256"/>
      <c r="M11" s="256"/>
      <c r="N11" s="256"/>
      <c r="O11" s="256"/>
    </row>
    <row r="12" spans="1:15" ht="10.5" customHeight="1" x14ac:dyDescent="0.3">
      <c r="B12" s="253"/>
      <c r="C12" s="254"/>
      <c r="D12" s="253"/>
      <c r="E12" s="254"/>
      <c r="F12" s="253"/>
      <c r="G12" s="254"/>
      <c r="I12" s="257"/>
      <c r="J12" s="256"/>
      <c r="K12" s="256"/>
      <c r="L12" s="256"/>
      <c r="M12" s="256"/>
      <c r="N12" s="256"/>
      <c r="O12" s="256"/>
    </row>
    <row r="13" spans="1:15" ht="14.4" x14ac:dyDescent="0.3">
      <c r="A13" s="258" t="s">
        <v>545</v>
      </c>
      <c r="I13" s="259"/>
      <c r="J13" s="256"/>
      <c r="K13" s="256"/>
      <c r="L13" s="256"/>
      <c r="M13" s="256"/>
      <c r="N13" s="256"/>
      <c r="O13" s="256"/>
    </row>
    <row r="14" spans="1:15" s="260" customFormat="1" ht="14.4" x14ac:dyDescent="0.3">
      <c r="A14" s="235" t="s">
        <v>546</v>
      </c>
      <c r="B14" s="235"/>
      <c r="C14" s="235"/>
      <c r="D14" s="235"/>
      <c r="E14" s="235"/>
      <c r="F14" s="235"/>
      <c r="G14" s="235"/>
      <c r="H14" s="235"/>
      <c r="I14" s="256"/>
      <c r="J14" s="256"/>
      <c r="K14" s="256"/>
      <c r="L14" s="256"/>
      <c r="M14" s="256"/>
      <c r="N14" s="256"/>
      <c r="O14" s="256"/>
    </row>
    <row r="15" spans="1:15" ht="10.5" customHeight="1" x14ac:dyDescent="0.2"/>
    <row r="16" spans="1:15" x14ac:dyDescent="0.2">
      <c r="H16" s="2"/>
      <c r="I16" s="260"/>
      <c r="J16" s="260"/>
      <c r="K16" s="260"/>
      <c r="L16" s="260"/>
    </row>
    <row r="17" spans="1:13" x14ac:dyDescent="0.2">
      <c r="A17" s="24" t="s">
        <v>547</v>
      </c>
      <c r="B17" s="260"/>
      <c r="C17" s="260"/>
      <c r="D17" s="260"/>
      <c r="E17" s="260"/>
      <c r="H17" s="260"/>
      <c r="I17" s="261"/>
      <c r="J17" s="261"/>
      <c r="K17" s="261"/>
      <c r="L17" s="261"/>
      <c r="M17" s="261"/>
    </row>
    <row r="18" spans="1:13" s="265" customFormat="1" ht="18.75" customHeight="1" x14ac:dyDescent="0.25">
      <c r="A18" s="246" t="s">
        <v>548</v>
      </c>
      <c r="B18" s="246">
        <v>2009</v>
      </c>
      <c r="C18" s="246">
        <v>2010</v>
      </c>
      <c r="D18" s="246">
        <v>2011</v>
      </c>
      <c r="E18" s="246">
        <v>2012</v>
      </c>
      <c r="F18" s="247">
        <v>2013</v>
      </c>
      <c r="G18" s="262"/>
      <c r="H18" s="263"/>
      <c r="I18" s="263"/>
      <c r="J18" s="263"/>
      <c r="K18" s="263"/>
      <c r="L18" s="264"/>
    </row>
    <row r="19" spans="1:13" x14ac:dyDescent="0.2">
      <c r="A19" s="266" t="s">
        <v>3</v>
      </c>
      <c r="B19" s="267">
        <v>1330</v>
      </c>
      <c r="C19" s="267">
        <v>1382</v>
      </c>
      <c r="D19" s="267">
        <v>1192</v>
      </c>
      <c r="E19" s="267">
        <v>1726</v>
      </c>
      <c r="F19" s="268">
        <v>1998</v>
      </c>
      <c r="G19" s="252"/>
      <c r="H19" s="269"/>
      <c r="I19" s="269"/>
      <c r="J19" s="269"/>
      <c r="K19" s="269"/>
      <c r="L19" s="270"/>
    </row>
    <row r="20" spans="1:13" ht="20.399999999999999" x14ac:dyDescent="0.2">
      <c r="A20" s="271" t="s">
        <v>549</v>
      </c>
      <c r="B20" s="267">
        <v>679</v>
      </c>
      <c r="C20" s="267">
        <v>674</v>
      </c>
      <c r="D20" s="267">
        <v>601</v>
      </c>
      <c r="E20" s="267">
        <v>849</v>
      </c>
      <c r="F20" s="268">
        <v>1020</v>
      </c>
      <c r="G20" s="252"/>
      <c r="H20" s="269"/>
      <c r="I20" s="269"/>
      <c r="J20" s="269"/>
      <c r="K20" s="269"/>
      <c r="L20" s="270"/>
    </row>
    <row r="21" spans="1:13" ht="20.399999999999999" x14ac:dyDescent="0.2">
      <c r="A21" s="271" t="s">
        <v>542</v>
      </c>
      <c r="B21" s="267">
        <v>334</v>
      </c>
      <c r="C21" s="267">
        <v>316</v>
      </c>
      <c r="D21" s="267">
        <v>263</v>
      </c>
      <c r="E21" s="267">
        <v>433</v>
      </c>
      <c r="F21" s="268">
        <v>473</v>
      </c>
      <c r="G21" s="252"/>
      <c r="H21" s="269"/>
      <c r="I21" s="269"/>
      <c r="J21" s="269"/>
      <c r="K21" s="269"/>
      <c r="L21" s="270"/>
    </row>
    <row r="22" spans="1:13" ht="20.399999999999999" x14ac:dyDescent="0.2">
      <c r="A22" s="271" t="s">
        <v>543</v>
      </c>
      <c r="B22" s="267">
        <v>137</v>
      </c>
      <c r="C22" s="267">
        <v>212</v>
      </c>
      <c r="D22" s="267">
        <v>209</v>
      </c>
      <c r="E22" s="267">
        <v>276</v>
      </c>
      <c r="F22" s="268">
        <v>327</v>
      </c>
      <c r="G22" s="252"/>
      <c r="H22" s="269"/>
      <c r="I22" s="269"/>
      <c r="J22" s="269"/>
      <c r="K22" s="269"/>
      <c r="L22" s="270"/>
    </row>
    <row r="23" spans="1:13" ht="13.2" x14ac:dyDescent="0.25">
      <c r="A23" s="271" t="s">
        <v>544</v>
      </c>
      <c r="B23" s="267">
        <v>180</v>
      </c>
      <c r="C23" s="267">
        <v>180</v>
      </c>
      <c r="D23" s="267">
        <v>119</v>
      </c>
      <c r="E23" s="267">
        <v>168</v>
      </c>
      <c r="F23" s="268">
        <v>178</v>
      </c>
      <c r="G23"/>
    </row>
    <row r="24" spans="1:13" ht="13.2" x14ac:dyDescent="0.25">
      <c r="A24" s="235"/>
      <c r="H24"/>
    </row>
    <row r="25" spans="1:13" ht="13.2" x14ac:dyDescent="0.25">
      <c r="A25" s="235"/>
      <c r="H25"/>
    </row>
    <row r="26" spans="1:13" ht="13.2" x14ac:dyDescent="0.25">
      <c r="A26" s="235"/>
      <c r="H26"/>
    </row>
    <row r="27" spans="1:13" ht="13.2" x14ac:dyDescent="0.25">
      <c r="A27" s="235"/>
      <c r="H27"/>
    </row>
  </sheetData>
  <mergeCells count="6">
    <mergeCell ref="A1:G1"/>
    <mergeCell ref="A2:G2"/>
    <mergeCell ref="A4:A5"/>
    <mergeCell ref="B4:C4"/>
    <mergeCell ref="D4:E4"/>
    <mergeCell ref="F4:G4"/>
  </mergeCells>
  <pageMargins left="0.39370078740157483" right="0.39370078740157483" top="0.59055118110236227" bottom="0.39370078740157483" header="0" footer="0"/>
  <pageSetup paperSize="14" scale="94" orientation="portrait" r:id="rId1"/>
  <headerFooter alignWithMargins="0"/>
  <drawing r:id="rId2"/>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FA6F13-341D-4FA3-A604-9C06B75E114E}">
  <sheetPr codeName="Hoja280"/>
  <dimension ref="A1:L49"/>
  <sheetViews>
    <sheetView workbookViewId="0">
      <selection activeCell="A4" sqref="A4:A6"/>
    </sheetView>
  </sheetViews>
  <sheetFormatPr baseColWidth="10" defaultColWidth="11.44140625" defaultRowHeight="10.199999999999999" x14ac:dyDescent="0.2"/>
  <cols>
    <col min="1" max="1" width="35.5546875" style="2" customWidth="1"/>
    <col min="2" max="2" width="11.6640625" style="2" customWidth="1"/>
    <col min="3" max="3" width="15" style="665" customWidth="1"/>
    <col min="4" max="4" width="18.109375" style="2" customWidth="1"/>
    <col min="5" max="5" width="40.33203125" style="2" customWidth="1"/>
    <col min="6" max="6" width="13.109375" style="2" customWidth="1"/>
    <col min="7" max="7" width="15.44140625" style="2" customWidth="1"/>
    <col min="8" max="9" width="11.44140625" style="2"/>
    <col min="10" max="11" width="13.33203125" style="2" customWidth="1"/>
    <col min="12" max="12" width="12.5546875" style="2" customWidth="1"/>
    <col min="13" max="16384" width="11.44140625" style="2"/>
  </cols>
  <sheetData>
    <row r="1" spans="1:12" ht="13.2" x14ac:dyDescent="0.2">
      <c r="A1" s="1012"/>
    </row>
    <row r="2" spans="1:12" s="1486" customFormat="1" ht="23.25" customHeight="1" x14ac:dyDescent="0.25">
      <c r="A2" s="234" t="s">
        <v>2919</v>
      </c>
      <c r="B2" s="234"/>
      <c r="C2" s="234"/>
      <c r="D2" s="234"/>
      <c r="E2" s="234"/>
      <c r="F2" s="234"/>
      <c r="G2" s="234"/>
      <c r="H2" s="234"/>
      <c r="I2" s="1485"/>
      <c r="J2" s="1485"/>
      <c r="K2" s="1485"/>
      <c r="L2" s="1485"/>
    </row>
    <row r="3" spans="1:12" ht="11.25" customHeight="1" x14ac:dyDescent="0.2">
      <c r="A3" s="714"/>
      <c r="D3" s="665"/>
    </row>
    <row r="4" spans="1:12" ht="32.25" customHeight="1" x14ac:dyDescent="0.2">
      <c r="A4" s="1385" t="s">
        <v>3256</v>
      </c>
      <c r="B4" s="644" t="s">
        <v>3257</v>
      </c>
      <c r="C4" s="644" t="s">
        <v>3258</v>
      </c>
      <c r="D4" s="644" t="s">
        <v>3259</v>
      </c>
      <c r="E4" s="644" t="s">
        <v>3260</v>
      </c>
      <c r="F4" s="644" t="s">
        <v>3261</v>
      </c>
      <c r="G4" s="644" t="s">
        <v>3262</v>
      </c>
      <c r="H4" s="644" t="s">
        <v>3263</v>
      </c>
    </row>
    <row r="5" spans="1:12" ht="11.25" customHeight="1" x14ac:dyDescent="0.2">
      <c r="A5" s="2" t="s">
        <v>3264</v>
      </c>
      <c r="B5" s="665">
        <v>1</v>
      </c>
      <c r="C5" s="1487">
        <v>1369100</v>
      </c>
      <c r="D5" s="1488">
        <v>41445</v>
      </c>
      <c r="E5" s="665" t="s">
        <v>3265</v>
      </c>
      <c r="F5" s="665" t="s">
        <v>3266</v>
      </c>
      <c r="G5" s="665">
        <v>39</v>
      </c>
      <c r="H5" s="665">
        <v>28</v>
      </c>
    </row>
    <row r="6" spans="1:12" ht="11.25" customHeight="1" x14ac:dyDescent="0.2">
      <c r="A6" s="2" t="s">
        <v>3267</v>
      </c>
      <c r="B6" s="665">
        <v>2</v>
      </c>
      <c r="C6" s="1487">
        <v>1122955</v>
      </c>
      <c r="D6" s="1488">
        <v>41389</v>
      </c>
      <c r="E6" s="665" t="s">
        <v>3268</v>
      </c>
      <c r="F6" s="665" t="s">
        <v>3266</v>
      </c>
      <c r="G6" s="665">
        <v>49</v>
      </c>
      <c r="H6" s="665">
        <v>11</v>
      </c>
    </row>
    <row r="7" spans="1:12" ht="11.25" customHeight="1" x14ac:dyDescent="0.2">
      <c r="A7" s="2" t="s">
        <v>3269</v>
      </c>
      <c r="B7" s="665">
        <v>3</v>
      </c>
      <c r="C7" s="1487">
        <v>935115</v>
      </c>
      <c r="D7" s="1488">
        <v>41613</v>
      </c>
      <c r="E7" s="665" t="s">
        <v>3245</v>
      </c>
      <c r="F7" s="665" t="s">
        <v>3266</v>
      </c>
      <c r="G7" s="665">
        <v>81</v>
      </c>
      <c r="H7" s="665">
        <v>15</v>
      </c>
    </row>
    <row r="8" spans="1:12" ht="11.25" customHeight="1" x14ac:dyDescent="0.2">
      <c r="A8" s="2" t="s">
        <v>3270</v>
      </c>
      <c r="B8" s="665">
        <v>4</v>
      </c>
      <c r="C8" s="1487">
        <v>908828</v>
      </c>
      <c r="D8" s="1488">
        <v>41459</v>
      </c>
      <c r="E8" s="665" t="s">
        <v>3271</v>
      </c>
      <c r="F8" s="665" t="s">
        <v>3266</v>
      </c>
      <c r="G8" s="665">
        <v>50</v>
      </c>
      <c r="H8" s="665">
        <v>15</v>
      </c>
    </row>
    <row r="9" spans="1:12" ht="11.25" customHeight="1" x14ac:dyDescent="0.2">
      <c r="A9" s="2" t="s">
        <v>3272</v>
      </c>
      <c r="B9" s="665">
        <v>5</v>
      </c>
      <c r="C9" s="1487">
        <v>893870</v>
      </c>
      <c r="D9" s="1488">
        <v>41417</v>
      </c>
      <c r="E9" s="665" t="s">
        <v>3273</v>
      </c>
      <c r="F9" s="665" t="s">
        <v>3274</v>
      </c>
      <c r="G9" s="665">
        <v>56</v>
      </c>
      <c r="H9" s="665">
        <v>10</v>
      </c>
    </row>
    <row r="10" spans="1:12" ht="11.25" customHeight="1" x14ac:dyDescent="0.2">
      <c r="A10" s="2" t="s">
        <v>3275</v>
      </c>
      <c r="B10" s="665">
        <v>6</v>
      </c>
      <c r="C10" s="1487">
        <v>814166</v>
      </c>
      <c r="D10" s="1488">
        <v>41354</v>
      </c>
      <c r="E10" s="665" t="s">
        <v>3276</v>
      </c>
      <c r="F10" s="665" t="s">
        <v>3266</v>
      </c>
      <c r="G10" s="665">
        <v>97</v>
      </c>
      <c r="H10" s="665">
        <v>15</v>
      </c>
    </row>
    <row r="11" spans="1:12" ht="11.25" customHeight="1" x14ac:dyDescent="0.2">
      <c r="A11" s="2" t="s">
        <v>3277</v>
      </c>
      <c r="B11" s="665">
        <v>7</v>
      </c>
      <c r="C11" s="1487">
        <v>931897</v>
      </c>
      <c r="D11" s="1488">
        <v>41508</v>
      </c>
      <c r="E11" s="665" t="s">
        <v>3278</v>
      </c>
      <c r="F11" s="665" t="s">
        <v>3274</v>
      </c>
      <c r="G11" s="665">
        <v>30</v>
      </c>
      <c r="H11" s="665">
        <v>16</v>
      </c>
    </row>
    <row r="12" spans="1:12" ht="11.25" customHeight="1" x14ac:dyDescent="0.2">
      <c r="A12" s="2" t="s">
        <v>3279</v>
      </c>
      <c r="B12" s="665">
        <v>8</v>
      </c>
      <c r="C12" s="1487">
        <v>528262</v>
      </c>
      <c r="D12" s="1488">
        <v>41634</v>
      </c>
      <c r="E12" s="665" t="s">
        <v>3280</v>
      </c>
      <c r="F12" s="665" t="s">
        <v>3281</v>
      </c>
      <c r="G12" s="665">
        <v>128</v>
      </c>
      <c r="H12" s="665">
        <v>12</v>
      </c>
    </row>
    <row r="13" spans="1:12" ht="11.25" customHeight="1" x14ac:dyDescent="0.2">
      <c r="A13" s="2" t="s">
        <v>3282</v>
      </c>
      <c r="B13" s="665">
        <v>9</v>
      </c>
      <c r="C13" s="1487">
        <v>608055</v>
      </c>
      <c r="D13" s="1488">
        <v>41452</v>
      </c>
      <c r="E13" s="665" t="s">
        <v>3283</v>
      </c>
      <c r="F13" s="665" t="s">
        <v>3274</v>
      </c>
      <c r="G13" s="665">
        <v>56</v>
      </c>
      <c r="H13" s="665">
        <v>14</v>
      </c>
    </row>
    <row r="14" spans="1:12" ht="11.25" customHeight="1" x14ac:dyDescent="0.2">
      <c r="A14" s="2" t="s">
        <v>3284</v>
      </c>
      <c r="B14" s="665">
        <v>10</v>
      </c>
      <c r="C14" s="1487">
        <v>551597</v>
      </c>
      <c r="D14" s="1488">
        <v>41585</v>
      </c>
      <c r="E14" s="665" t="s">
        <v>3268</v>
      </c>
      <c r="F14" s="665" t="s">
        <v>3281</v>
      </c>
      <c r="G14" s="665">
        <v>51</v>
      </c>
      <c r="H14" s="665">
        <v>16</v>
      </c>
    </row>
    <row r="15" spans="1:12" ht="11.25" customHeight="1" x14ac:dyDescent="0.2">
      <c r="A15" s="2" t="s">
        <v>3285</v>
      </c>
      <c r="B15" s="665">
        <v>11</v>
      </c>
      <c r="C15" s="1487">
        <v>566880</v>
      </c>
      <c r="D15" s="1488">
        <v>41277</v>
      </c>
      <c r="E15" s="665" t="s">
        <v>3286</v>
      </c>
      <c r="F15" s="665" t="s">
        <v>3266</v>
      </c>
      <c r="G15" s="665">
        <v>78</v>
      </c>
      <c r="H15" s="665">
        <v>14</v>
      </c>
    </row>
    <row r="16" spans="1:12" ht="11.25" customHeight="1" x14ac:dyDescent="0.2">
      <c r="A16" s="2" t="s">
        <v>3287</v>
      </c>
      <c r="B16" s="665">
        <v>12</v>
      </c>
      <c r="C16" s="1487">
        <v>544110</v>
      </c>
      <c r="D16" s="1488">
        <v>41473</v>
      </c>
      <c r="E16" s="665" t="s">
        <v>3276</v>
      </c>
      <c r="F16" s="665" t="s">
        <v>3266</v>
      </c>
      <c r="G16" s="665">
        <v>85</v>
      </c>
      <c r="H16" s="665">
        <v>13</v>
      </c>
    </row>
    <row r="17" spans="1:12" ht="11.25" customHeight="1" x14ac:dyDescent="0.2">
      <c r="A17" s="2" t="s">
        <v>3288</v>
      </c>
      <c r="B17" s="665">
        <v>13</v>
      </c>
      <c r="C17" s="1487">
        <v>520688</v>
      </c>
      <c r="D17" s="1488">
        <v>41599</v>
      </c>
      <c r="E17" s="665" t="s">
        <v>3289</v>
      </c>
      <c r="F17" s="665" t="s">
        <v>3274</v>
      </c>
      <c r="G17" s="665">
        <v>51</v>
      </c>
      <c r="H17" s="665">
        <v>9</v>
      </c>
    </row>
    <row r="18" spans="1:12" ht="11.25" customHeight="1" x14ac:dyDescent="0.2">
      <c r="A18" s="2" t="s">
        <v>3290</v>
      </c>
      <c r="B18" s="665">
        <v>14</v>
      </c>
      <c r="C18" s="1487">
        <v>441597</v>
      </c>
      <c r="D18" s="1488">
        <v>41438</v>
      </c>
      <c r="E18" s="665" t="s">
        <v>3268</v>
      </c>
      <c r="F18" s="665" t="s">
        <v>3281</v>
      </c>
      <c r="G18" s="665">
        <v>105</v>
      </c>
      <c r="H18" s="665">
        <v>8</v>
      </c>
    </row>
    <row r="19" spans="1:12" ht="11.25" customHeight="1" x14ac:dyDescent="0.2">
      <c r="A19" s="2" t="s">
        <v>3291</v>
      </c>
      <c r="B19" s="665">
        <v>15</v>
      </c>
      <c r="C19" s="1487">
        <v>471833</v>
      </c>
      <c r="D19" s="1488">
        <v>41543</v>
      </c>
      <c r="E19" s="665" t="s">
        <v>3292</v>
      </c>
      <c r="F19" s="665" t="s">
        <v>3266</v>
      </c>
      <c r="G19" s="665">
        <v>50</v>
      </c>
      <c r="H19" s="665">
        <v>17</v>
      </c>
    </row>
    <row r="20" spans="1:12" ht="11.25" customHeight="1" x14ac:dyDescent="0.2">
      <c r="A20" s="2" t="s">
        <v>3293</v>
      </c>
      <c r="B20" s="665">
        <v>16</v>
      </c>
      <c r="C20" s="1487">
        <v>411634</v>
      </c>
      <c r="D20" s="1488">
        <v>41487</v>
      </c>
      <c r="E20" s="665" t="s">
        <v>3276</v>
      </c>
      <c r="F20" s="665" t="s">
        <v>3266</v>
      </c>
      <c r="G20" s="665">
        <v>50</v>
      </c>
      <c r="H20" s="665">
        <v>11</v>
      </c>
    </row>
    <row r="21" spans="1:12" ht="11.25" customHeight="1" x14ac:dyDescent="0.2">
      <c r="A21" s="2" t="s">
        <v>3294</v>
      </c>
      <c r="B21" s="665">
        <v>17</v>
      </c>
      <c r="C21" s="1487">
        <v>325712</v>
      </c>
      <c r="D21" s="1488">
        <v>41564</v>
      </c>
      <c r="E21" s="665" t="s">
        <v>3245</v>
      </c>
      <c r="F21" s="665" t="s">
        <v>3274</v>
      </c>
      <c r="G21" s="665">
        <v>35</v>
      </c>
      <c r="H21" s="665">
        <v>16</v>
      </c>
    </row>
    <row r="22" spans="1:12" ht="11.25" customHeight="1" x14ac:dyDescent="0.2">
      <c r="A22" s="2" t="s">
        <v>3295</v>
      </c>
      <c r="B22" s="665">
        <v>18</v>
      </c>
      <c r="C22" s="1487">
        <v>347440</v>
      </c>
      <c r="D22" s="1488">
        <v>41466</v>
      </c>
      <c r="E22" s="665" t="s">
        <v>3296</v>
      </c>
      <c r="F22" s="665" t="s">
        <v>3281</v>
      </c>
      <c r="G22" s="665">
        <v>88</v>
      </c>
      <c r="H22" s="665">
        <v>9</v>
      </c>
    </row>
    <row r="23" spans="1:12" ht="11.25" customHeight="1" x14ac:dyDescent="0.2">
      <c r="A23" s="2" t="s">
        <v>3297</v>
      </c>
      <c r="B23" s="665">
        <v>19</v>
      </c>
      <c r="C23" s="1487">
        <v>352589</v>
      </c>
      <c r="D23" s="1488">
        <v>41480</v>
      </c>
      <c r="E23" s="665" t="s">
        <v>3296</v>
      </c>
      <c r="F23" s="665" t="s">
        <v>3274</v>
      </c>
      <c r="G23" s="665">
        <v>71</v>
      </c>
      <c r="H23" s="665">
        <v>11</v>
      </c>
    </row>
    <row r="24" spans="1:12" ht="11.25" customHeight="1" x14ac:dyDescent="0.2">
      <c r="A24" s="2" t="s">
        <v>3298</v>
      </c>
      <c r="B24" s="665">
        <v>20</v>
      </c>
      <c r="C24" s="1487">
        <v>346646</v>
      </c>
      <c r="D24" s="1488">
        <v>41410</v>
      </c>
      <c r="E24" s="665" t="s">
        <v>3276</v>
      </c>
      <c r="F24" s="665" t="s">
        <v>3266</v>
      </c>
      <c r="G24" s="665">
        <v>78</v>
      </c>
      <c r="H24" s="665">
        <v>8</v>
      </c>
    </row>
    <row r="25" spans="1:12" ht="5.25" customHeight="1" x14ac:dyDescent="0.2">
      <c r="A25" s="714"/>
      <c r="B25" s="665"/>
      <c r="C25" s="1488"/>
      <c r="D25" s="665"/>
      <c r="E25" s="665"/>
      <c r="F25" s="665"/>
      <c r="G25" s="665"/>
      <c r="H25" s="665"/>
    </row>
    <row r="26" spans="1:12" x14ac:dyDescent="0.2">
      <c r="A26" s="1405" t="s">
        <v>3299</v>
      </c>
      <c r="B26" s="1405"/>
      <c r="C26" s="1405"/>
      <c r="D26" s="1405"/>
      <c r="E26" s="1405"/>
      <c r="F26" s="1405"/>
      <c r="G26" s="1405"/>
      <c r="H26" s="1405"/>
    </row>
    <row r="27" spans="1:12" ht="10.5" customHeight="1" x14ac:dyDescent="0.2">
      <c r="A27" s="704" t="s">
        <v>3300</v>
      </c>
      <c r="B27" s="704"/>
      <c r="C27" s="704"/>
      <c r="D27" s="704"/>
      <c r="E27" s="704"/>
      <c r="F27" s="704"/>
      <c r="G27" s="704"/>
      <c r="H27" s="704"/>
      <c r="I27" s="705"/>
      <c r="J27" s="1489"/>
      <c r="K27" s="1489"/>
      <c r="L27" s="1489"/>
    </row>
    <row r="28" spans="1:12" ht="11.25" customHeight="1" x14ac:dyDescent="0.2">
      <c r="A28" s="1405" t="s">
        <v>3195</v>
      </c>
      <c r="B28" s="1405"/>
      <c r="C28" s="1405"/>
      <c r="D28" s="1405"/>
      <c r="E28" s="1405"/>
      <c r="F28" s="1405"/>
      <c r="G28" s="1405"/>
      <c r="H28" s="1405"/>
    </row>
    <row r="29" spans="1:12" x14ac:dyDescent="0.2">
      <c r="A29" s="714"/>
    </row>
    <row r="43" spans="3:3" s="336" customFormat="1" x14ac:dyDescent="0.2">
      <c r="C43" s="665"/>
    </row>
    <row r="47" spans="3:3" x14ac:dyDescent="0.2">
      <c r="C47" s="2"/>
    </row>
    <row r="48" spans="3:3" x14ac:dyDescent="0.2">
      <c r="C48" s="2"/>
    </row>
    <row r="49" spans="3:3" x14ac:dyDescent="0.2">
      <c r="C49" s="2"/>
    </row>
  </sheetData>
  <mergeCells count="4">
    <mergeCell ref="A2:H2"/>
    <mergeCell ref="A26:H26"/>
    <mergeCell ref="A27:H27"/>
    <mergeCell ref="A28:H28"/>
  </mergeCells>
  <pageMargins left="0.7" right="0.7" top="0.75" bottom="0.75" header="0.3" footer="0.3"/>
  <pageSetup paperSize="14" scale="90" orientation="landscape" r:id="rId1"/>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85689F-3BE3-44BD-BDB5-50AB2006454C}">
  <sheetPr codeName="Hoja281"/>
  <dimension ref="A1:L12"/>
  <sheetViews>
    <sheetView workbookViewId="0"/>
  </sheetViews>
  <sheetFormatPr baseColWidth="10" defaultRowHeight="13.2" x14ac:dyDescent="0.25"/>
  <cols>
    <col min="1" max="1" width="24.44140625" customWidth="1"/>
  </cols>
  <sheetData>
    <row r="1" spans="1:12" x14ac:dyDescent="0.25">
      <c r="A1" s="1012"/>
    </row>
    <row r="2" spans="1:12" s="1486" customFormat="1" ht="39.75" customHeight="1" x14ac:dyDescent="0.25">
      <c r="A2" s="236" t="s">
        <v>2920</v>
      </c>
      <c r="B2" s="1490"/>
      <c r="C2" s="1490"/>
      <c r="D2" s="1490"/>
      <c r="E2" s="1490"/>
      <c r="F2" s="1490"/>
      <c r="G2" s="1490"/>
      <c r="H2" s="1490"/>
      <c r="I2" s="1485"/>
    </row>
    <row r="3" spans="1:12" s="2" customFormat="1" ht="10.199999999999999" x14ac:dyDescent="0.2">
      <c r="C3" s="665"/>
    </row>
    <row r="4" spans="1:12" s="2" customFormat="1" ht="30.6" x14ac:dyDescent="0.2">
      <c r="A4" s="1385" t="s">
        <v>3256</v>
      </c>
      <c r="B4" s="644" t="s">
        <v>3257</v>
      </c>
      <c r="C4" s="644" t="s">
        <v>3258</v>
      </c>
      <c r="D4" s="644" t="s">
        <v>3259</v>
      </c>
      <c r="E4" s="644" t="s">
        <v>3260</v>
      </c>
      <c r="F4" s="644" t="s">
        <v>3261</v>
      </c>
      <c r="G4" s="644" t="s">
        <v>3262</v>
      </c>
      <c r="H4" s="644" t="s">
        <v>3263</v>
      </c>
    </row>
    <row r="5" spans="1:12" s="665" customFormat="1" ht="10.199999999999999" x14ac:dyDescent="0.2">
      <c r="A5" s="2" t="s">
        <v>3269</v>
      </c>
      <c r="B5" s="665">
        <v>1</v>
      </c>
      <c r="C5" s="1487">
        <v>935115</v>
      </c>
      <c r="D5" s="1491">
        <v>41613</v>
      </c>
      <c r="E5" s="665" t="s">
        <v>3301</v>
      </c>
      <c r="F5" s="1492" t="s">
        <v>3266</v>
      </c>
      <c r="G5" s="1492">
        <v>81</v>
      </c>
      <c r="H5" s="1492">
        <v>15</v>
      </c>
    </row>
    <row r="6" spans="1:12" s="665" customFormat="1" ht="10.199999999999999" x14ac:dyDescent="0.2">
      <c r="A6" s="2" t="s">
        <v>3302</v>
      </c>
      <c r="B6" s="665">
        <v>2</v>
      </c>
      <c r="C6" s="1487">
        <v>367287</v>
      </c>
      <c r="D6" s="1491">
        <v>41480</v>
      </c>
      <c r="E6" s="665" t="s">
        <v>3301</v>
      </c>
      <c r="F6" s="1492" t="s">
        <v>3281</v>
      </c>
      <c r="G6" s="1492">
        <v>47</v>
      </c>
      <c r="H6" s="1492">
        <v>10</v>
      </c>
    </row>
    <row r="7" spans="1:12" s="665" customFormat="1" ht="10.199999999999999" x14ac:dyDescent="0.2">
      <c r="A7" s="2" t="s">
        <v>3303</v>
      </c>
      <c r="B7" s="665">
        <v>3</v>
      </c>
      <c r="C7" s="1487">
        <v>190123</v>
      </c>
      <c r="D7" s="1491">
        <v>41277</v>
      </c>
      <c r="E7" s="665" t="s">
        <v>3301</v>
      </c>
      <c r="F7" s="1492" t="s">
        <v>3274</v>
      </c>
      <c r="G7" s="1492">
        <v>45</v>
      </c>
      <c r="H7" s="1492">
        <v>6</v>
      </c>
    </row>
    <row r="8" spans="1:12" s="665" customFormat="1" ht="10.199999999999999" x14ac:dyDescent="0.2">
      <c r="A8" s="336"/>
      <c r="C8" s="1487"/>
      <c r="D8" s="1491"/>
      <c r="F8" s="1492"/>
      <c r="G8" s="1492"/>
      <c r="H8" s="1492"/>
    </row>
    <row r="9" spans="1:12" s="336" customFormat="1" ht="10.199999999999999" x14ac:dyDescent="0.2">
      <c r="A9" s="1405" t="s">
        <v>3304</v>
      </c>
      <c r="B9" s="1405"/>
      <c r="C9" s="1405"/>
      <c r="D9" s="1405"/>
      <c r="E9" s="1405"/>
      <c r="F9" s="1405"/>
      <c r="G9" s="1405"/>
      <c r="H9" s="1405"/>
    </row>
    <row r="10" spans="1:12" s="2" customFormat="1" ht="23.25" customHeight="1" x14ac:dyDescent="0.2">
      <c r="A10" s="704" t="s">
        <v>3305</v>
      </c>
      <c r="B10" s="704"/>
      <c r="C10" s="704"/>
      <c r="D10" s="704"/>
      <c r="E10" s="704"/>
      <c r="F10" s="704"/>
      <c r="G10" s="704"/>
      <c r="H10" s="704"/>
      <c r="I10" s="705"/>
      <c r="J10" s="1489"/>
      <c r="K10" s="1489"/>
      <c r="L10" s="1489"/>
    </row>
    <row r="11" spans="1:12" s="2" customFormat="1" ht="10.199999999999999" x14ac:dyDescent="0.2">
      <c r="A11" s="1405" t="s">
        <v>3195</v>
      </c>
      <c r="B11" s="1405"/>
      <c r="C11" s="1405"/>
      <c r="D11" s="1405"/>
      <c r="E11" s="1405"/>
      <c r="F11" s="1405"/>
      <c r="G11" s="1405"/>
      <c r="H11" s="1405"/>
    </row>
    <row r="12" spans="1:12" s="336" customFormat="1" ht="10.199999999999999" x14ac:dyDescent="0.2">
      <c r="C12" s="665"/>
    </row>
  </sheetData>
  <mergeCells count="4">
    <mergeCell ref="A2:H2"/>
    <mergeCell ref="A9:H9"/>
    <mergeCell ref="A10:H10"/>
    <mergeCell ref="A11:H11"/>
  </mergeCells>
  <pageMargins left="0.7" right="0.7" top="0.75" bottom="0.75" header="0.3" footer="0.3"/>
  <pageSetup paperSize="14" scale="90" orientation="landscape" r:id="rId1"/>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1D57D-A282-4F10-A7AB-1E6CBEA62363}">
  <sheetPr codeName="Hoja282">
    <tabColor theme="8"/>
  </sheetPr>
  <dimension ref="A2:A13"/>
  <sheetViews>
    <sheetView workbookViewId="0">
      <selection activeCell="A13" sqref="A13"/>
    </sheetView>
  </sheetViews>
  <sheetFormatPr baseColWidth="10" defaultColWidth="11.44140625" defaultRowHeight="10.199999999999999" x14ac:dyDescent="0.2"/>
  <cols>
    <col min="1" max="16384" width="11.44140625" style="24"/>
  </cols>
  <sheetData>
    <row r="2" spans="1:1" x14ac:dyDescent="0.2">
      <c r="A2" s="24" t="s">
        <v>3306</v>
      </c>
    </row>
    <row r="4" spans="1:1" x14ac:dyDescent="0.2">
      <c r="A4" s="24" t="s">
        <v>3307</v>
      </c>
    </row>
    <row r="5" spans="1:1" x14ac:dyDescent="0.2">
      <c r="A5" s="2"/>
    </row>
    <row r="6" spans="1:1" x14ac:dyDescent="0.2">
      <c r="A6" s="182" t="s">
        <v>3308</v>
      </c>
    </row>
    <row r="7" spans="1:1" x14ac:dyDescent="0.2">
      <c r="A7" s="182" t="s">
        <v>3309</v>
      </c>
    </row>
    <row r="8" spans="1:1" x14ac:dyDescent="0.2">
      <c r="A8" s="182" t="s">
        <v>3310</v>
      </c>
    </row>
    <row r="9" spans="1:1" x14ac:dyDescent="0.2">
      <c r="A9" s="182" t="s">
        <v>3311</v>
      </c>
    </row>
    <row r="10" spans="1:1" x14ac:dyDescent="0.2">
      <c r="A10" s="182" t="s">
        <v>3312</v>
      </c>
    </row>
    <row r="11" spans="1:1" x14ac:dyDescent="0.2">
      <c r="A11" s="182" t="s">
        <v>3313</v>
      </c>
    </row>
    <row r="12" spans="1:1" x14ac:dyDescent="0.2">
      <c r="A12" s="182" t="s">
        <v>3314</v>
      </c>
    </row>
    <row r="13" spans="1:1" x14ac:dyDescent="0.2">
      <c r="A13" s="182" t="s">
        <v>3315</v>
      </c>
    </row>
  </sheetData>
  <hyperlinks>
    <hyperlink ref="A6" location="'3.8.1-01'!A1" display="CUADRO 3.8.1-01: NÚMERO DE EMPRESAS PROVEEDORAS DE CONEXIÓN A INTERNET POR MODALIDAD, SEGÚN REGIÓN. 2009-2013/1" xr:uid="{DBC6DB48-38EF-40EC-BC76-B7EE4E264DB1}"/>
    <hyperlink ref="A7" location="'3.8.1-02'!A1" display="CUADRO 3.8.1-02: NÚMERO DE CONEXIONES A INTERNET POR TIPO DE ACCESO, SEGÚN REGIÓN. 2013" xr:uid="{0ABF493A-878D-4638-9FE8-16869B448758}"/>
    <hyperlink ref="A8" location="'3.8.1-03'!A1" display="CUADRO 3.8.1-03: NÚMERO DE CONEXIONES DEDICADAS FIJAS, SEGÚN TIPO DE SUSCRIPTOR. 2009-2013" xr:uid="{3BC71265-453D-4127-9753-713FD284B8EA}"/>
    <hyperlink ref="A9" location="'3.8.1-04'!A1" display="CUADRO 3.8.1-04: TASA DE CONEXIONES RESIDENCIALES DEDICADAS POR CADA CIEN HABITANTES. 2009-2013" xr:uid="{3EA3AB28-EC71-48E7-8684-511D970A9927}"/>
    <hyperlink ref="A10" location="'3.8.1-05'!A1" display="CUADRO 3.8.1-05:  NÚMERO DE CONEXIONES RESIDENCIALES DE BANDA ANCHA A INTERNET. 2009-2013" xr:uid="{8B7BC79D-7406-429B-B62F-BF8F11DC9D8C}"/>
    <hyperlink ref="A11" location="'3.8.1-06'!A1" display="CUADRO 3.8.1-06: TRÁFICO CONMUTADO DE INTERNET. 2013" xr:uid="{154E40D0-647B-4E95-8B91-1F921DB5DDF0}"/>
    <hyperlink ref="A12" location="'3.8.1-07'!A1" display="CUADRO 3.8.1-07: PENETRACIÓN DE INTERNET EN LA POBLACIÓN EN PORCENTAJE, SEGÚN LA UNIÓN INTERNACIONAL DE TELECOMNICACIONES DE LAS NACIONES UNIDAS (UIT). 2009-2013" xr:uid="{4D73B442-6384-4126-90D1-E28570D87A8D}"/>
    <hyperlink ref="A13" location="'3.8.1-08'!A1" display="CUADRO 3.8.1-08: PENETRACIÓN MUNDIAL DE INTERNET POR CADA CIEN HABITANTES, COMPARACIÓN DE VARIOS PAÍSES. 2013" xr:uid="{192A020A-C5BF-4EF9-85A0-6EAF5BBD5C3E}"/>
  </hyperlinks>
  <pageMargins left="0.7" right="0.7" top="0.75" bottom="0.75" header="0.3" footer="0.3"/>
  <pageSetup paperSize="14" orientation="landscape" r:id="rId1"/>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13A1E-BF40-410A-99D0-59713FE5CBDE}">
  <sheetPr codeName="Hoja283"/>
  <dimension ref="A1:M30"/>
  <sheetViews>
    <sheetView zoomScaleNormal="100" workbookViewId="0">
      <selection activeCell="C29" sqref="C29"/>
    </sheetView>
  </sheetViews>
  <sheetFormatPr baseColWidth="10" defaultRowHeight="13.2" x14ac:dyDescent="0.25"/>
  <cols>
    <col min="1" max="1" width="16.5546875" customWidth="1"/>
    <col min="2" max="2" width="12.5546875" customWidth="1"/>
    <col min="16" max="16" width="12.33203125" bestFit="1" customWidth="1"/>
  </cols>
  <sheetData>
    <row r="1" spans="1:13" s="141" customFormat="1" ht="14.25" customHeight="1" x14ac:dyDescent="0.2">
      <c r="A1" s="1012"/>
      <c r="B1" s="1493"/>
      <c r="C1" s="1493"/>
      <c r="E1" s="24"/>
      <c r="F1" s="24"/>
      <c r="G1" s="24"/>
      <c r="H1" s="24"/>
    </row>
    <row r="2" spans="1:13" s="141" customFormat="1" ht="15" customHeight="1" x14ac:dyDescent="0.2">
      <c r="A2" s="1494" t="s">
        <v>3316</v>
      </c>
      <c r="B2" s="1494"/>
      <c r="C2" s="1494"/>
      <c r="D2" s="1494"/>
      <c r="E2" s="1494"/>
      <c r="F2" s="1494"/>
      <c r="G2" s="1494"/>
      <c r="H2" s="1494"/>
      <c r="I2" s="1494"/>
      <c r="J2" s="1494"/>
      <c r="K2" s="1494"/>
      <c r="L2" s="1494"/>
      <c r="M2" s="1494"/>
    </row>
    <row r="3" spans="1:13" s="141" customFormat="1" ht="4.5" customHeight="1" x14ac:dyDescent="0.2">
      <c r="A3" s="711"/>
      <c r="B3" s="1373"/>
      <c r="C3" s="1373"/>
      <c r="D3" s="309"/>
      <c r="E3" s="309"/>
      <c r="F3" s="309"/>
      <c r="G3" s="309"/>
    </row>
    <row r="4" spans="1:13" s="141" customFormat="1" ht="12.75" customHeight="1" x14ac:dyDescent="0.2">
      <c r="A4" s="323" t="s">
        <v>0</v>
      </c>
      <c r="B4" s="895">
        <v>2009</v>
      </c>
      <c r="C4" s="897"/>
      <c r="D4" s="895">
        <v>2010</v>
      </c>
      <c r="E4" s="897"/>
      <c r="F4" s="895">
        <v>2011</v>
      </c>
      <c r="G4" s="897"/>
      <c r="H4" s="749">
        <v>2012</v>
      </c>
      <c r="I4" s="749"/>
      <c r="J4" s="749"/>
      <c r="K4" s="749">
        <v>2013</v>
      </c>
      <c r="L4" s="749"/>
      <c r="M4" s="749"/>
    </row>
    <row r="5" spans="1:13" s="141" customFormat="1" ht="33.75" customHeight="1" x14ac:dyDescent="0.2">
      <c r="A5" s="323"/>
      <c r="B5" s="454" t="s">
        <v>3317</v>
      </c>
      <c r="C5" s="454" t="s">
        <v>3318</v>
      </c>
      <c r="D5" s="454" t="s">
        <v>3319</v>
      </c>
      <c r="E5" s="454" t="s">
        <v>3320</v>
      </c>
      <c r="F5" s="454" t="s">
        <v>3319</v>
      </c>
      <c r="G5" s="454" t="s">
        <v>3320</v>
      </c>
      <c r="H5" s="454" t="s">
        <v>3317</v>
      </c>
      <c r="I5" s="454" t="s">
        <v>3319</v>
      </c>
      <c r="J5" s="454" t="s">
        <v>3321</v>
      </c>
      <c r="K5" s="454" t="s">
        <v>3317</v>
      </c>
      <c r="L5" s="454" t="s">
        <v>3319</v>
      </c>
      <c r="M5" s="454" t="s">
        <v>3320</v>
      </c>
    </row>
    <row r="6" spans="1:13" s="141" customFormat="1" ht="12" x14ac:dyDescent="0.2">
      <c r="A6" s="1373" t="s">
        <v>3322</v>
      </c>
      <c r="B6" s="830">
        <v>12</v>
      </c>
      <c r="C6" s="830">
        <v>23</v>
      </c>
      <c r="D6" s="830">
        <v>27</v>
      </c>
      <c r="E6" s="830">
        <v>3</v>
      </c>
      <c r="F6" s="830">
        <v>25</v>
      </c>
      <c r="G6" s="830">
        <v>3</v>
      </c>
      <c r="H6" s="1495">
        <v>4</v>
      </c>
      <c r="I6" s="1495">
        <v>24</v>
      </c>
      <c r="J6" s="830">
        <v>6</v>
      </c>
      <c r="K6" s="134" t="s">
        <v>193</v>
      </c>
      <c r="L6" s="830">
        <v>23</v>
      </c>
      <c r="M6" s="830">
        <v>8</v>
      </c>
    </row>
    <row r="7" spans="1:13" s="141" customFormat="1" ht="12.75" customHeight="1" x14ac:dyDescent="0.2">
      <c r="A7" s="1496" t="s">
        <v>4</v>
      </c>
      <c r="B7" s="459">
        <v>4</v>
      </c>
      <c r="C7" s="459">
        <v>6</v>
      </c>
      <c r="D7" s="459">
        <v>6</v>
      </c>
      <c r="E7" s="459" t="s">
        <v>193</v>
      </c>
      <c r="F7" s="650">
        <v>7</v>
      </c>
      <c r="G7" s="1497" t="s">
        <v>193</v>
      </c>
      <c r="H7" s="1497" t="s">
        <v>193</v>
      </c>
      <c r="I7" s="1497">
        <v>7</v>
      </c>
      <c r="J7" s="459" t="s">
        <v>193</v>
      </c>
      <c r="K7" s="134" t="s">
        <v>193</v>
      </c>
      <c r="L7" s="459">
        <v>7</v>
      </c>
      <c r="M7" s="459" t="s">
        <v>193</v>
      </c>
    </row>
    <row r="8" spans="1:13" s="141" customFormat="1" ht="12.75" customHeight="1" x14ac:dyDescent="0.2">
      <c r="A8" s="1496" t="s">
        <v>5</v>
      </c>
      <c r="B8" s="459">
        <v>4</v>
      </c>
      <c r="C8" s="459">
        <v>8</v>
      </c>
      <c r="D8" s="459">
        <v>7</v>
      </c>
      <c r="E8" s="459" t="s">
        <v>193</v>
      </c>
      <c r="F8" s="650">
        <v>7</v>
      </c>
      <c r="G8" s="1497" t="s">
        <v>193</v>
      </c>
      <c r="H8" s="1497" t="s">
        <v>193</v>
      </c>
      <c r="I8" s="1497">
        <v>8</v>
      </c>
      <c r="J8" s="459" t="s">
        <v>193</v>
      </c>
      <c r="K8" s="134" t="s">
        <v>193</v>
      </c>
      <c r="L8" s="459">
        <v>7</v>
      </c>
      <c r="M8" s="459" t="s">
        <v>193</v>
      </c>
    </row>
    <row r="9" spans="1:13" s="141" customFormat="1" ht="12.75" customHeight="1" x14ac:dyDescent="0.2">
      <c r="A9" s="1496" t="s">
        <v>6</v>
      </c>
      <c r="B9" s="459">
        <v>5</v>
      </c>
      <c r="C9" s="459">
        <v>8</v>
      </c>
      <c r="D9" s="459">
        <v>8</v>
      </c>
      <c r="E9" s="459" t="s">
        <v>193</v>
      </c>
      <c r="F9" s="650">
        <v>8</v>
      </c>
      <c r="G9" s="1497" t="s">
        <v>193</v>
      </c>
      <c r="H9" s="1497">
        <v>1</v>
      </c>
      <c r="I9" s="1497">
        <v>9</v>
      </c>
      <c r="J9" s="459" t="s">
        <v>193</v>
      </c>
      <c r="K9" s="134" t="s">
        <v>193</v>
      </c>
      <c r="L9" s="459">
        <v>8</v>
      </c>
      <c r="M9" s="459" t="s">
        <v>193</v>
      </c>
    </row>
    <row r="10" spans="1:13" s="141" customFormat="1" ht="12.75" customHeight="1" x14ac:dyDescent="0.2">
      <c r="A10" s="1496" t="s">
        <v>7</v>
      </c>
      <c r="B10" s="459">
        <v>6</v>
      </c>
      <c r="C10" s="459">
        <v>8</v>
      </c>
      <c r="D10" s="459">
        <v>7</v>
      </c>
      <c r="E10" s="459" t="s">
        <v>193</v>
      </c>
      <c r="F10" s="650">
        <v>7</v>
      </c>
      <c r="G10" s="1497" t="s">
        <v>193</v>
      </c>
      <c r="H10" s="1497" t="s">
        <v>193</v>
      </c>
      <c r="I10" s="1497">
        <v>7</v>
      </c>
      <c r="J10" s="459" t="s">
        <v>193</v>
      </c>
      <c r="K10" s="134" t="s">
        <v>193</v>
      </c>
      <c r="L10" s="459">
        <v>8</v>
      </c>
      <c r="M10" s="459" t="s">
        <v>193</v>
      </c>
    </row>
    <row r="11" spans="1:13" s="141" customFormat="1" ht="12.75" customHeight="1" x14ac:dyDescent="0.2">
      <c r="A11" s="1496" t="s">
        <v>8</v>
      </c>
      <c r="B11" s="459">
        <v>4</v>
      </c>
      <c r="C11" s="459">
        <v>8</v>
      </c>
      <c r="D11" s="459">
        <v>9</v>
      </c>
      <c r="E11" s="459" t="s">
        <v>193</v>
      </c>
      <c r="F11" s="650">
        <v>8</v>
      </c>
      <c r="G11" s="1497" t="s">
        <v>193</v>
      </c>
      <c r="H11" s="1497">
        <v>2</v>
      </c>
      <c r="I11" s="1497">
        <v>8</v>
      </c>
      <c r="J11" s="459" t="s">
        <v>193</v>
      </c>
      <c r="K11" s="134" t="s">
        <v>193</v>
      </c>
      <c r="L11" s="459">
        <v>8</v>
      </c>
      <c r="M11" s="459" t="s">
        <v>193</v>
      </c>
    </row>
    <row r="12" spans="1:13" s="141" customFormat="1" ht="12.75" customHeight="1" x14ac:dyDescent="0.2">
      <c r="A12" s="1496" t="s">
        <v>9</v>
      </c>
      <c r="B12" s="459">
        <v>6</v>
      </c>
      <c r="C12" s="459">
        <v>12</v>
      </c>
      <c r="D12" s="459">
        <v>12</v>
      </c>
      <c r="E12" s="459" t="s">
        <v>193</v>
      </c>
      <c r="F12" s="650">
        <v>11</v>
      </c>
      <c r="G12" s="1497" t="s">
        <v>193</v>
      </c>
      <c r="H12" s="1497">
        <v>2</v>
      </c>
      <c r="I12" s="1497">
        <v>12</v>
      </c>
      <c r="J12" s="459" t="s">
        <v>193</v>
      </c>
      <c r="K12" s="134" t="s">
        <v>193</v>
      </c>
      <c r="L12" s="459">
        <v>11</v>
      </c>
      <c r="M12" s="459" t="s">
        <v>193</v>
      </c>
    </row>
    <row r="13" spans="1:13" s="141" customFormat="1" ht="12.75" customHeight="1" x14ac:dyDescent="0.2">
      <c r="A13" s="1496" t="s">
        <v>10</v>
      </c>
      <c r="B13" s="459">
        <v>12</v>
      </c>
      <c r="C13" s="459">
        <v>19</v>
      </c>
      <c r="D13" s="459">
        <v>22</v>
      </c>
      <c r="E13" s="459" t="s">
        <v>193</v>
      </c>
      <c r="F13" s="799">
        <v>19</v>
      </c>
      <c r="G13" s="1497" t="s">
        <v>193</v>
      </c>
      <c r="H13" s="1497">
        <v>4</v>
      </c>
      <c r="I13" s="1497">
        <v>19</v>
      </c>
      <c r="J13" s="459" t="s">
        <v>193</v>
      </c>
      <c r="K13" s="134" t="s">
        <v>193</v>
      </c>
      <c r="L13" s="459">
        <v>19</v>
      </c>
      <c r="M13" s="459" t="s">
        <v>193</v>
      </c>
    </row>
    <row r="14" spans="1:13" s="141" customFormat="1" ht="12.75" customHeight="1" x14ac:dyDescent="0.2">
      <c r="A14" s="1496" t="s">
        <v>134</v>
      </c>
      <c r="B14" s="459">
        <v>5</v>
      </c>
      <c r="C14" s="459">
        <v>10</v>
      </c>
      <c r="D14" s="459">
        <v>11</v>
      </c>
      <c r="E14" s="459" t="s">
        <v>193</v>
      </c>
      <c r="F14" s="650">
        <v>11</v>
      </c>
      <c r="G14" s="1497" t="s">
        <v>193</v>
      </c>
      <c r="H14" s="1497">
        <v>1</v>
      </c>
      <c r="I14" s="1497">
        <v>11</v>
      </c>
      <c r="J14" s="459" t="s">
        <v>193</v>
      </c>
      <c r="K14" s="134" t="s">
        <v>193</v>
      </c>
      <c r="L14" s="459">
        <v>11</v>
      </c>
      <c r="M14" s="459" t="s">
        <v>193</v>
      </c>
    </row>
    <row r="15" spans="1:13" s="141" customFormat="1" ht="12.75" customHeight="1" x14ac:dyDescent="0.2">
      <c r="A15" s="1496" t="s">
        <v>12</v>
      </c>
      <c r="B15" s="459">
        <v>4</v>
      </c>
      <c r="C15" s="459">
        <v>12</v>
      </c>
      <c r="D15" s="459">
        <v>10</v>
      </c>
      <c r="E15" s="459" t="s">
        <v>193</v>
      </c>
      <c r="F15" s="650">
        <v>12</v>
      </c>
      <c r="G15" s="1497" t="s">
        <v>193</v>
      </c>
      <c r="H15" s="1497">
        <v>2</v>
      </c>
      <c r="I15" s="1497">
        <v>13</v>
      </c>
      <c r="J15" s="459" t="s">
        <v>193</v>
      </c>
      <c r="K15" s="134" t="s">
        <v>193</v>
      </c>
      <c r="L15" s="459">
        <v>12</v>
      </c>
      <c r="M15" s="459" t="s">
        <v>193</v>
      </c>
    </row>
    <row r="16" spans="1:13" s="141" customFormat="1" ht="12.75" customHeight="1" x14ac:dyDescent="0.2">
      <c r="A16" s="1496" t="s">
        <v>13</v>
      </c>
      <c r="B16" s="459">
        <v>5</v>
      </c>
      <c r="C16" s="459">
        <v>14</v>
      </c>
      <c r="D16" s="459">
        <v>15</v>
      </c>
      <c r="E16" s="459" t="s">
        <v>193</v>
      </c>
      <c r="F16" s="650">
        <v>14</v>
      </c>
      <c r="G16" s="1497" t="s">
        <v>193</v>
      </c>
      <c r="H16" s="1497">
        <v>2</v>
      </c>
      <c r="I16" s="1497">
        <v>15</v>
      </c>
      <c r="J16" s="459" t="s">
        <v>193</v>
      </c>
      <c r="K16" s="134" t="s">
        <v>193</v>
      </c>
      <c r="L16" s="459">
        <v>12</v>
      </c>
      <c r="M16" s="459" t="s">
        <v>193</v>
      </c>
    </row>
    <row r="17" spans="1:13" s="141" customFormat="1" ht="12.75" customHeight="1" x14ac:dyDescent="0.2">
      <c r="A17" s="1496" t="s">
        <v>47</v>
      </c>
      <c r="B17" s="459">
        <v>3</v>
      </c>
      <c r="C17" s="459">
        <v>10</v>
      </c>
      <c r="D17" s="459">
        <v>9</v>
      </c>
      <c r="E17" s="459" t="s">
        <v>193</v>
      </c>
      <c r="F17" s="650">
        <v>10</v>
      </c>
      <c r="G17" s="1497" t="s">
        <v>193</v>
      </c>
      <c r="H17" s="1497">
        <v>1</v>
      </c>
      <c r="I17" s="1497">
        <v>11</v>
      </c>
      <c r="J17" s="459" t="s">
        <v>193</v>
      </c>
      <c r="K17" s="134" t="s">
        <v>193</v>
      </c>
      <c r="L17" s="459">
        <v>9</v>
      </c>
      <c r="M17" s="459" t="s">
        <v>193</v>
      </c>
    </row>
    <row r="18" spans="1:13" s="141" customFormat="1" ht="12.75" customHeight="1" x14ac:dyDescent="0.2">
      <c r="A18" s="1496" t="s">
        <v>135</v>
      </c>
      <c r="B18" s="459">
        <v>3</v>
      </c>
      <c r="C18" s="459">
        <v>7</v>
      </c>
      <c r="D18" s="459">
        <v>7</v>
      </c>
      <c r="E18" s="459" t="s">
        <v>193</v>
      </c>
      <c r="F18" s="650">
        <v>9</v>
      </c>
      <c r="G18" s="1497" t="s">
        <v>193</v>
      </c>
      <c r="H18" s="1497" t="s">
        <v>193</v>
      </c>
      <c r="I18" s="1497">
        <v>9</v>
      </c>
      <c r="J18" s="459" t="s">
        <v>193</v>
      </c>
      <c r="K18" s="134" t="s">
        <v>193</v>
      </c>
      <c r="L18" s="459">
        <v>10</v>
      </c>
      <c r="M18" s="459" t="s">
        <v>193</v>
      </c>
    </row>
    <row r="19" spans="1:13" s="141" customFormat="1" ht="12.75" customHeight="1" x14ac:dyDescent="0.2">
      <c r="A19" s="1496" t="s">
        <v>136</v>
      </c>
      <c r="B19" s="459">
        <v>2</v>
      </c>
      <c r="C19" s="459">
        <v>10</v>
      </c>
      <c r="D19" s="459">
        <v>7</v>
      </c>
      <c r="E19" s="459" t="s">
        <v>193</v>
      </c>
      <c r="F19" s="650">
        <v>8</v>
      </c>
      <c r="G19" s="1497" t="s">
        <v>193</v>
      </c>
      <c r="H19" s="1497" t="s">
        <v>193</v>
      </c>
      <c r="I19" s="1497">
        <v>8</v>
      </c>
      <c r="J19" s="459" t="s">
        <v>193</v>
      </c>
      <c r="K19" s="134" t="s">
        <v>193</v>
      </c>
      <c r="L19" s="459">
        <v>9</v>
      </c>
      <c r="M19" s="459" t="s">
        <v>193</v>
      </c>
    </row>
    <row r="20" spans="1:13" s="141" customFormat="1" ht="12.75" customHeight="1" x14ac:dyDescent="0.2">
      <c r="A20" s="1496" t="s">
        <v>17</v>
      </c>
      <c r="B20" s="459">
        <v>0</v>
      </c>
      <c r="C20" s="459">
        <v>5</v>
      </c>
      <c r="D20" s="459">
        <v>4</v>
      </c>
      <c r="E20" s="459" t="s">
        <v>193</v>
      </c>
      <c r="F20" s="650">
        <v>4</v>
      </c>
      <c r="G20" s="1497" t="s">
        <v>193</v>
      </c>
      <c r="H20" s="1497" t="s">
        <v>193</v>
      </c>
      <c r="I20" s="1497">
        <v>6</v>
      </c>
      <c r="J20" s="459" t="s">
        <v>193</v>
      </c>
      <c r="K20" s="134" t="s">
        <v>193</v>
      </c>
      <c r="L20" s="459">
        <v>6</v>
      </c>
      <c r="M20" s="459" t="s">
        <v>193</v>
      </c>
    </row>
    <row r="21" spans="1:13" s="141" customFormat="1" ht="12.75" customHeight="1" x14ac:dyDescent="0.2">
      <c r="A21" s="1496" t="s">
        <v>18</v>
      </c>
      <c r="B21" s="459">
        <v>4</v>
      </c>
      <c r="C21" s="459">
        <v>5</v>
      </c>
      <c r="D21" s="459">
        <v>4</v>
      </c>
      <c r="E21" s="459" t="s">
        <v>193</v>
      </c>
      <c r="F21" s="650">
        <v>5</v>
      </c>
      <c r="G21" s="1497" t="s">
        <v>193</v>
      </c>
      <c r="H21" s="1497">
        <v>2</v>
      </c>
      <c r="I21" s="1497">
        <v>7</v>
      </c>
      <c r="J21" s="459" t="s">
        <v>193</v>
      </c>
      <c r="K21" s="134" t="s">
        <v>193</v>
      </c>
      <c r="L21" s="459">
        <v>6</v>
      </c>
      <c r="M21" s="459" t="s">
        <v>193</v>
      </c>
    </row>
    <row r="22" spans="1:13" s="141" customFormat="1" ht="6.75" customHeight="1" x14ac:dyDescent="0.2">
      <c r="A22" s="284"/>
      <c r="D22" s="750"/>
      <c r="E22" s="750"/>
      <c r="F22" s="785"/>
      <c r="G22" s="1498"/>
      <c r="H22" s="1498"/>
      <c r="I22" s="1498"/>
      <c r="J22" s="750"/>
      <c r="K22" s="750"/>
      <c r="M22" s="750"/>
    </row>
    <row r="23" spans="1:13" s="717" customFormat="1" ht="10.199999999999999" x14ac:dyDescent="0.25">
      <c r="A23" s="466" t="s">
        <v>3323</v>
      </c>
      <c r="B23" s="723"/>
      <c r="C23" s="723"/>
      <c r="D23" s="723"/>
      <c r="E23" s="723"/>
    </row>
    <row r="24" spans="1:13" s="1058" customFormat="1" ht="22.5" customHeight="1" x14ac:dyDescent="0.25">
      <c r="A24" s="466" t="s">
        <v>3324</v>
      </c>
      <c r="B24" s="466"/>
      <c r="C24" s="466"/>
      <c r="D24" s="466"/>
      <c r="E24" s="466"/>
      <c r="F24" s="466"/>
      <c r="G24" s="466"/>
      <c r="H24" s="466"/>
      <c r="I24" s="466"/>
      <c r="J24" s="466"/>
      <c r="K24" s="466"/>
      <c r="L24" s="466"/>
      <c r="M24" s="466"/>
    </row>
    <row r="25" spans="1:13" s="717" customFormat="1" ht="22.5" customHeight="1" x14ac:dyDescent="0.25">
      <c r="A25" s="466" t="s">
        <v>3325</v>
      </c>
      <c r="B25" s="466"/>
      <c r="C25" s="466"/>
      <c r="D25" s="466"/>
      <c r="E25" s="466"/>
      <c r="F25" s="466"/>
      <c r="G25" s="466"/>
      <c r="H25" s="466"/>
      <c r="I25" s="466"/>
      <c r="J25" s="466"/>
      <c r="K25" s="466"/>
      <c r="L25" s="466"/>
      <c r="M25" s="466"/>
    </row>
    <row r="26" spans="1:13" s="717" customFormat="1" ht="17.25" customHeight="1" x14ac:dyDescent="0.25">
      <c r="A26" s="466" t="s">
        <v>3326</v>
      </c>
      <c r="B26" s="466"/>
      <c r="C26" s="466"/>
      <c r="D26" s="466"/>
      <c r="E26" s="466"/>
      <c r="F26" s="466"/>
      <c r="G26" s="466"/>
      <c r="H26" s="466"/>
    </row>
    <row r="27" spans="1:13" s="717" customFormat="1" ht="21.75" customHeight="1" x14ac:dyDescent="0.25">
      <c r="A27" s="466" t="s">
        <v>3327</v>
      </c>
      <c r="B27" s="466"/>
      <c r="C27" s="466"/>
      <c r="D27" s="466"/>
      <c r="E27" s="466"/>
      <c r="F27" s="466"/>
      <c r="G27" s="466"/>
      <c r="H27" s="466"/>
      <c r="I27" s="466"/>
      <c r="J27" s="466"/>
      <c r="K27" s="466"/>
      <c r="L27" s="466"/>
      <c r="M27" s="466"/>
    </row>
    <row r="28" spans="1:13" s="141" customFormat="1" ht="10.199999999999999" x14ac:dyDescent="0.2">
      <c r="A28" s="1499" t="s">
        <v>2189</v>
      </c>
      <c r="B28" s="1500"/>
      <c r="C28" s="1500"/>
      <c r="D28" s="1500"/>
      <c r="E28" s="1500"/>
    </row>
    <row r="29" spans="1:13" s="141" customFormat="1" ht="10.199999999999999" x14ac:dyDescent="0.2">
      <c r="A29" s="461" t="s">
        <v>3038</v>
      </c>
      <c r="B29" s="461"/>
      <c r="C29" s="461"/>
      <c r="D29" s="461"/>
      <c r="E29" s="461"/>
      <c r="F29" s="461"/>
      <c r="G29" s="461"/>
      <c r="H29" s="461"/>
    </row>
    <row r="30" spans="1:13" s="141" customFormat="1" ht="12.75" customHeight="1" x14ac:dyDescent="0.2">
      <c r="A30" s="899"/>
      <c r="B30" s="899"/>
      <c r="C30" s="899"/>
      <c r="D30" s="899"/>
      <c r="E30" s="899"/>
      <c r="F30" s="899"/>
      <c r="G30" s="899"/>
      <c r="H30" s="899"/>
    </row>
  </sheetData>
  <mergeCells count="13">
    <mergeCell ref="A23:E23"/>
    <mergeCell ref="A24:M24"/>
    <mergeCell ref="A25:M25"/>
    <mergeCell ref="A26:H26"/>
    <mergeCell ref="A27:M27"/>
    <mergeCell ref="A29:H29"/>
    <mergeCell ref="A2:M2"/>
    <mergeCell ref="A4:A5"/>
    <mergeCell ref="B4:C4"/>
    <mergeCell ref="D4:E4"/>
    <mergeCell ref="F4:G4"/>
    <mergeCell ref="H4:J4"/>
    <mergeCell ref="K4:M4"/>
  </mergeCells>
  <pageMargins left="0.7" right="0.7" top="0.75" bottom="0.75" header="0.3" footer="0.3"/>
  <pageSetup paperSize="14" scale="96" orientation="landscape" r:id="rId1"/>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7DA1A-80A0-45BD-A8F8-090423F8C0A6}">
  <sheetPr codeName="Hoja284"/>
  <dimension ref="A1:E29"/>
  <sheetViews>
    <sheetView workbookViewId="0">
      <selection activeCell="C29" sqref="C29"/>
    </sheetView>
  </sheetViews>
  <sheetFormatPr baseColWidth="10" defaultRowHeight="13.2" x14ac:dyDescent="0.25"/>
  <cols>
    <col min="1" max="1" width="28.44140625" customWidth="1"/>
    <col min="3" max="3" width="13.109375" customWidth="1"/>
    <col min="5" max="5" width="11.88671875" bestFit="1" customWidth="1"/>
  </cols>
  <sheetData>
    <row r="1" spans="1:5" x14ac:dyDescent="0.25">
      <c r="A1" s="1012"/>
    </row>
    <row r="2" spans="1:5" s="141" customFormat="1" ht="22.5" customHeight="1" x14ac:dyDescent="0.2">
      <c r="A2" s="1201" t="s">
        <v>3309</v>
      </c>
      <c r="B2" s="1201"/>
      <c r="C2" s="1201"/>
      <c r="D2" s="1201"/>
      <c r="E2" s="1201"/>
    </row>
    <row r="3" spans="1:5" s="141" customFormat="1" ht="11.25" customHeight="1" x14ac:dyDescent="0.2">
      <c r="A3" s="1501"/>
      <c r="B3" s="1501"/>
      <c r="C3" s="1501"/>
      <c r="D3" s="1501"/>
      <c r="E3" s="1501"/>
    </row>
    <row r="4" spans="1:5" s="141" customFormat="1" ht="12.75" customHeight="1" x14ac:dyDescent="0.2">
      <c r="A4" s="275" t="s">
        <v>0</v>
      </c>
      <c r="B4" s="895" t="s">
        <v>3328</v>
      </c>
      <c r="C4" s="896"/>
      <c r="D4" s="896"/>
      <c r="E4" s="897"/>
    </row>
    <row r="5" spans="1:5" s="141" customFormat="1" ht="12.75" customHeight="1" x14ac:dyDescent="0.2">
      <c r="A5" s="1179"/>
      <c r="B5" s="114" t="s">
        <v>42</v>
      </c>
      <c r="C5" s="895" t="s">
        <v>3329</v>
      </c>
      <c r="D5" s="896"/>
      <c r="E5" s="897"/>
    </row>
    <row r="6" spans="1:5" s="141" customFormat="1" ht="32.4" x14ac:dyDescent="0.2">
      <c r="A6" s="277"/>
      <c r="B6" s="115"/>
      <c r="C6" s="454" t="s">
        <v>3330</v>
      </c>
      <c r="D6" s="454" t="s">
        <v>3331</v>
      </c>
      <c r="E6" s="454" t="s">
        <v>3332</v>
      </c>
    </row>
    <row r="7" spans="1:5" s="141" customFormat="1" ht="12" x14ac:dyDescent="0.2">
      <c r="A7" s="1373" t="s">
        <v>2960</v>
      </c>
      <c r="B7" s="913">
        <f t="shared" ref="B7:B22" si="0">SUM(C7:E7)</f>
        <v>8643512</v>
      </c>
      <c r="C7" s="1497" t="s">
        <v>193</v>
      </c>
      <c r="D7" s="913">
        <f>SUM(D8:D22)</f>
        <v>2296522</v>
      </c>
      <c r="E7" s="1256">
        <v>6346990</v>
      </c>
    </row>
    <row r="8" spans="1:5" s="141" customFormat="1" ht="10.199999999999999" x14ac:dyDescent="0.2">
      <c r="A8" s="1502" t="s">
        <v>4</v>
      </c>
      <c r="B8" s="913">
        <f t="shared" si="0"/>
        <v>29704</v>
      </c>
      <c r="C8" s="1497" t="s">
        <v>193</v>
      </c>
      <c r="D8" s="1317">
        <v>29704</v>
      </c>
      <c r="E8" s="1497" t="s">
        <v>193</v>
      </c>
    </row>
    <row r="9" spans="1:5" s="141" customFormat="1" ht="10.199999999999999" x14ac:dyDescent="0.2">
      <c r="A9" s="1502" t="s">
        <v>5</v>
      </c>
      <c r="B9" s="913">
        <f t="shared" si="0"/>
        <v>42638</v>
      </c>
      <c r="C9" s="1497" t="s">
        <v>193</v>
      </c>
      <c r="D9" s="1317">
        <v>42638</v>
      </c>
      <c r="E9" s="1497" t="s">
        <v>193</v>
      </c>
    </row>
    <row r="10" spans="1:5" s="141" customFormat="1" ht="10.199999999999999" x14ac:dyDescent="0.2">
      <c r="A10" s="1502" t="s">
        <v>6</v>
      </c>
      <c r="B10" s="913">
        <f t="shared" si="0"/>
        <v>103995</v>
      </c>
      <c r="C10" s="1497" t="s">
        <v>193</v>
      </c>
      <c r="D10" s="1317">
        <v>103995</v>
      </c>
      <c r="E10" s="1497" t="s">
        <v>193</v>
      </c>
    </row>
    <row r="11" spans="1:5" s="141" customFormat="1" ht="10.199999999999999" x14ac:dyDescent="0.2">
      <c r="A11" s="1502" t="s">
        <v>7</v>
      </c>
      <c r="B11" s="913">
        <f t="shared" si="0"/>
        <v>33230</v>
      </c>
      <c r="C11" s="1497" t="s">
        <v>193</v>
      </c>
      <c r="D11" s="1317">
        <v>33230</v>
      </c>
      <c r="E11" s="1497" t="s">
        <v>193</v>
      </c>
    </row>
    <row r="12" spans="1:5" s="141" customFormat="1" ht="10.199999999999999" x14ac:dyDescent="0.2">
      <c r="A12" s="1502" t="s">
        <v>8</v>
      </c>
      <c r="B12" s="913">
        <f t="shared" si="0"/>
        <v>72264</v>
      </c>
      <c r="C12" s="1497" t="s">
        <v>193</v>
      </c>
      <c r="D12" s="1317">
        <v>72264</v>
      </c>
      <c r="E12" s="1497" t="s">
        <v>193</v>
      </c>
    </row>
    <row r="13" spans="1:5" s="141" customFormat="1" ht="10.199999999999999" x14ac:dyDescent="0.2">
      <c r="A13" s="1502" t="s">
        <v>9</v>
      </c>
      <c r="B13" s="913">
        <f t="shared" si="0"/>
        <v>254903</v>
      </c>
      <c r="C13" s="1497" t="s">
        <v>193</v>
      </c>
      <c r="D13" s="1317">
        <v>254903</v>
      </c>
      <c r="E13" s="1497" t="s">
        <v>193</v>
      </c>
    </row>
    <row r="14" spans="1:5" s="141" customFormat="1" ht="10.199999999999999" x14ac:dyDescent="0.2">
      <c r="A14" s="1502" t="s">
        <v>10</v>
      </c>
      <c r="B14" s="913">
        <f>SUM(C14:E14)</f>
        <v>1166411</v>
      </c>
      <c r="C14" s="1497" t="s">
        <v>193</v>
      </c>
      <c r="D14" s="1317">
        <v>1166411</v>
      </c>
      <c r="E14" s="1497" t="s">
        <v>193</v>
      </c>
    </row>
    <row r="15" spans="1:5" s="141" customFormat="1" ht="10.199999999999999" x14ac:dyDescent="0.2">
      <c r="A15" s="1502" t="s">
        <v>134</v>
      </c>
      <c r="B15" s="913">
        <f t="shared" si="0"/>
        <v>61821</v>
      </c>
      <c r="C15" s="1497" t="s">
        <v>193</v>
      </c>
      <c r="D15" s="1317">
        <v>61821</v>
      </c>
      <c r="E15" s="1497" t="s">
        <v>193</v>
      </c>
    </row>
    <row r="16" spans="1:5" s="141" customFormat="1" ht="10.199999999999999" x14ac:dyDescent="0.2">
      <c r="A16" s="1502" t="s">
        <v>12</v>
      </c>
      <c r="B16" s="913">
        <f t="shared" si="0"/>
        <v>69735</v>
      </c>
      <c r="C16" s="1497" t="s">
        <v>193</v>
      </c>
      <c r="D16" s="1317">
        <v>69735</v>
      </c>
      <c r="E16" s="1497" t="s">
        <v>193</v>
      </c>
    </row>
    <row r="17" spans="1:5" s="141" customFormat="1" ht="10.199999999999999" x14ac:dyDescent="0.2">
      <c r="A17" s="1502" t="s">
        <v>13</v>
      </c>
      <c r="B17" s="913">
        <f t="shared" si="0"/>
        <v>226472</v>
      </c>
      <c r="C17" s="1497" t="s">
        <v>193</v>
      </c>
      <c r="D17" s="1317">
        <v>226472</v>
      </c>
      <c r="E17" s="1497" t="s">
        <v>193</v>
      </c>
    </row>
    <row r="18" spans="1:5" s="141" customFormat="1" ht="10.199999999999999" x14ac:dyDescent="0.2">
      <c r="A18" s="1502" t="s">
        <v>47</v>
      </c>
      <c r="B18" s="913">
        <f t="shared" si="0"/>
        <v>75142</v>
      </c>
      <c r="C18" s="1497" t="s">
        <v>193</v>
      </c>
      <c r="D18" s="1317">
        <v>75142</v>
      </c>
      <c r="E18" s="1497" t="s">
        <v>193</v>
      </c>
    </row>
    <row r="19" spans="1:5" s="141" customFormat="1" ht="10.199999999999999" x14ac:dyDescent="0.2">
      <c r="A19" s="1502" t="s">
        <v>135</v>
      </c>
      <c r="B19" s="913">
        <f t="shared" si="0"/>
        <v>40938</v>
      </c>
      <c r="C19" s="1497" t="s">
        <v>193</v>
      </c>
      <c r="D19" s="1317">
        <v>40938</v>
      </c>
      <c r="E19" s="1497" t="s">
        <v>193</v>
      </c>
    </row>
    <row r="20" spans="1:5" s="141" customFormat="1" ht="10.199999999999999" x14ac:dyDescent="0.2">
      <c r="A20" s="1502" t="s">
        <v>136</v>
      </c>
      <c r="B20" s="913">
        <f t="shared" si="0"/>
        <v>84125</v>
      </c>
      <c r="C20" s="1497" t="s">
        <v>193</v>
      </c>
      <c r="D20" s="1317">
        <v>84125</v>
      </c>
      <c r="E20" s="1497" t="s">
        <v>193</v>
      </c>
    </row>
    <row r="21" spans="1:5" s="141" customFormat="1" ht="10.199999999999999" x14ac:dyDescent="0.2">
      <c r="A21" s="1502" t="s">
        <v>17</v>
      </c>
      <c r="B21" s="913">
        <f t="shared" si="0"/>
        <v>9922</v>
      </c>
      <c r="C21" s="1497" t="s">
        <v>193</v>
      </c>
      <c r="D21" s="1317">
        <v>9922</v>
      </c>
      <c r="E21" s="1497" t="s">
        <v>193</v>
      </c>
    </row>
    <row r="22" spans="1:5" s="141" customFormat="1" ht="10.199999999999999" x14ac:dyDescent="0.2">
      <c r="A22" s="1502" t="s">
        <v>18</v>
      </c>
      <c r="B22" s="913">
        <f t="shared" si="0"/>
        <v>25222</v>
      </c>
      <c r="C22" s="1497" t="s">
        <v>193</v>
      </c>
      <c r="D22" s="1317">
        <v>25222</v>
      </c>
      <c r="E22" s="1497" t="s">
        <v>193</v>
      </c>
    </row>
    <row r="23" spans="1:5" s="141" customFormat="1" ht="10.199999999999999" x14ac:dyDescent="0.2">
      <c r="A23" s="284"/>
      <c r="B23" s="753"/>
      <c r="C23" s="1498"/>
      <c r="D23" s="1317"/>
      <c r="E23" s="1498"/>
    </row>
    <row r="24" spans="1:5" s="141" customFormat="1" ht="25.5" customHeight="1" x14ac:dyDescent="0.2">
      <c r="A24" s="1183" t="s">
        <v>3333</v>
      </c>
      <c r="B24" s="1183"/>
      <c r="C24" s="1183"/>
      <c r="D24" s="1183"/>
      <c r="E24" s="1183"/>
    </row>
    <row r="25" spans="1:5" s="141" customFormat="1" ht="27" customHeight="1" x14ac:dyDescent="0.2">
      <c r="A25" s="1183" t="s">
        <v>3334</v>
      </c>
      <c r="B25" s="1183"/>
      <c r="C25" s="1183"/>
      <c r="D25" s="1183"/>
      <c r="E25" s="1183"/>
    </row>
    <row r="26" spans="1:5" s="141" customFormat="1" ht="26.25" customHeight="1" x14ac:dyDescent="0.2">
      <c r="A26" s="1183" t="s">
        <v>3335</v>
      </c>
      <c r="B26" s="1183"/>
      <c r="C26" s="1183"/>
      <c r="D26" s="1183"/>
      <c r="E26" s="1183"/>
    </row>
    <row r="27" spans="1:5" s="141" customFormat="1" ht="23.25" customHeight="1" x14ac:dyDescent="0.2">
      <c r="A27" s="1183" t="s">
        <v>3336</v>
      </c>
      <c r="B27" s="1183"/>
      <c r="C27" s="1183"/>
      <c r="D27" s="1183"/>
      <c r="E27" s="1183"/>
    </row>
    <row r="28" spans="1:5" s="141" customFormat="1" ht="13.5" customHeight="1" x14ac:dyDescent="0.2">
      <c r="A28" s="1503" t="s">
        <v>2189</v>
      </c>
      <c r="B28" s="1500"/>
      <c r="C28" s="1500"/>
      <c r="D28" s="1500"/>
      <c r="E28" s="1500"/>
    </row>
    <row r="29" spans="1:5" s="141" customFormat="1" ht="10.199999999999999" x14ac:dyDescent="0.2">
      <c r="A29" s="1233" t="s">
        <v>3337</v>
      </c>
      <c r="B29" s="1500"/>
      <c r="C29" s="1500"/>
      <c r="D29" s="1500"/>
      <c r="E29" s="722"/>
    </row>
  </sheetData>
  <mergeCells count="9">
    <mergeCell ref="A25:E25"/>
    <mergeCell ref="A26:E26"/>
    <mergeCell ref="A27:E27"/>
    <mergeCell ref="A2:E2"/>
    <mergeCell ref="A4:A6"/>
    <mergeCell ref="B4:E4"/>
    <mergeCell ref="B5:B6"/>
    <mergeCell ref="C5:E5"/>
    <mergeCell ref="A24:E24"/>
  </mergeCells>
  <pageMargins left="0.7" right="0.7" top="0.75" bottom="0.75" header="0.3" footer="0.3"/>
  <pageSetup paperSize="14" orientation="landscape" r:id="rId1"/>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05884-3540-4ED7-9123-B397DC3B58BC}">
  <sheetPr codeName="Hoja285"/>
  <dimension ref="A1:F36"/>
  <sheetViews>
    <sheetView zoomScale="90" zoomScaleNormal="90" workbookViewId="0">
      <selection activeCell="C29" sqref="C29"/>
    </sheetView>
  </sheetViews>
  <sheetFormatPr baseColWidth="10" defaultColWidth="11.44140625" defaultRowHeight="10.199999999999999" x14ac:dyDescent="0.2"/>
  <cols>
    <col min="1" max="1" width="22.6640625" style="1375" customWidth="1"/>
    <col min="2" max="3" width="13.44140625" style="141" customWidth="1"/>
    <col min="4" max="4" width="16.44140625" style="141" customWidth="1"/>
    <col min="5" max="5" width="17" style="141" customWidth="1"/>
    <col min="6" max="6" width="15.88671875" style="141" customWidth="1"/>
    <col min="7" max="16384" width="11.44140625" style="141"/>
  </cols>
  <sheetData>
    <row r="1" spans="1:6" ht="8.25" customHeight="1" x14ac:dyDescent="0.2">
      <c r="A1" s="691"/>
      <c r="B1" s="903"/>
      <c r="C1" s="752"/>
      <c r="D1" s="752"/>
    </row>
    <row r="2" spans="1:6" x14ac:dyDescent="0.2">
      <c r="A2" s="1201" t="s">
        <v>3310</v>
      </c>
      <c r="B2" s="1201"/>
      <c r="C2" s="1201"/>
      <c r="D2" s="1201"/>
      <c r="E2" s="1201"/>
      <c r="F2" s="1201"/>
    </row>
    <row r="3" spans="1:6" x14ac:dyDescent="0.2">
      <c r="A3" s="1501"/>
      <c r="B3" s="1501"/>
      <c r="C3" s="1501"/>
      <c r="D3" s="1501"/>
      <c r="E3" s="1501"/>
      <c r="F3" s="1501"/>
    </row>
    <row r="4" spans="1:6" ht="16.5" customHeight="1" x14ac:dyDescent="0.2">
      <c r="A4" s="793" t="s">
        <v>3338</v>
      </c>
      <c r="B4" s="793" t="s">
        <v>98</v>
      </c>
      <c r="C4" s="793"/>
      <c r="D4" s="793"/>
      <c r="E4" s="793"/>
      <c r="F4" s="793"/>
    </row>
    <row r="5" spans="1:6" ht="16.5" customHeight="1" x14ac:dyDescent="0.2">
      <c r="A5" s="793"/>
      <c r="B5" s="454">
        <v>2009</v>
      </c>
      <c r="C5" s="454">
        <v>2010</v>
      </c>
      <c r="D5" s="454">
        <v>2011</v>
      </c>
      <c r="E5" s="454">
        <v>2012</v>
      </c>
      <c r="F5" s="454">
        <v>2013</v>
      </c>
    </row>
    <row r="6" spans="1:6" x14ac:dyDescent="0.2">
      <c r="A6" s="1373" t="s">
        <v>3</v>
      </c>
      <c r="B6" s="753">
        <f>SUM(B7:B9)</f>
        <v>1689041</v>
      </c>
      <c r="C6" s="753">
        <f>SUM(C7:C9)</f>
        <v>1817480</v>
      </c>
      <c r="D6" s="753">
        <f>SUM(D7:D9)</f>
        <v>2024272</v>
      </c>
      <c r="E6" s="753">
        <f>SUM(E7:E9)</f>
        <v>2191556</v>
      </c>
      <c r="F6" s="1504">
        <f>SUM(F7:F9)</f>
        <v>2296522</v>
      </c>
    </row>
    <row r="7" spans="1:6" x14ac:dyDescent="0.2">
      <c r="A7" s="1375" t="s">
        <v>3339</v>
      </c>
      <c r="B7" s="1367">
        <v>1508378</v>
      </c>
      <c r="C7" s="1367">
        <v>1582516</v>
      </c>
      <c r="D7" s="1505">
        <v>1731385</v>
      </c>
      <c r="E7" s="1506">
        <v>1916453</v>
      </c>
      <c r="F7" s="1367">
        <v>2010353</v>
      </c>
    </row>
    <row r="8" spans="1:6" x14ac:dyDescent="0.2">
      <c r="A8" s="1375" t="s">
        <v>3340</v>
      </c>
      <c r="B8" s="1367">
        <v>180658</v>
      </c>
      <c r="C8" s="1367">
        <v>234964</v>
      </c>
      <c r="D8" s="1505">
        <v>292887</v>
      </c>
      <c r="E8" s="1506">
        <v>275103</v>
      </c>
      <c r="F8" s="1367">
        <v>286169</v>
      </c>
    </row>
    <row r="9" spans="1:6" x14ac:dyDescent="0.2">
      <c r="A9" s="1375" t="s">
        <v>3341</v>
      </c>
      <c r="B9" s="1367">
        <v>5</v>
      </c>
      <c r="C9" s="1367">
        <v>0</v>
      </c>
      <c r="D9" s="1367">
        <v>0</v>
      </c>
      <c r="E9" s="1367">
        <v>0</v>
      </c>
      <c r="F9" s="1367">
        <v>0</v>
      </c>
    </row>
    <row r="10" spans="1:6" ht="6.75" customHeight="1" x14ac:dyDescent="0.2">
      <c r="B10" s="1367"/>
      <c r="C10" s="1367"/>
      <c r="D10" s="1367"/>
      <c r="E10" s="1367"/>
      <c r="F10" s="1367"/>
    </row>
    <row r="11" spans="1:6" x14ac:dyDescent="0.2">
      <c r="A11" s="1507" t="s">
        <v>197</v>
      </c>
      <c r="B11" s="1367"/>
      <c r="C11" s="1367"/>
      <c r="D11" s="1367"/>
      <c r="F11" s="1367"/>
    </row>
    <row r="12" spans="1:6" ht="11.25" customHeight="1" x14ac:dyDescent="0.2">
      <c r="A12" s="1233" t="s">
        <v>3342</v>
      </c>
    </row>
    <row r="13" spans="1:6" ht="12" customHeight="1" x14ac:dyDescent="0.2"/>
    <row r="14" spans="1:6" ht="12" customHeight="1" x14ac:dyDescent="0.2"/>
    <row r="15" spans="1:6" ht="12" customHeight="1" x14ac:dyDescent="0.2"/>
    <row r="16" spans="1:6" ht="12" customHeight="1" x14ac:dyDescent="0.2"/>
    <row r="17" ht="12" customHeight="1" x14ac:dyDescent="0.2"/>
    <row r="18" ht="12" customHeight="1" x14ac:dyDescent="0.2"/>
    <row r="19" ht="12" customHeight="1" x14ac:dyDescent="0.2"/>
    <row r="20" ht="12" customHeight="1" x14ac:dyDescent="0.2"/>
    <row r="21" ht="12" customHeight="1" x14ac:dyDescent="0.2"/>
    <row r="22" ht="12" customHeight="1" x14ac:dyDescent="0.2"/>
    <row r="23" ht="12" customHeight="1" x14ac:dyDescent="0.2"/>
    <row r="24" ht="12" customHeight="1" x14ac:dyDescent="0.2"/>
    <row r="25" ht="12.75" customHeight="1" x14ac:dyDescent="0.2"/>
    <row r="26" ht="12.75" customHeight="1" x14ac:dyDescent="0.2"/>
    <row r="27" ht="12.75" customHeight="1" x14ac:dyDescent="0.2"/>
    <row r="28" ht="12.75" customHeight="1" x14ac:dyDescent="0.2"/>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sheetData>
  <mergeCells count="3">
    <mergeCell ref="A2:F2"/>
    <mergeCell ref="A4:A5"/>
    <mergeCell ref="B4:F4"/>
  </mergeCells>
  <pageMargins left="0.7" right="0.7" top="0.75" bottom="0.75" header="0.3" footer="0.3"/>
  <pageSetup paperSize="14" orientation="landscape" r:id="rId1"/>
  <drawing r:id="rId2"/>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58EC78-136D-4EC7-A548-05722551DD17}">
  <sheetPr codeName="Hoja286"/>
  <dimension ref="A1:J29"/>
  <sheetViews>
    <sheetView workbookViewId="0">
      <selection activeCell="C29" sqref="C29"/>
    </sheetView>
  </sheetViews>
  <sheetFormatPr baseColWidth="10" defaultColWidth="11.44140625" defaultRowHeight="10.199999999999999" x14ac:dyDescent="0.2"/>
  <cols>
    <col min="1" max="1" width="22.6640625" style="1375" customWidth="1"/>
    <col min="2" max="3" width="13.44140625" style="141" customWidth="1"/>
    <col min="4" max="4" width="16.44140625" style="141" customWidth="1"/>
    <col min="5" max="5" width="17" style="141" customWidth="1"/>
    <col min="6" max="6" width="20.109375" style="141" customWidth="1"/>
    <col min="7" max="7" width="12.5546875" style="141" customWidth="1"/>
    <col min="8" max="8" width="13.44140625" style="141" customWidth="1"/>
    <col min="9" max="9" width="16" style="141" customWidth="1"/>
    <col min="10" max="11" width="13.44140625" style="141" customWidth="1"/>
    <col min="12" max="12" width="16" style="141" customWidth="1"/>
    <col min="13" max="13" width="13.44140625" style="141" customWidth="1"/>
    <col min="14" max="16384" width="11.44140625" style="141"/>
  </cols>
  <sheetData>
    <row r="1" spans="1:10" ht="12.75" customHeight="1" x14ac:dyDescent="0.2">
      <c r="A1" s="691"/>
      <c r="I1" s="1508"/>
    </row>
    <row r="2" spans="1:10" x14ac:dyDescent="0.2">
      <c r="A2" s="1201" t="s">
        <v>3311</v>
      </c>
      <c r="B2" s="1201"/>
      <c r="C2" s="1201"/>
      <c r="D2" s="1201"/>
      <c r="E2" s="1201"/>
      <c r="F2" s="1201"/>
      <c r="J2" s="519"/>
    </row>
    <row r="3" spans="1:10" ht="15" customHeight="1" x14ac:dyDescent="0.2">
      <c r="A3" s="1501"/>
      <c r="B3" s="1501"/>
      <c r="C3" s="1501"/>
      <c r="D3" s="1501"/>
      <c r="E3" s="1501"/>
      <c r="F3" s="1501"/>
      <c r="J3" s="519"/>
    </row>
    <row r="4" spans="1:10" ht="12" customHeight="1" x14ac:dyDescent="0.2">
      <c r="A4" s="114" t="s">
        <v>3343</v>
      </c>
      <c r="B4" s="749" t="s">
        <v>3344</v>
      </c>
      <c r="C4" s="749"/>
      <c r="D4" s="749"/>
      <c r="E4" s="749"/>
      <c r="F4" s="749"/>
      <c r="I4" s="1509"/>
      <c r="J4" s="519"/>
    </row>
    <row r="5" spans="1:10" ht="15" customHeight="1" x14ac:dyDescent="0.2">
      <c r="A5" s="708"/>
      <c r="B5" s="1510" t="s">
        <v>3345</v>
      </c>
      <c r="C5" s="1510"/>
      <c r="D5" s="1510"/>
      <c r="E5" s="1510"/>
      <c r="F5" s="1510"/>
    </row>
    <row r="6" spans="1:10" ht="12" customHeight="1" x14ac:dyDescent="0.2">
      <c r="A6" s="115"/>
      <c r="B6" s="954">
        <v>2009</v>
      </c>
      <c r="C6" s="954">
        <v>2010</v>
      </c>
      <c r="D6" s="954">
        <v>2011</v>
      </c>
      <c r="E6" s="954">
        <v>2012</v>
      </c>
      <c r="F6" s="954">
        <v>2013</v>
      </c>
    </row>
    <row r="7" spans="1:10" ht="12" customHeight="1" x14ac:dyDescent="0.2">
      <c r="A7" s="1373" t="s">
        <v>42</v>
      </c>
      <c r="B7" s="1096">
        <v>9.9600000000000009</v>
      </c>
      <c r="C7" s="1096">
        <v>9.2200000000000006</v>
      </c>
      <c r="D7" s="1096">
        <v>11.69</v>
      </c>
      <c r="E7" s="1096">
        <v>12.54</v>
      </c>
      <c r="F7" s="1096">
        <v>11.400495165295014</v>
      </c>
    </row>
    <row r="8" spans="1:10" ht="27" customHeight="1" x14ac:dyDescent="0.2">
      <c r="A8" s="1183" t="s">
        <v>3346</v>
      </c>
      <c r="B8" s="1183"/>
      <c r="C8" s="1183"/>
      <c r="D8" s="1183"/>
      <c r="E8" s="1183"/>
      <c r="F8" s="1183"/>
    </row>
    <row r="9" spans="1:10" ht="6.75" customHeight="1" x14ac:dyDescent="0.2">
      <c r="A9" s="1500"/>
      <c r="B9" s="1500"/>
      <c r="C9" s="1500"/>
      <c r="D9" s="1500"/>
      <c r="E9" s="1500"/>
      <c r="F9" s="1500"/>
    </row>
    <row r="10" spans="1:10" ht="12" customHeight="1" x14ac:dyDescent="0.2">
      <c r="A10" s="1183" t="s">
        <v>3038</v>
      </c>
      <c r="B10" s="1183"/>
      <c r="C10" s="1183"/>
      <c r="D10" s="1183"/>
    </row>
    <row r="11" spans="1:10" ht="12" customHeight="1" x14ac:dyDescent="0.2">
      <c r="B11" s="903"/>
      <c r="C11" s="752"/>
      <c r="D11" s="752"/>
    </row>
    <row r="12" spans="1:10" ht="12" customHeight="1" x14ac:dyDescent="0.2"/>
    <row r="13" spans="1:10" ht="12" customHeight="1" x14ac:dyDescent="0.2"/>
    <row r="14" spans="1:10" ht="12" customHeight="1" x14ac:dyDescent="0.2">
      <c r="A14" s="141"/>
      <c r="B14" s="1375"/>
      <c r="C14" s="903"/>
      <c r="D14" s="903"/>
      <c r="E14" s="1106"/>
    </row>
    <row r="15" spans="1:10" ht="12" customHeight="1" x14ac:dyDescent="0.2">
      <c r="A15" s="141"/>
      <c r="B15" s="1375"/>
      <c r="C15" s="903"/>
      <c r="D15" s="903"/>
      <c r="E15" s="1106"/>
    </row>
    <row r="16" spans="1:10" ht="12" customHeight="1" x14ac:dyDescent="0.2">
      <c r="A16" s="141"/>
      <c r="B16" s="1375"/>
      <c r="C16" s="903"/>
      <c r="D16" s="903"/>
      <c r="E16" s="1106"/>
    </row>
    <row r="17" ht="12" customHeight="1" x14ac:dyDescent="0.2"/>
    <row r="18" ht="12" customHeight="1" x14ac:dyDescent="0.2"/>
    <row r="19" ht="12" customHeight="1" x14ac:dyDescent="0.2"/>
    <row r="20" ht="12" customHeight="1" x14ac:dyDescent="0.2"/>
    <row r="21" ht="12" customHeight="1" x14ac:dyDescent="0.2"/>
    <row r="22" ht="12" customHeight="1" x14ac:dyDescent="0.2"/>
    <row r="23" ht="12" customHeight="1" x14ac:dyDescent="0.2"/>
    <row r="24" ht="12" customHeight="1" x14ac:dyDescent="0.2"/>
    <row r="25" ht="12" customHeight="1" x14ac:dyDescent="0.2"/>
    <row r="26" ht="12" customHeight="1" x14ac:dyDescent="0.2"/>
    <row r="27" ht="12" customHeight="1" x14ac:dyDescent="0.2"/>
    <row r="28" ht="12" customHeight="1" x14ac:dyDescent="0.2"/>
    <row r="29" ht="8.25" customHeight="1" x14ac:dyDescent="0.2"/>
  </sheetData>
  <mergeCells count="6">
    <mergeCell ref="A2:F2"/>
    <mergeCell ref="A4:A6"/>
    <mergeCell ref="B4:F4"/>
    <mergeCell ref="B5:F5"/>
    <mergeCell ref="A8:F8"/>
    <mergeCell ref="A10:D10"/>
  </mergeCells>
  <pageMargins left="0.7" right="0.7" top="0.75" bottom="0.75" header="0.3" footer="0.3"/>
  <pageSetup paperSize="14" orientation="landscape" r:id="rId1"/>
  <drawing r:id="rId2"/>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691BA-2913-4B8A-9D93-697A4252ECB7}">
  <sheetPr codeName="Hoja287"/>
  <dimension ref="A1:L12"/>
  <sheetViews>
    <sheetView workbookViewId="0">
      <selection activeCell="C29" sqref="C29"/>
    </sheetView>
  </sheetViews>
  <sheetFormatPr baseColWidth="10" defaultRowHeight="13.2" x14ac:dyDescent="0.25"/>
  <sheetData>
    <row r="1" spans="1:12" x14ac:dyDescent="0.25">
      <c r="A1" s="1012"/>
    </row>
    <row r="2" spans="1:12" s="141" customFormat="1" ht="27.75" customHeight="1" x14ac:dyDescent="0.2">
      <c r="A2" s="1201" t="s">
        <v>3312</v>
      </c>
      <c r="B2" s="1201"/>
      <c r="C2" s="1201"/>
      <c r="D2" s="1201"/>
      <c r="E2" s="1201"/>
      <c r="F2" s="1201"/>
      <c r="G2" s="1233"/>
      <c r="H2" s="2"/>
      <c r="I2" s="2"/>
      <c r="J2" s="2"/>
      <c r="K2" s="2"/>
      <c r="L2" s="2"/>
    </row>
    <row r="3" spans="1:12" s="141" customFormat="1" ht="10.199999999999999" x14ac:dyDescent="0.2">
      <c r="A3" s="1501"/>
      <c r="B3" s="1501"/>
      <c r="C3" s="1501"/>
      <c r="D3" s="1501"/>
      <c r="E3" s="1501"/>
      <c r="F3" s="1501"/>
      <c r="G3" s="1233"/>
      <c r="H3" s="2"/>
      <c r="I3" s="2"/>
      <c r="J3" s="2"/>
      <c r="K3" s="2"/>
      <c r="L3" s="2"/>
    </row>
    <row r="4" spans="1:12" s="141" customFormat="1" ht="12" customHeight="1" x14ac:dyDescent="0.2">
      <c r="A4" s="707" t="s">
        <v>3</v>
      </c>
      <c r="B4" s="1145" t="s">
        <v>3347</v>
      </c>
      <c r="C4" s="1216"/>
      <c r="D4" s="1216"/>
      <c r="E4" s="1216"/>
      <c r="F4" s="1146"/>
      <c r="G4" s="1233"/>
      <c r="H4" s="2"/>
      <c r="I4" s="2"/>
      <c r="J4" s="2"/>
      <c r="K4" s="2"/>
      <c r="L4" s="2"/>
    </row>
    <row r="5" spans="1:12" s="141" customFormat="1" ht="10.199999999999999" x14ac:dyDescent="0.2">
      <c r="A5" s="710"/>
      <c r="B5" s="644">
        <v>2009</v>
      </c>
      <c r="C5" s="644">
        <v>2010</v>
      </c>
      <c r="D5" s="644">
        <v>2011</v>
      </c>
      <c r="E5" s="644">
        <v>2012</v>
      </c>
      <c r="F5" s="644">
        <v>2013</v>
      </c>
      <c r="G5" s="1511"/>
      <c r="H5" s="1512"/>
      <c r="I5" s="1512"/>
      <c r="J5" s="1512"/>
      <c r="K5" s="1512"/>
      <c r="L5" s="1512"/>
    </row>
    <row r="6" spans="1:12" s="141" customFormat="1" ht="20.399999999999999" x14ac:dyDescent="0.2">
      <c r="A6" s="744" t="s">
        <v>3348</v>
      </c>
      <c r="B6" s="1513">
        <v>1477476</v>
      </c>
      <c r="C6" s="1513">
        <v>1558739</v>
      </c>
      <c r="D6" s="1513">
        <v>1755028</v>
      </c>
      <c r="E6" s="1513">
        <v>1885140</v>
      </c>
      <c r="F6" s="1513">
        <v>2001175</v>
      </c>
      <c r="H6" s="1514"/>
      <c r="I6" s="1515"/>
    </row>
    <row r="7" spans="1:12" s="141" customFormat="1" ht="6.75" customHeight="1" x14ac:dyDescent="0.2">
      <c r="A7" s="744"/>
      <c r="B7" s="1513"/>
      <c r="C7" s="1513"/>
      <c r="D7" s="1513"/>
      <c r="E7" s="1513"/>
      <c r="F7" s="1513"/>
      <c r="H7" s="1514"/>
      <c r="I7" s="1515"/>
    </row>
    <row r="8" spans="1:12" s="141" customFormat="1" ht="10.199999999999999" x14ac:dyDescent="0.2">
      <c r="A8" s="1183" t="s">
        <v>3349</v>
      </c>
      <c r="B8" s="1183"/>
      <c r="C8" s="1183"/>
      <c r="D8" s="1183"/>
    </row>
    <row r="9" spans="1:12" s="141" customFormat="1" ht="10.199999999999999" x14ac:dyDescent="0.2">
      <c r="A9" s="1500"/>
      <c r="B9" s="1500"/>
      <c r="C9" s="1500"/>
      <c r="D9" s="1500"/>
    </row>
    <row r="10" spans="1:12" s="141" customFormat="1" ht="10.199999999999999" x14ac:dyDescent="0.2">
      <c r="A10" s="1375"/>
    </row>
    <row r="11" spans="1:12" s="141" customFormat="1" ht="10.199999999999999" x14ac:dyDescent="0.2">
      <c r="A11" s="1375"/>
    </row>
    <row r="12" spans="1:12" s="141" customFormat="1" ht="10.199999999999999" x14ac:dyDescent="0.2">
      <c r="A12" s="1375"/>
    </row>
  </sheetData>
  <mergeCells count="4">
    <mergeCell ref="A2:F2"/>
    <mergeCell ref="A4:A5"/>
    <mergeCell ref="B4:F4"/>
    <mergeCell ref="A8:D8"/>
  </mergeCells>
  <pageMargins left="0.7" right="0.7" top="0.75" bottom="0.75" header="0.3" footer="0.3"/>
  <pageSetup paperSize="14" orientation="landscape" r:id="rId1"/>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E8FFA-D49B-41A5-9C77-3EBA7AAB69B5}">
  <sheetPr codeName="Hoja288"/>
  <dimension ref="A1:I9"/>
  <sheetViews>
    <sheetView workbookViewId="0">
      <selection activeCell="C29" sqref="C29"/>
    </sheetView>
  </sheetViews>
  <sheetFormatPr baseColWidth="10" defaultRowHeight="13.2" x14ac:dyDescent="0.25"/>
  <cols>
    <col min="1" max="1" width="23.33203125" customWidth="1"/>
  </cols>
  <sheetData>
    <row r="1" spans="1:9" s="141" customFormat="1" ht="15.75" customHeight="1" x14ac:dyDescent="0.2">
      <c r="A1" s="691"/>
      <c r="B1" s="309"/>
      <c r="C1" s="309"/>
      <c r="D1" s="309"/>
    </row>
    <row r="2" spans="1:9" s="141" customFormat="1" ht="10.199999999999999" x14ac:dyDescent="0.2">
      <c r="A2" s="1201" t="s">
        <v>3313</v>
      </c>
      <c r="B2" s="1201"/>
      <c r="C2" s="638"/>
      <c r="D2" s="638"/>
      <c r="H2" s="705"/>
      <c r="I2" s="705"/>
    </row>
    <row r="3" spans="1:9" s="141" customFormat="1" ht="10.199999999999999" x14ac:dyDescent="0.2">
      <c r="A3" s="1501"/>
      <c r="B3" s="1501"/>
      <c r="C3" s="309"/>
      <c r="D3" s="309"/>
      <c r="H3" s="705"/>
      <c r="I3" s="705"/>
    </row>
    <row r="4" spans="1:9" s="141" customFormat="1" ht="10.199999999999999" x14ac:dyDescent="0.2">
      <c r="A4" s="1516" t="s">
        <v>3350</v>
      </c>
      <c r="B4" s="1517" t="s">
        <v>42</v>
      </c>
      <c r="C4" s="309"/>
      <c r="D4" s="309"/>
      <c r="H4" s="705"/>
      <c r="I4" s="705"/>
    </row>
    <row r="5" spans="1:9" s="141" customFormat="1" ht="10.199999999999999" x14ac:dyDescent="0.2">
      <c r="A5" s="744" t="s">
        <v>3351</v>
      </c>
      <c r="B5" s="1513">
        <v>4358.1357499999995</v>
      </c>
      <c r="C5" s="1518"/>
      <c r="D5" s="309"/>
      <c r="H5" s="744"/>
      <c r="I5" s="1512"/>
    </row>
    <row r="6" spans="1:9" s="141" customFormat="1" ht="5.25" customHeight="1" x14ac:dyDescent="0.2">
      <c r="A6" s="744"/>
      <c r="B6" s="1513"/>
      <c r="C6" s="1518"/>
      <c r="D6" s="309"/>
      <c r="H6" s="744"/>
      <c r="I6" s="1512"/>
    </row>
    <row r="7" spans="1:9" s="141" customFormat="1" ht="10.199999999999999" x14ac:dyDescent="0.2">
      <c r="A7" s="1240" t="s">
        <v>3038</v>
      </c>
      <c r="B7" s="1240"/>
      <c r="C7" s="1240"/>
      <c r="D7" s="1240"/>
    </row>
    <row r="8" spans="1:9" s="141" customFormat="1" ht="6.75" customHeight="1" x14ac:dyDescent="0.2">
      <c r="A8" s="1500"/>
      <c r="B8" s="1500"/>
      <c r="C8" s="1500"/>
      <c r="D8" s="1500"/>
    </row>
    <row r="9" spans="1:9" s="141" customFormat="1" ht="10.199999999999999" x14ac:dyDescent="0.2">
      <c r="A9" s="1375"/>
    </row>
  </sheetData>
  <mergeCells count="2">
    <mergeCell ref="A2:D2"/>
    <mergeCell ref="A7:D7"/>
  </mergeCells>
  <pageMargins left="0.7" right="0.7" top="0.75" bottom="0.75" header="0.3" footer="0.3"/>
  <pageSetup paperSize="14" orientation="landscape" r:id="rId1"/>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EC02B2-9E86-4766-8EC0-36A26102B088}">
  <sheetPr codeName="Hoja289"/>
  <dimension ref="A1:I13"/>
  <sheetViews>
    <sheetView workbookViewId="0">
      <selection activeCell="C29" sqref="C29"/>
    </sheetView>
  </sheetViews>
  <sheetFormatPr baseColWidth="10" defaultRowHeight="13.2" x14ac:dyDescent="0.25"/>
  <cols>
    <col min="1" max="1" width="26.88671875" customWidth="1"/>
  </cols>
  <sheetData>
    <row r="1" spans="1:9" x14ac:dyDescent="0.25">
      <c r="A1" s="1012"/>
    </row>
    <row r="2" spans="1:9" s="141" customFormat="1" ht="32.25" customHeight="1" x14ac:dyDescent="0.2">
      <c r="A2" s="1201" t="s">
        <v>3314</v>
      </c>
      <c r="B2" s="1201"/>
      <c r="C2" s="1201"/>
      <c r="D2" s="1201"/>
      <c r="E2" s="1201"/>
      <c r="F2" s="1201"/>
      <c r="H2" s="1250"/>
      <c r="I2" s="1317"/>
    </row>
    <row r="3" spans="1:9" s="141" customFormat="1" ht="10.199999999999999" x14ac:dyDescent="0.2">
      <c r="A3" s="1501"/>
      <c r="B3" s="1501"/>
      <c r="C3" s="1501"/>
      <c r="D3" s="1501"/>
      <c r="E3" s="1501"/>
      <c r="F3" s="1501"/>
      <c r="H3" s="1250"/>
      <c r="I3" s="1317"/>
    </row>
    <row r="4" spans="1:9" s="141" customFormat="1" ht="12.75" customHeight="1" x14ac:dyDescent="0.2">
      <c r="A4" s="707" t="s">
        <v>3</v>
      </c>
      <c r="B4" s="1519" t="s">
        <v>3352</v>
      </c>
      <c r="C4" s="1520"/>
      <c r="D4" s="1520"/>
      <c r="E4" s="1520"/>
      <c r="F4" s="1521"/>
      <c r="H4" s="1250"/>
      <c r="I4" s="1317"/>
    </row>
    <row r="5" spans="1:9" s="141" customFormat="1" ht="10.199999999999999" x14ac:dyDescent="0.2">
      <c r="A5" s="710"/>
      <c r="B5" s="1517">
        <v>2009</v>
      </c>
      <c r="C5" s="656">
        <v>2010</v>
      </c>
      <c r="D5" s="1517">
        <v>2011</v>
      </c>
      <c r="E5" s="656">
        <v>2012</v>
      </c>
      <c r="F5" s="1517">
        <v>2013</v>
      </c>
      <c r="H5" s="1250"/>
      <c r="I5" s="1522"/>
    </row>
    <row r="6" spans="1:9" s="141" customFormat="1" ht="17.25" customHeight="1" x14ac:dyDescent="0.2">
      <c r="A6" s="682" t="s">
        <v>3353</v>
      </c>
      <c r="B6" s="1523">
        <v>9.9640033351407293</v>
      </c>
      <c r="C6" s="1524">
        <v>10.596520806080466</v>
      </c>
      <c r="D6" s="1523">
        <v>11.688212892642875</v>
      </c>
      <c r="E6" s="1524">
        <v>12.506909077074868</v>
      </c>
      <c r="F6" s="1524">
        <v>13.023328717888669</v>
      </c>
      <c r="H6" s="997"/>
      <c r="I6" s="682"/>
    </row>
    <row r="7" spans="1:9" s="141" customFormat="1" ht="6.75" customHeight="1" x14ac:dyDescent="0.2">
      <c r="A7" s="682"/>
      <c r="B7" s="1523"/>
      <c r="C7" s="1524"/>
      <c r="D7" s="1523"/>
      <c r="E7" s="1524"/>
      <c r="F7" s="1524"/>
      <c r="H7" s="997"/>
      <c r="I7" s="682"/>
    </row>
    <row r="8" spans="1:9" s="141" customFormat="1" ht="29.25" customHeight="1" x14ac:dyDescent="0.2">
      <c r="A8" s="1222" t="s">
        <v>3354</v>
      </c>
      <c r="B8" s="1222"/>
      <c r="C8" s="1222"/>
      <c r="D8" s="1222"/>
      <c r="E8" s="1222"/>
      <c r="F8" s="1222"/>
    </row>
    <row r="9" spans="1:9" s="141" customFormat="1" ht="15" customHeight="1" x14ac:dyDescent="0.2">
      <c r="A9" s="1525"/>
      <c r="B9" s="1525"/>
      <c r="C9" s="1525"/>
      <c r="D9" s="1525"/>
      <c r="E9" s="1525"/>
      <c r="F9" s="1525"/>
    </row>
    <row r="10" spans="1:9" s="141" customFormat="1" ht="10.199999999999999" x14ac:dyDescent="0.2">
      <c r="A10" s="1375"/>
    </row>
    <row r="11" spans="1:9" s="141" customFormat="1" ht="10.199999999999999" x14ac:dyDescent="0.2">
      <c r="A11" s="1375"/>
    </row>
    <row r="12" spans="1:9" s="141" customFormat="1" ht="10.199999999999999" x14ac:dyDescent="0.2">
      <c r="A12" s="1375"/>
    </row>
    <row r="13" spans="1:9" s="141" customFormat="1" ht="10.199999999999999" x14ac:dyDescent="0.2">
      <c r="A13" s="1375"/>
    </row>
  </sheetData>
  <mergeCells count="4">
    <mergeCell ref="A2:F2"/>
    <mergeCell ref="A4:A5"/>
    <mergeCell ref="B4:F4"/>
    <mergeCell ref="A8:F8"/>
  </mergeCells>
  <pageMargins left="0.7" right="0.7" top="0.75" bottom="0.75" header="0.3" footer="0.3"/>
  <pageSetup paperSize="14"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9D2BD-B803-4C4A-9303-BC24815AF0F2}">
  <sheetPr codeName="Hoja29"/>
  <dimension ref="A2:Y31"/>
  <sheetViews>
    <sheetView zoomScaleNormal="100" zoomScaleSheetLayoutView="100" workbookViewId="0">
      <selection activeCell="C21" sqref="C21"/>
    </sheetView>
  </sheetViews>
  <sheetFormatPr baseColWidth="10" defaultColWidth="11.44140625" defaultRowHeight="10.199999999999999" x14ac:dyDescent="0.2"/>
  <cols>
    <col min="1" max="1" width="22" style="235" customWidth="1"/>
    <col min="2" max="2" width="10.6640625" style="235" customWidth="1"/>
    <col min="3" max="3" width="15.44140625" style="235" customWidth="1"/>
    <col min="4" max="4" width="11" style="235" customWidth="1"/>
    <col min="5" max="5" width="14.5546875" style="235" customWidth="1"/>
    <col min="6" max="6" width="10" style="235" customWidth="1"/>
    <col min="7" max="7" width="14.6640625" style="235" customWidth="1"/>
    <col min="8" max="8" width="10.6640625" style="235" customWidth="1"/>
    <col min="9" max="9" width="14.44140625" style="235" customWidth="1"/>
    <col min="10" max="10" width="10.33203125" style="235" customWidth="1"/>
    <col min="11" max="11" width="15.109375" style="235" customWidth="1"/>
    <col min="12" max="12" width="10.88671875" style="235" customWidth="1"/>
    <col min="13" max="13" width="14.6640625" style="235" customWidth="1"/>
    <col min="14" max="14" width="10" style="235" customWidth="1"/>
    <col min="15" max="15" width="14.5546875" style="235" customWidth="1"/>
    <col min="16" max="16" width="10.88671875" style="235" customWidth="1"/>
    <col min="17" max="17" width="14" style="235" customWidth="1"/>
    <col min="18" max="18" width="6.5546875" style="235" customWidth="1"/>
    <col min="19" max="19" width="12.44140625" style="235" customWidth="1"/>
    <col min="20" max="20" width="6.5546875" style="235" customWidth="1"/>
    <col min="21" max="21" width="12.44140625" style="235" bestFit="1" customWidth="1"/>
    <col min="22" max="22" width="6.5546875" style="235" customWidth="1"/>
    <col min="23" max="23" width="14" style="235" customWidth="1"/>
    <col min="24" max="16384" width="11.44140625" style="235"/>
  </cols>
  <sheetData>
    <row r="2" spans="1:23" ht="25.5" customHeight="1" x14ac:dyDescent="0.2">
      <c r="A2" s="272" t="s">
        <v>550</v>
      </c>
      <c r="B2" s="272"/>
      <c r="C2" s="272"/>
      <c r="D2" s="272"/>
      <c r="E2" s="272"/>
      <c r="F2" s="272"/>
      <c r="G2" s="272"/>
      <c r="H2" s="272"/>
      <c r="I2" s="272"/>
      <c r="J2" s="272"/>
      <c r="K2" s="273"/>
      <c r="L2" s="250"/>
      <c r="M2" s="250"/>
      <c r="N2" s="250"/>
      <c r="O2" s="250"/>
      <c r="P2" s="250"/>
      <c r="Q2" s="250"/>
      <c r="R2" s="250"/>
      <c r="S2" s="250"/>
      <c r="T2" s="250"/>
      <c r="U2" s="250"/>
    </row>
    <row r="3" spans="1:23" ht="12.75" customHeight="1" x14ac:dyDescent="0.2">
      <c r="A3" s="237"/>
      <c r="B3" s="237"/>
      <c r="C3" s="237"/>
      <c r="D3" s="237"/>
      <c r="E3" s="237"/>
      <c r="F3" s="237"/>
      <c r="G3" s="237"/>
      <c r="H3" s="237"/>
      <c r="I3" s="237"/>
      <c r="J3" s="237"/>
      <c r="K3" s="237"/>
      <c r="L3" s="237"/>
      <c r="M3" s="237"/>
      <c r="N3" s="237"/>
      <c r="O3" s="237"/>
      <c r="P3" s="237"/>
      <c r="Q3" s="237"/>
      <c r="R3" s="237"/>
      <c r="S3" s="237"/>
      <c r="T3" s="274"/>
      <c r="U3" s="274"/>
    </row>
    <row r="4" spans="1:23" ht="67.5" customHeight="1" x14ac:dyDescent="0.2">
      <c r="A4" s="275" t="s">
        <v>0</v>
      </c>
      <c r="B4" s="241" t="s">
        <v>42</v>
      </c>
      <c r="C4" s="241"/>
      <c r="D4" s="276" t="s">
        <v>551</v>
      </c>
      <c r="E4" s="276"/>
      <c r="F4" s="276" t="s">
        <v>552</v>
      </c>
      <c r="G4" s="276"/>
      <c r="H4" s="276" t="s">
        <v>553</v>
      </c>
      <c r="I4" s="276"/>
      <c r="J4" s="276" t="s">
        <v>554</v>
      </c>
      <c r="K4" s="276"/>
      <c r="L4" s="276" t="s">
        <v>555</v>
      </c>
      <c r="M4" s="276"/>
      <c r="N4" s="276" t="s">
        <v>556</v>
      </c>
      <c r="O4" s="276"/>
      <c r="P4" s="276" t="s">
        <v>557</v>
      </c>
      <c r="Q4" s="276"/>
      <c r="R4" s="237"/>
      <c r="S4" s="237"/>
      <c r="T4" s="237"/>
      <c r="U4" s="237"/>
      <c r="V4" s="244"/>
      <c r="W4" s="244"/>
    </row>
    <row r="5" spans="1:23" ht="20.399999999999999" x14ac:dyDescent="0.2">
      <c r="A5" s="277"/>
      <c r="B5" s="246" t="s">
        <v>558</v>
      </c>
      <c r="C5" s="246" t="s">
        <v>559</v>
      </c>
      <c r="D5" s="246" t="s">
        <v>558</v>
      </c>
      <c r="E5" s="246" t="s">
        <v>559</v>
      </c>
      <c r="F5" s="246" t="s">
        <v>558</v>
      </c>
      <c r="G5" s="246" t="s">
        <v>559</v>
      </c>
      <c r="H5" s="246" t="s">
        <v>558</v>
      </c>
      <c r="I5" s="246" t="s">
        <v>559</v>
      </c>
      <c r="J5" s="246" t="s">
        <v>558</v>
      </c>
      <c r="K5" s="246" t="s">
        <v>559</v>
      </c>
      <c r="L5" s="246" t="s">
        <v>558</v>
      </c>
      <c r="M5" s="246" t="s">
        <v>559</v>
      </c>
      <c r="N5" s="246" t="s">
        <v>558</v>
      </c>
      <c r="O5" s="246" t="s">
        <v>559</v>
      </c>
      <c r="P5" s="246" t="s">
        <v>558</v>
      </c>
      <c r="Q5" s="246" t="s">
        <v>559</v>
      </c>
      <c r="R5" s="278"/>
      <c r="S5" s="278"/>
      <c r="T5" s="278"/>
      <c r="U5" s="278"/>
      <c r="V5" s="278"/>
      <c r="W5" s="278"/>
    </row>
    <row r="6" spans="1:23" s="283" customFormat="1" x14ac:dyDescent="0.2">
      <c r="A6" s="279" t="s">
        <v>3</v>
      </c>
      <c r="B6" s="280">
        <f t="shared" ref="B6:C22" si="0">SUM(D6+F6+H6+J6+L6+N6+P6)</f>
        <v>303</v>
      </c>
      <c r="C6" s="280">
        <f t="shared" si="0"/>
        <v>4718031040</v>
      </c>
      <c r="D6" s="281">
        <f t="shared" ref="D6:Q6" si="1">SUM(D7:D22)</f>
        <v>99</v>
      </c>
      <c r="E6" s="281">
        <f t="shared" si="1"/>
        <v>547081643</v>
      </c>
      <c r="F6" s="281">
        <f t="shared" si="1"/>
        <v>54</v>
      </c>
      <c r="G6" s="281">
        <f t="shared" si="1"/>
        <v>400688109</v>
      </c>
      <c r="H6" s="281">
        <f t="shared" si="1"/>
        <v>20</v>
      </c>
      <c r="I6" s="281">
        <f t="shared" si="1"/>
        <v>343583498</v>
      </c>
      <c r="J6" s="281">
        <f t="shared" si="1"/>
        <v>73</v>
      </c>
      <c r="K6" s="281">
        <f t="shared" si="1"/>
        <v>1441056510</v>
      </c>
      <c r="L6" s="281">
        <f t="shared" si="1"/>
        <v>4</v>
      </c>
      <c r="M6" s="281">
        <f t="shared" si="1"/>
        <v>117166567</v>
      </c>
      <c r="N6" s="281">
        <f t="shared" si="1"/>
        <v>10</v>
      </c>
      <c r="O6" s="281">
        <f t="shared" si="1"/>
        <v>943582373</v>
      </c>
      <c r="P6" s="281">
        <f t="shared" si="1"/>
        <v>43</v>
      </c>
      <c r="Q6" s="281">
        <f t="shared" si="1"/>
        <v>924872340</v>
      </c>
      <c r="R6" s="282"/>
      <c r="S6" s="282"/>
      <c r="T6" s="282"/>
      <c r="U6" s="282"/>
      <c r="V6" s="282"/>
      <c r="W6" s="282"/>
    </row>
    <row r="7" spans="1:23" ht="12" customHeight="1" x14ac:dyDescent="0.2">
      <c r="A7" s="284" t="s">
        <v>4</v>
      </c>
      <c r="B7" s="280">
        <f t="shared" si="0"/>
        <v>2</v>
      </c>
      <c r="C7" s="280">
        <f t="shared" si="0"/>
        <v>43485786</v>
      </c>
      <c r="D7" s="285">
        <v>0</v>
      </c>
      <c r="E7" s="285">
        <v>0</v>
      </c>
      <c r="F7" s="286">
        <v>2</v>
      </c>
      <c r="G7" s="286">
        <v>43485786</v>
      </c>
      <c r="H7" s="286">
        <v>0</v>
      </c>
      <c r="I7" s="286">
        <v>0</v>
      </c>
      <c r="J7" s="286">
        <v>0</v>
      </c>
      <c r="K7" s="286">
        <v>0</v>
      </c>
      <c r="L7" s="286">
        <v>0</v>
      </c>
      <c r="M7" s="286">
        <v>0</v>
      </c>
      <c r="N7" s="286">
        <v>0</v>
      </c>
      <c r="O7" s="286">
        <v>0</v>
      </c>
      <c r="P7" s="286">
        <v>0</v>
      </c>
      <c r="Q7" s="286">
        <v>0</v>
      </c>
      <c r="R7" s="287"/>
      <c r="S7" s="287"/>
      <c r="T7" s="287"/>
      <c r="U7" s="287"/>
      <c r="V7" s="287"/>
      <c r="W7" s="287"/>
    </row>
    <row r="8" spans="1:23" x14ac:dyDescent="0.2">
      <c r="A8" s="288" t="s">
        <v>5</v>
      </c>
      <c r="B8" s="280">
        <f t="shared" si="0"/>
        <v>1</v>
      </c>
      <c r="C8" s="280">
        <f t="shared" si="0"/>
        <v>4079575</v>
      </c>
      <c r="D8" s="285">
        <v>0</v>
      </c>
      <c r="E8" s="285">
        <v>0</v>
      </c>
      <c r="F8" s="289">
        <v>0</v>
      </c>
      <c r="G8" s="289">
        <v>0</v>
      </c>
      <c r="H8" s="286">
        <v>0</v>
      </c>
      <c r="I8" s="286">
        <v>0</v>
      </c>
      <c r="J8" s="289">
        <v>1</v>
      </c>
      <c r="K8" s="289">
        <v>4079575</v>
      </c>
      <c r="L8" s="289">
        <v>0</v>
      </c>
      <c r="M8" s="289">
        <v>0</v>
      </c>
      <c r="N8" s="289">
        <v>0</v>
      </c>
      <c r="O8" s="289">
        <v>0</v>
      </c>
      <c r="P8" s="289">
        <v>0</v>
      </c>
      <c r="Q8" s="289">
        <v>0</v>
      </c>
      <c r="R8" s="287"/>
      <c r="S8" s="290"/>
      <c r="T8" s="287"/>
      <c r="U8" s="287"/>
      <c r="V8" s="287"/>
      <c r="W8" s="287"/>
    </row>
    <row r="9" spans="1:23" x14ac:dyDescent="0.2">
      <c r="A9" s="288" t="s">
        <v>6</v>
      </c>
      <c r="B9" s="280">
        <f t="shared" si="0"/>
        <v>2</v>
      </c>
      <c r="C9" s="280">
        <f t="shared" si="0"/>
        <v>66050687</v>
      </c>
      <c r="D9" s="285">
        <v>0</v>
      </c>
      <c r="E9" s="285">
        <v>0</v>
      </c>
      <c r="F9" s="289">
        <v>0</v>
      </c>
      <c r="G9" s="289">
        <v>0</v>
      </c>
      <c r="H9" s="286">
        <v>0</v>
      </c>
      <c r="I9" s="286">
        <v>0</v>
      </c>
      <c r="J9" s="289">
        <v>2</v>
      </c>
      <c r="K9" s="289">
        <v>66050687</v>
      </c>
      <c r="L9" s="289">
        <v>0</v>
      </c>
      <c r="M9" s="289">
        <v>0</v>
      </c>
      <c r="N9" s="289">
        <v>0</v>
      </c>
      <c r="O9" s="289">
        <v>0</v>
      </c>
      <c r="P9" s="286">
        <v>0</v>
      </c>
      <c r="Q9" s="286">
        <v>0</v>
      </c>
      <c r="R9" s="287"/>
      <c r="S9" s="290"/>
      <c r="T9" s="287"/>
      <c r="U9" s="287"/>
      <c r="V9" s="287"/>
      <c r="W9" s="287"/>
    </row>
    <row r="10" spans="1:23" x14ac:dyDescent="0.2">
      <c r="A10" s="288" t="s">
        <v>7</v>
      </c>
      <c r="B10" s="280">
        <f t="shared" si="0"/>
        <v>0</v>
      </c>
      <c r="C10" s="280">
        <f t="shared" si="0"/>
        <v>0</v>
      </c>
      <c r="D10" s="285">
        <v>0</v>
      </c>
      <c r="E10" s="285">
        <v>0</v>
      </c>
      <c r="F10" s="289">
        <v>0</v>
      </c>
      <c r="G10" s="289">
        <v>0</v>
      </c>
      <c r="H10" s="286">
        <v>0</v>
      </c>
      <c r="I10" s="286">
        <v>0</v>
      </c>
      <c r="J10" s="286">
        <v>0</v>
      </c>
      <c r="K10" s="286">
        <v>0</v>
      </c>
      <c r="L10" s="286">
        <v>0</v>
      </c>
      <c r="M10" s="286">
        <v>0</v>
      </c>
      <c r="N10" s="286">
        <v>0</v>
      </c>
      <c r="O10" s="286">
        <v>0</v>
      </c>
      <c r="P10" s="286">
        <v>0</v>
      </c>
      <c r="Q10" s="286">
        <v>0</v>
      </c>
      <c r="R10" s="287"/>
      <c r="S10" s="290"/>
      <c r="T10" s="287"/>
      <c r="U10" s="287"/>
      <c r="V10" s="287"/>
      <c r="W10" s="287"/>
    </row>
    <row r="11" spans="1:23" x14ac:dyDescent="0.2">
      <c r="A11" s="288" t="s">
        <v>8</v>
      </c>
      <c r="B11" s="280">
        <f t="shared" si="0"/>
        <v>3</v>
      </c>
      <c r="C11" s="280">
        <f t="shared" si="0"/>
        <v>7927794</v>
      </c>
      <c r="D11" s="285">
        <v>3</v>
      </c>
      <c r="E11" s="285">
        <v>7927794</v>
      </c>
      <c r="F11" s="286">
        <v>0</v>
      </c>
      <c r="G11" s="286">
        <v>0</v>
      </c>
      <c r="H11" s="286">
        <v>0</v>
      </c>
      <c r="I11" s="286">
        <v>0</v>
      </c>
      <c r="J11" s="286">
        <v>0</v>
      </c>
      <c r="K11" s="286">
        <v>0</v>
      </c>
      <c r="L11" s="286">
        <v>0</v>
      </c>
      <c r="M11" s="286">
        <v>0</v>
      </c>
      <c r="N11" s="286">
        <v>0</v>
      </c>
      <c r="O11" s="286">
        <v>0</v>
      </c>
      <c r="P11" s="286">
        <v>0</v>
      </c>
      <c r="Q11" s="286">
        <v>0</v>
      </c>
      <c r="R11" s="287"/>
      <c r="S11" s="290"/>
      <c r="T11" s="287"/>
      <c r="U11" s="287"/>
      <c r="V11" s="287"/>
      <c r="W11" s="287"/>
    </row>
    <row r="12" spans="1:23" x14ac:dyDescent="0.2">
      <c r="A12" s="288" t="s">
        <v>9</v>
      </c>
      <c r="B12" s="280">
        <f t="shared" si="0"/>
        <v>22</v>
      </c>
      <c r="C12" s="280">
        <f t="shared" si="0"/>
        <v>427612405</v>
      </c>
      <c r="D12" s="285">
        <v>4</v>
      </c>
      <c r="E12" s="285">
        <v>37685052</v>
      </c>
      <c r="F12" s="289">
        <v>2</v>
      </c>
      <c r="G12" s="289">
        <v>6896780</v>
      </c>
      <c r="H12" s="289">
        <v>1</v>
      </c>
      <c r="I12" s="289">
        <v>12559960</v>
      </c>
      <c r="J12" s="289">
        <v>9</v>
      </c>
      <c r="K12" s="289">
        <v>153458518</v>
      </c>
      <c r="L12" s="289">
        <v>1</v>
      </c>
      <c r="M12" s="289">
        <v>35887924</v>
      </c>
      <c r="N12" s="289">
        <v>1</v>
      </c>
      <c r="O12" s="289">
        <v>93421926</v>
      </c>
      <c r="P12" s="289">
        <v>4</v>
      </c>
      <c r="Q12" s="289">
        <v>87702245</v>
      </c>
      <c r="R12" s="287"/>
      <c r="S12" s="290"/>
      <c r="T12" s="287"/>
      <c r="U12" s="287"/>
      <c r="V12" s="287"/>
      <c r="W12" s="287"/>
    </row>
    <row r="13" spans="1:23" ht="10.5" customHeight="1" x14ac:dyDescent="0.2">
      <c r="A13" s="288" t="s">
        <v>10</v>
      </c>
      <c r="B13" s="280">
        <f t="shared" si="0"/>
        <v>220</v>
      </c>
      <c r="C13" s="280">
        <f t="shared" si="0"/>
        <v>3499328763</v>
      </c>
      <c r="D13" s="285">
        <v>77</v>
      </c>
      <c r="E13" s="285">
        <v>448364839</v>
      </c>
      <c r="F13" s="289">
        <v>32</v>
      </c>
      <c r="G13" s="289">
        <v>227505572</v>
      </c>
      <c r="H13" s="289">
        <v>17</v>
      </c>
      <c r="I13" s="289">
        <v>303029635</v>
      </c>
      <c r="J13" s="289">
        <v>53</v>
      </c>
      <c r="K13" s="289">
        <v>1058871225</v>
      </c>
      <c r="L13" s="289">
        <v>0</v>
      </c>
      <c r="M13" s="289">
        <v>0</v>
      </c>
      <c r="N13" s="289">
        <v>7</v>
      </c>
      <c r="O13" s="289">
        <v>700180447</v>
      </c>
      <c r="P13" s="289">
        <v>34</v>
      </c>
      <c r="Q13" s="289">
        <v>761377045</v>
      </c>
      <c r="R13" s="287"/>
      <c r="S13" s="287"/>
      <c r="T13" s="287"/>
      <c r="U13" s="287"/>
      <c r="V13" s="287"/>
      <c r="W13" s="287"/>
    </row>
    <row r="14" spans="1:23" x14ac:dyDescent="0.2">
      <c r="A14" s="284" t="s">
        <v>134</v>
      </c>
      <c r="B14" s="280">
        <f t="shared" si="0"/>
        <v>7</v>
      </c>
      <c r="C14" s="280">
        <f t="shared" si="0"/>
        <v>29378047</v>
      </c>
      <c r="D14" s="285">
        <v>3</v>
      </c>
      <c r="E14" s="285">
        <v>4675993</v>
      </c>
      <c r="F14" s="289">
        <v>2</v>
      </c>
      <c r="G14" s="289">
        <v>4211618</v>
      </c>
      <c r="H14" s="291">
        <v>0</v>
      </c>
      <c r="I14" s="291">
        <v>0</v>
      </c>
      <c r="J14" s="286">
        <v>2</v>
      </c>
      <c r="K14" s="286">
        <v>20490436</v>
      </c>
      <c r="L14" s="292">
        <v>0</v>
      </c>
      <c r="M14" s="292">
        <v>0</v>
      </c>
      <c r="N14" s="286">
        <v>0</v>
      </c>
      <c r="O14" s="286">
        <v>0</v>
      </c>
      <c r="P14" s="289">
        <v>0</v>
      </c>
      <c r="Q14" s="289">
        <v>0</v>
      </c>
      <c r="R14" s="287"/>
      <c r="S14" s="290"/>
      <c r="T14" s="287"/>
      <c r="U14" s="287"/>
      <c r="V14" s="287"/>
      <c r="W14" s="287"/>
    </row>
    <row r="15" spans="1:23" x14ac:dyDescent="0.2">
      <c r="A15" s="288" t="s">
        <v>12</v>
      </c>
      <c r="B15" s="280">
        <f t="shared" si="0"/>
        <v>3</v>
      </c>
      <c r="C15" s="280">
        <f t="shared" si="0"/>
        <v>25159755</v>
      </c>
      <c r="D15" s="285">
        <v>1</v>
      </c>
      <c r="E15" s="285">
        <v>2400675</v>
      </c>
      <c r="F15" s="289">
        <v>1</v>
      </c>
      <c r="G15" s="289">
        <v>5170500</v>
      </c>
      <c r="H15" s="289">
        <v>0</v>
      </c>
      <c r="I15" s="289">
        <v>0</v>
      </c>
      <c r="J15" s="289">
        <v>0</v>
      </c>
      <c r="K15" s="289">
        <v>0</v>
      </c>
      <c r="L15" s="289">
        <v>1</v>
      </c>
      <c r="M15" s="289">
        <v>17588580</v>
      </c>
      <c r="N15" s="289">
        <v>0</v>
      </c>
      <c r="O15" s="289">
        <v>0</v>
      </c>
      <c r="P15" s="289">
        <v>0</v>
      </c>
      <c r="Q15" s="289">
        <v>0</v>
      </c>
      <c r="R15" s="287"/>
      <c r="S15" s="290"/>
      <c r="T15" s="287"/>
      <c r="U15" s="287"/>
      <c r="V15" s="287"/>
      <c r="W15" s="287"/>
    </row>
    <row r="16" spans="1:23" x14ac:dyDescent="0.2">
      <c r="A16" s="288" t="s">
        <v>13</v>
      </c>
      <c r="B16" s="280">
        <f t="shared" si="0"/>
        <v>7</v>
      </c>
      <c r="C16" s="280">
        <f t="shared" si="0"/>
        <v>40670027</v>
      </c>
      <c r="D16" s="285">
        <v>1</v>
      </c>
      <c r="E16" s="285">
        <v>4810084</v>
      </c>
      <c r="F16" s="289">
        <v>4</v>
      </c>
      <c r="G16" s="289">
        <v>22069470</v>
      </c>
      <c r="H16" s="289">
        <v>0</v>
      </c>
      <c r="I16" s="289">
        <v>0</v>
      </c>
      <c r="J16" s="289">
        <v>1</v>
      </c>
      <c r="K16" s="289">
        <v>5975463</v>
      </c>
      <c r="L16" s="289">
        <v>0</v>
      </c>
      <c r="M16" s="289">
        <v>0</v>
      </c>
      <c r="N16" s="286">
        <v>0</v>
      </c>
      <c r="O16" s="286">
        <v>0</v>
      </c>
      <c r="P16" s="289">
        <v>1</v>
      </c>
      <c r="Q16" s="289">
        <v>7815010</v>
      </c>
      <c r="R16" s="287"/>
      <c r="S16" s="290"/>
      <c r="T16" s="287"/>
      <c r="U16" s="287"/>
      <c r="V16" s="287"/>
      <c r="W16" s="287"/>
    </row>
    <row r="17" spans="1:25" x14ac:dyDescent="0.2">
      <c r="A17" s="288" t="s">
        <v>47</v>
      </c>
      <c r="B17" s="280">
        <f t="shared" si="0"/>
        <v>4</v>
      </c>
      <c r="C17" s="280">
        <f t="shared" si="0"/>
        <v>38406901</v>
      </c>
      <c r="D17" s="285">
        <v>1</v>
      </c>
      <c r="E17" s="285">
        <v>3436901</v>
      </c>
      <c r="F17" s="289">
        <v>1</v>
      </c>
      <c r="G17" s="289">
        <v>2970000</v>
      </c>
      <c r="H17" s="289">
        <v>0</v>
      </c>
      <c r="I17" s="289">
        <v>0</v>
      </c>
      <c r="J17" s="289">
        <v>1</v>
      </c>
      <c r="K17" s="289">
        <v>30000000</v>
      </c>
      <c r="L17" s="289">
        <v>0</v>
      </c>
      <c r="M17" s="289">
        <v>0</v>
      </c>
      <c r="N17" s="289">
        <v>0</v>
      </c>
      <c r="O17" s="289">
        <v>0</v>
      </c>
      <c r="P17" s="289">
        <v>1</v>
      </c>
      <c r="Q17" s="289">
        <v>2000000</v>
      </c>
      <c r="R17" s="287"/>
      <c r="S17" s="290"/>
      <c r="T17" s="287"/>
      <c r="U17" s="287"/>
      <c r="V17" s="287"/>
      <c r="W17" s="287"/>
    </row>
    <row r="18" spans="1:25" x14ac:dyDescent="0.2">
      <c r="A18" s="288" t="s">
        <v>135</v>
      </c>
      <c r="B18" s="280">
        <f t="shared" si="0"/>
        <v>5</v>
      </c>
      <c r="C18" s="280">
        <f t="shared" si="0"/>
        <v>132460629</v>
      </c>
      <c r="D18" s="285">
        <v>0</v>
      </c>
      <c r="E18" s="285">
        <v>0</v>
      </c>
      <c r="F18" s="289">
        <v>2</v>
      </c>
      <c r="G18" s="289">
        <v>37405520</v>
      </c>
      <c r="H18" s="289">
        <v>1</v>
      </c>
      <c r="I18" s="289">
        <v>17005723</v>
      </c>
      <c r="J18" s="289">
        <v>1</v>
      </c>
      <c r="K18" s="289">
        <v>3049386</v>
      </c>
      <c r="L18" s="289">
        <v>0</v>
      </c>
      <c r="M18" s="289">
        <v>0</v>
      </c>
      <c r="N18" s="289">
        <v>1</v>
      </c>
      <c r="O18" s="289">
        <v>75000000</v>
      </c>
      <c r="P18" s="289">
        <v>0</v>
      </c>
      <c r="Q18" s="289">
        <v>0</v>
      </c>
      <c r="R18" s="287"/>
      <c r="S18" s="290"/>
      <c r="T18" s="287"/>
      <c r="U18" s="287"/>
      <c r="V18" s="287"/>
      <c r="W18" s="287"/>
    </row>
    <row r="19" spans="1:25" x14ac:dyDescent="0.2">
      <c r="A19" s="288" t="s">
        <v>136</v>
      </c>
      <c r="B19" s="280">
        <f t="shared" si="0"/>
        <v>3</v>
      </c>
      <c r="C19" s="280">
        <f t="shared" si="0"/>
        <v>31288904</v>
      </c>
      <c r="D19" s="285">
        <v>0</v>
      </c>
      <c r="E19" s="285">
        <v>0</v>
      </c>
      <c r="F19" s="289">
        <v>2</v>
      </c>
      <c r="G19" s="289">
        <v>9986150</v>
      </c>
      <c r="H19" s="289">
        <v>0</v>
      </c>
      <c r="I19" s="289">
        <v>0</v>
      </c>
      <c r="J19" s="286">
        <v>0</v>
      </c>
      <c r="K19" s="286">
        <v>0</v>
      </c>
      <c r="L19" s="289">
        <v>1</v>
      </c>
      <c r="M19" s="289">
        <v>21302754</v>
      </c>
      <c r="N19" s="289">
        <v>0</v>
      </c>
      <c r="O19" s="289">
        <v>0</v>
      </c>
      <c r="P19" s="289">
        <v>0</v>
      </c>
      <c r="Q19" s="289">
        <v>0</v>
      </c>
      <c r="R19" s="287"/>
      <c r="S19" s="290"/>
      <c r="T19" s="287"/>
      <c r="U19" s="287"/>
      <c r="V19" s="287"/>
      <c r="W19" s="287"/>
    </row>
    <row r="20" spans="1:25" x14ac:dyDescent="0.2">
      <c r="A20" s="288" t="s">
        <v>17</v>
      </c>
      <c r="B20" s="280">
        <f t="shared" si="0"/>
        <v>3</v>
      </c>
      <c r="C20" s="280">
        <f t="shared" si="0"/>
        <v>72671581</v>
      </c>
      <c r="D20" s="285">
        <v>1</v>
      </c>
      <c r="E20" s="285">
        <v>1383434</v>
      </c>
      <c r="F20" s="289">
        <v>0</v>
      </c>
      <c r="G20" s="289">
        <v>0</v>
      </c>
      <c r="H20" s="289">
        <v>0</v>
      </c>
      <c r="I20" s="289">
        <v>0</v>
      </c>
      <c r="J20" s="289">
        <v>1</v>
      </c>
      <c r="K20" s="289">
        <v>28900838</v>
      </c>
      <c r="L20" s="289">
        <v>1</v>
      </c>
      <c r="M20" s="289">
        <v>42387309</v>
      </c>
      <c r="N20" s="286">
        <v>0</v>
      </c>
      <c r="O20" s="286">
        <v>0</v>
      </c>
      <c r="P20" s="289">
        <v>0</v>
      </c>
      <c r="Q20" s="289">
        <v>0</v>
      </c>
      <c r="R20" s="287"/>
      <c r="S20" s="290"/>
      <c r="T20" s="287"/>
      <c r="U20" s="287"/>
      <c r="V20" s="287"/>
      <c r="W20" s="287"/>
    </row>
    <row r="21" spans="1:25" ht="13.5" customHeight="1" x14ac:dyDescent="0.2">
      <c r="A21" s="284" t="s">
        <v>560</v>
      </c>
      <c r="B21" s="280">
        <f t="shared" si="0"/>
        <v>2</v>
      </c>
      <c r="C21" s="280">
        <f t="shared" si="0"/>
        <v>85598164</v>
      </c>
      <c r="D21" s="285">
        <v>0</v>
      </c>
      <c r="E21" s="285">
        <v>0</v>
      </c>
      <c r="F21" s="289">
        <v>0</v>
      </c>
      <c r="G21" s="289">
        <v>0</v>
      </c>
      <c r="H21" s="289">
        <v>0</v>
      </c>
      <c r="I21" s="289">
        <v>0</v>
      </c>
      <c r="J21" s="289">
        <v>1</v>
      </c>
      <c r="K21" s="289">
        <v>10618164</v>
      </c>
      <c r="L21" s="289">
        <v>0</v>
      </c>
      <c r="M21" s="289">
        <v>0</v>
      </c>
      <c r="N21" s="289">
        <v>1</v>
      </c>
      <c r="O21" s="289">
        <v>74980000</v>
      </c>
      <c r="P21" s="289">
        <v>0</v>
      </c>
      <c r="Q21" s="289">
        <v>0</v>
      </c>
      <c r="R21" s="287"/>
      <c r="S21" s="287"/>
      <c r="T21" s="287"/>
      <c r="U21" s="287"/>
      <c r="V21" s="287"/>
      <c r="W21" s="287"/>
    </row>
    <row r="22" spans="1:25" ht="12" x14ac:dyDescent="0.2">
      <c r="A22" s="252" t="s">
        <v>561</v>
      </c>
      <c r="B22" s="280">
        <f t="shared" si="0"/>
        <v>19</v>
      </c>
      <c r="C22" s="280">
        <f t="shared" si="0"/>
        <v>213912022</v>
      </c>
      <c r="D22" s="285">
        <v>8</v>
      </c>
      <c r="E22" s="285">
        <v>36396871</v>
      </c>
      <c r="F22" s="291">
        <v>6</v>
      </c>
      <c r="G22" s="291">
        <v>40986713</v>
      </c>
      <c r="H22" s="291">
        <v>1</v>
      </c>
      <c r="I22" s="291">
        <v>10988180</v>
      </c>
      <c r="J22" s="291">
        <v>1</v>
      </c>
      <c r="K22" s="291">
        <v>59562218</v>
      </c>
      <c r="L22" s="289">
        <v>0</v>
      </c>
      <c r="M22" s="289">
        <v>0</v>
      </c>
      <c r="N22" s="286">
        <v>0</v>
      </c>
      <c r="O22" s="286">
        <v>0</v>
      </c>
      <c r="P22" s="291">
        <v>3</v>
      </c>
      <c r="Q22" s="291">
        <v>65978040</v>
      </c>
      <c r="R22" s="287"/>
      <c r="S22" s="290"/>
      <c r="T22" s="287"/>
      <c r="U22" s="287"/>
      <c r="V22" s="287"/>
      <c r="W22" s="287"/>
    </row>
    <row r="23" spans="1:25" x14ac:dyDescent="0.2">
      <c r="A23" s="252"/>
      <c r="B23" s="293"/>
      <c r="C23" s="293"/>
      <c r="D23" s="287"/>
      <c r="E23" s="287"/>
      <c r="F23" s="287"/>
      <c r="G23" s="287"/>
      <c r="H23" s="287"/>
      <c r="I23" s="287"/>
      <c r="J23" s="287"/>
      <c r="K23" s="287"/>
      <c r="L23" s="287"/>
      <c r="M23" s="287"/>
      <c r="N23" s="287"/>
      <c r="O23" s="287"/>
      <c r="P23" s="290"/>
      <c r="Q23" s="290"/>
      <c r="R23" s="2"/>
      <c r="S23" s="2"/>
    </row>
    <row r="24" spans="1:25" ht="10.5" customHeight="1" x14ac:dyDescent="0.2">
      <c r="A24" s="258" t="s">
        <v>562</v>
      </c>
      <c r="B24" s="294"/>
      <c r="C24" s="294"/>
      <c r="D24" s="294"/>
      <c r="E24" s="294"/>
      <c r="F24" s="294"/>
      <c r="G24" s="294"/>
      <c r="H24" s="294"/>
      <c r="I24" s="294"/>
      <c r="J24" s="294"/>
      <c r="K24" s="294"/>
      <c r="L24" s="294"/>
      <c r="M24" s="294"/>
      <c r="N24" s="294"/>
      <c r="O24" s="294"/>
      <c r="P24" s="260"/>
      <c r="Q24" s="260"/>
    </row>
    <row r="25" spans="1:25" x14ac:dyDescent="0.2">
      <c r="A25" s="295" t="s">
        <v>563</v>
      </c>
      <c r="B25" s="295"/>
      <c r="C25" s="295"/>
      <c r="D25" s="295"/>
      <c r="E25" s="295"/>
      <c r="F25" s="295"/>
      <c r="G25" s="295"/>
      <c r="H25" s="295"/>
      <c r="I25" s="295"/>
      <c r="J25" s="295"/>
      <c r="K25" s="295"/>
      <c r="L25" s="295"/>
      <c r="M25" s="295"/>
      <c r="N25" s="295"/>
      <c r="O25" s="295"/>
      <c r="P25" s="2"/>
      <c r="Q25" s="2"/>
    </row>
    <row r="26" spans="1:25" x14ac:dyDescent="0.2">
      <c r="A26" s="235" t="s">
        <v>564</v>
      </c>
      <c r="B26" s="274"/>
      <c r="C26" s="274"/>
      <c r="D26" s="274"/>
      <c r="E26" s="274"/>
      <c r="F26" s="274"/>
      <c r="G26" s="274"/>
      <c r="H26" s="274"/>
      <c r="I26" s="274"/>
    </row>
    <row r="27" spans="1:25" x14ac:dyDescent="0.2">
      <c r="A27" s="235" t="s">
        <v>565</v>
      </c>
      <c r="B27" s="274"/>
      <c r="C27" s="274"/>
      <c r="D27" s="274"/>
      <c r="E27" s="274"/>
      <c r="F27" s="274"/>
      <c r="G27" s="274"/>
      <c r="H27" s="274"/>
      <c r="I27" s="274"/>
      <c r="J27" s="274"/>
      <c r="K27" s="274"/>
      <c r="R27" s="287"/>
      <c r="S27" s="287"/>
      <c r="T27" s="287"/>
      <c r="U27" s="287"/>
      <c r="V27" s="287"/>
      <c r="W27" s="287"/>
      <c r="X27" s="287"/>
      <c r="Y27" s="287"/>
    </row>
    <row r="28" spans="1:25" x14ac:dyDescent="0.2">
      <c r="A28" s="235" t="s">
        <v>566</v>
      </c>
    </row>
    <row r="29" spans="1:25" x14ac:dyDescent="0.2">
      <c r="A29" s="296" t="s">
        <v>19</v>
      </c>
      <c r="B29" s="296"/>
      <c r="C29" s="296"/>
      <c r="D29" s="296"/>
      <c r="E29" s="296"/>
      <c r="F29" s="296"/>
      <c r="G29" s="296"/>
      <c r="H29" s="296"/>
      <c r="I29" s="287"/>
      <c r="J29" s="287"/>
      <c r="K29" s="287"/>
      <c r="L29" s="287"/>
      <c r="M29" s="287"/>
      <c r="N29" s="287"/>
      <c r="O29" s="287"/>
      <c r="P29" s="287"/>
      <c r="Q29" s="287"/>
    </row>
    <row r="30" spans="1:25" x14ac:dyDescent="0.2">
      <c r="A30" s="235" t="s">
        <v>546</v>
      </c>
      <c r="B30" s="283"/>
      <c r="C30" s="283"/>
      <c r="D30" s="283"/>
      <c r="E30" s="283"/>
      <c r="F30" s="283"/>
      <c r="G30" s="283"/>
      <c r="H30" s="283"/>
      <c r="I30" s="283"/>
      <c r="J30" s="283"/>
      <c r="K30" s="283"/>
      <c r="L30" s="283"/>
      <c r="M30" s="283"/>
      <c r="N30" s="283"/>
      <c r="O30" s="283"/>
      <c r="P30" s="283"/>
      <c r="Q30" s="283"/>
    </row>
    <row r="31" spans="1:25" x14ac:dyDescent="0.2">
      <c r="C31" s="280"/>
    </row>
  </sheetData>
  <mergeCells count="11">
    <mergeCell ref="L4:M4"/>
    <mergeCell ref="N4:O4"/>
    <mergeCell ref="P4:Q4"/>
    <mergeCell ref="A29:H29"/>
    <mergeCell ref="A2:J2"/>
    <mergeCell ref="A4:A5"/>
    <mergeCell ref="B4:C4"/>
    <mergeCell ref="D4:E4"/>
    <mergeCell ref="F4:G4"/>
    <mergeCell ref="H4:I4"/>
    <mergeCell ref="J4:K4"/>
  </mergeCells>
  <pageMargins left="0.39370078740157483" right="0.39370078740157483" top="0.59055118110236227" bottom="0.39370078740157483" header="0" footer="0"/>
  <pageSetup paperSize="14" scale="70" orientation="landscape" r:id="rId1"/>
  <headerFooter alignWithMargins="0"/>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A41A8D-C587-45ED-B994-19383766B88A}">
  <sheetPr codeName="Hoja290"/>
  <dimension ref="A1:O39"/>
  <sheetViews>
    <sheetView workbookViewId="0"/>
  </sheetViews>
  <sheetFormatPr baseColWidth="10" defaultRowHeight="13.2" x14ac:dyDescent="0.25"/>
  <cols>
    <col min="1" max="1" width="15.44140625" customWidth="1"/>
  </cols>
  <sheetData>
    <row r="1" spans="1:15" x14ac:dyDescent="0.25">
      <c r="A1" s="1012"/>
    </row>
    <row r="2" spans="1:15" s="141" customFormat="1" ht="27" customHeight="1" x14ac:dyDescent="0.2">
      <c r="A2" s="236" t="s">
        <v>3315</v>
      </c>
      <c r="B2" s="236"/>
      <c r="C2" s="236"/>
      <c r="D2" s="236"/>
      <c r="E2" s="236"/>
      <c r="F2" s="236"/>
      <c r="G2" s="651"/>
      <c r="H2" s="651"/>
      <c r="I2" s="651"/>
      <c r="J2" s="794"/>
      <c r="K2" s="794"/>
      <c r="L2" s="794"/>
      <c r="M2" s="794"/>
      <c r="N2" s="794"/>
      <c r="O2" s="651"/>
    </row>
    <row r="3" spans="1:15" s="141" customFormat="1" ht="13.5" customHeight="1" x14ac:dyDescent="0.2">
      <c r="A3" s="662"/>
      <c r="B3" s="662"/>
      <c r="C3" s="662"/>
      <c r="D3" s="662"/>
      <c r="E3" s="662"/>
      <c r="F3" s="662"/>
      <c r="G3" s="651"/>
      <c r="H3" s="651"/>
      <c r="I3" s="651"/>
      <c r="J3" s="794"/>
      <c r="K3" s="794"/>
      <c r="L3" s="794"/>
      <c r="M3" s="794"/>
      <c r="N3" s="794"/>
      <c r="O3" s="651"/>
    </row>
    <row r="4" spans="1:15" s="141" customFormat="1" ht="24.75" customHeight="1" x14ac:dyDescent="0.2">
      <c r="A4" s="653" t="s">
        <v>3355</v>
      </c>
      <c r="B4" s="298" t="s">
        <v>3356</v>
      </c>
      <c r="C4" s="298"/>
      <c r="D4" s="298"/>
      <c r="E4" s="298"/>
      <c r="F4" s="298"/>
      <c r="G4" s="651"/>
      <c r="H4" s="651"/>
      <c r="I4" s="651"/>
      <c r="J4" s="692"/>
      <c r="K4" s="324"/>
      <c r="L4" s="324"/>
      <c r="M4" s="324"/>
      <c r="N4" s="324"/>
      <c r="O4" s="324"/>
    </row>
    <row r="5" spans="1:15" s="141" customFormat="1" ht="17.25" customHeight="1" x14ac:dyDescent="0.2">
      <c r="A5" s="654"/>
      <c r="B5" s="644">
        <v>2009</v>
      </c>
      <c r="C5" s="644">
        <v>2010</v>
      </c>
      <c r="D5" s="644">
        <v>2011</v>
      </c>
      <c r="E5" s="644">
        <v>2012</v>
      </c>
      <c r="F5" s="644" t="s">
        <v>3357</v>
      </c>
      <c r="G5" s="651"/>
      <c r="H5" s="651"/>
      <c r="I5" s="651"/>
      <c r="J5" s="692"/>
      <c r="K5" s="692"/>
      <c r="L5" s="692"/>
      <c r="M5" s="692"/>
      <c r="N5" s="692"/>
      <c r="O5" s="692"/>
    </row>
    <row r="6" spans="1:15" s="141" customFormat="1" ht="10.199999999999999" x14ac:dyDescent="0.2">
      <c r="A6" s="744" t="s">
        <v>435</v>
      </c>
      <c r="B6" s="1526" t="s">
        <v>193</v>
      </c>
      <c r="C6" s="1526">
        <v>12.897915232700001</v>
      </c>
      <c r="D6" s="1526" t="s">
        <v>193</v>
      </c>
      <c r="E6" s="1526">
        <v>31.730128267268</v>
      </c>
      <c r="F6" s="1526" t="s">
        <v>193</v>
      </c>
      <c r="G6" s="651"/>
      <c r="H6" s="651"/>
      <c r="I6" s="651"/>
      <c r="J6" s="1527"/>
      <c r="K6" s="1272"/>
      <c r="L6" s="1272"/>
      <c r="M6" s="1272"/>
      <c r="N6" s="1272"/>
      <c r="O6" s="1528"/>
    </row>
    <row r="7" spans="1:15" s="141" customFormat="1" ht="10.199999999999999" x14ac:dyDescent="0.2">
      <c r="A7" s="744" t="s">
        <v>437</v>
      </c>
      <c r="B7" s="1526">
        <v>3.1712493049752308</v>
      </c>
      <c r="C7" s="1526">
        <v>4.124961756073084</v>
      </c>
      <c r="D7" s="1526">
        <v>5.5043471869229599</v>
      </c>
      <c r="E7" s="1526">
        <v>7.6677780046424608</v>
      </c>
      <c r="F7" s="1526" t="s">
        <v>193</v>
      </c>
      <c r="G7" s="651"/>
      <c r="H7" s="651"/>
      <c r="I7" s="651"/>
      <c r="J7" s="1527"/>
      <c r="K7" s="1272"/>
      <c r="L7" s="1272"/>
      <c r="M7" s="1272"/>
      <c r="N7" s="1272"/>
      <c r="O7" s="1528"/>
    </row>
    <row r="8" spans="1:15" s="141" customFormat="1" ht="10.199999999999999" x14ac:dyDescent="0.2">
      <c r="A8" s="744" t="s">
        <v>3358</v>
      </c>
      <c r="B8" s="1526" t="s">
        <v>193</v>
      </c>
      <c r="C8" s="1526" t="s">
        <v>193</v>
      </c>
      <c r="D8" s="1526">
        <v>3.5415064945775754</v>
      </c>
      <c r="E8" s="1526">
        <v>7.8550809998631905</v>
      </c>
      <c r="F8" s="1526" t="s">
        <v>193</v>
      </c>
      <c r="G8" s="651"/>
      <c r="H8" s="651"/>
      <c r="I8" s="651"/>
      <c r="J8" s="1527"/>
      <c r="K8" s="1272"/>
      <c r="L8" s="1272"/>
      <c r="M8" s="1272"/>
      <c r="N8" s="1272"/>
      <c r="O8" s="1528"/>
    </row>
    <row r="9" spans="1:15" s="141" customFormat="1" ht="10.199999999999999" x14ac:dyDescent="0.2">
      <c r="A9" s="744" t="s">
        <v>436</v>
      </c>
      <c r="B9" s="1526">
        <v>10.55358125040331</v>
      </c>
      <c r="C9" s="1526">
        <v>17.814551861339201</v>
      </c>
      <c r="D9" s="1526">
        <v>30.127008610113499</v>
      </c>
      <c r="E9" s="1526">
        <v>46.442369453748732</v>
      </c>
      <c r="F9" s="1526" t="s">
        <v>193</v>
      </c>
      <c r="G9" s="651"/>
      <c r="H9" s="651"/>
      <c r="I9" s="651"/>
      <c r="J9" s="1527"/>
      <c r="K9" s="1272"/>
      <c r="L9" s="1272"/>
      <c r="M9" s="1272"/>
      <c r="N9" s="1272"/>
      <c r="O9" s="1528"/>
    </row>
    <row r="10" spans="1:15" s="141" customFormat="1" ht="10.199999999999999" x14ac:dyDescent="0.2">
      <c r="A10" s="744" t="s">
        <v>3204</v>
      </c>
      <c r="B10" s="1526">
        <v>13.719016979967051</v>
      </c>
      <c r="C10" s="1526">
        <v>19.015625580090095</v>
      </c>
      <c r="D10" s="1526">
        <v>29.898294656328147</v>
      </c>
      <c r="E10" s="1526">
        <v>41.019306799635942</v>
      </c>
      <c r="F10" s="1526">
        <v>49.016424860295402</v>
      </c>
      <c r="G10" s="651"/>
      <c r="H10" s="651"/>
      <c r="I10" s="651"/>
      <c r="J10" s="1527"/>
      <c r="K10" s="1272"/>
      <c r="L10" s="1272"/>
      <c r="M10" s="1272"/>
      <c r="N10" s="1272"/>
      <c r="O10" s="1272"/>
    </row>
    <row r="11" spans="1:15" s="141" customFormat="1" ht="10.199999999999999" x14ac:dyDescent="0.2">
      <c r="A11" s="744" t="s">
        <v>438</v>
      </c>
      <c r="B11" s="1526">
        <v>8.6697008995596629</v>
      </c>
      <c r="C11" s="1526">
        <v>12.606912244210831</v>
      </c>
      <c r="D11" s="1526">
        <v>17.39798042815044</v>
      </c>
      <c r="E11" s="1526">
        <v>21.178639254085802</v>
      </c>
      <c r="F11" s="1526" t="s">
        <v>193</v>
      </c>
      <c r="G11" s="651"/>
      <c r="H11" s="651"/>
      <c r="I11" s="651"/>
      <c r="J11" s="1527"/>
      <c r="K11" s="1272"/>
      <c r="L11" s="1272"/>
      <c r="M11" s="1272"/>
      <c r="N11" s="1272"/>
      <c r="O11" s="1528"/>
    </row>
    <row r="12" spans="1:15" s="141" customFormat="1" ht="10.199999999999999" x14ac:dyDescent="0.2">
      <c r="A12" s="744" t="s">
        <v>439</v>
      </c>
      <c r="B12" s="1526">
        <v>65.975222503810301</v>
      </c>
      <c r="C12" s="1526">
        <v>74.0574673530041</v>
      </c>
      <c r="D12" s="1526">
        <v>85.332672535016698</v>
      </c>
      <c r="E12" s="1526">
        <v>106.0712618068264</v>
      </c>
      <c r="F12" s="1526" t="s">
        <v>193</v>
      </c>
      <c r="G12" s="651"/>
      <c r="H12" s="651"/>
      <c r="I12" s="651"/>
      <c r="J12" s="1527"/>
      <c r="K12" s="1272"/>
      <c r="L12" s="1272"/>
      <c r="M12" s="1272"/>
      <c r="N12" s="1272"/>
      <c r="O12" s="1528"/>
    </row>
    <row r="13" spans="1:15" s="141" customFormat="1" ht="10.199999999999999" x14ac:dyDescent="0.2">
      <c r="A13" s="744" t="s">
        <v>441</v>
      </c>
      <c r="B13" s="1526">
        <v>31.550489390304101</v>
      </c>
      <c r="C13" s="1526">
        <v>48.439662582986998</v>
      </c>
      <c r="D13" s="1526">
        <v>65.615494341339101</v>
      </c>
      <c r="E13" s="1526">
        <v>77.651942858652902</v>
      </c>
      <c r="F13" s="1526" t="s">
        <v>193</v>
      </c>
      <c r="G13" s="651"/>
      <c r="H13" s="651"/>
      <c r="I13" s="651"/>
      <c r="J13" s="1527"/>
      <c r="K13" s="1272"/>
      <c r="L13" s="1272"/>
      <c r="M13" s="1272"/>
      <c r="N13" s="1272"/>
      <c r="O13" s="1528"/>
    </row>
    <row r="14" spans="1:15" s="141" customFormat="1" ht="10.199999999999999" x14ac:dyDescent="0.2">
      <c r="A14" s="744" t="s">
        <v>3359</v>
      </c>
      <c r="B14" s="1526">
        <v>53.351623404616902</v>
      </c>
      <c r="C14" s="1526">
        <v>57.546210796967003</v>
      </c>
      <c r="D14" s="1526">
        <v>67.983676058979299</v>
      </c>
      <c r="E14" s="1526">
        <v>75.102949613747697</v>
      </c>
      <c r="F14" s="1526" t="s">
        <v>193</v>
      </c>
      <c r="G14" s="651"/>
      <c r="H14" s="651"/>
      <c r="I14" s="651"/>
      <c r="J14" s="1527"/>
      <c r="K14" s="1272"/>
      <c r="L14" s="1272"/>
      <c r="M14" s="1272"/>
      <c r="N14" s="1272"/>
      <c r="O14" s="1528"/>
    </row>
    <row r="15" spans="1:15" s="141" customFormat="1" ht="10.199999999999999" x14ac:dyDescent="0.2">
      <c r="A15" s="744" t="s">
        <v>444</v>
      </c>
      <c r="B15" s="1526">
        <v>8.7122055272659047</v>
      </c>
      <c r="C15" s="1526">
        <v>12.926597781432029</v>
      </c>
      <c r="D15" s="1526" t="s">
        <v>193</v>
      </c>
      <c r="E15" s="1526">
        <v>30.217537855017298</v>
      </c>
      <c r="F15" s="1526" t="s">
        <v>193</v>
      </c>
      <c r="G15" s="651"/>
      <c r="H15" s="651"/>
      <c r="I15" s="651"/>
      <c r="J15" s="1527"/>
      <c r="K15" s="1272"/>
      <c r="L15" s="1272"/>
      <c r="M15" s="1272"/>
      <c r="N15" s="1272"/>
      <c r="O15" s="1528"/>
    </row>
    <row r="16" spans="1:15" s="141" customFormat="1" ht="10.199999999999999" x14ac:dyDescent="0.2">
      <c r="A16" s="744" t="s">
        <v>3360</v>
      </c>
      <c r="B16" s="1526" t="s">
        <v>193</v>
      </c>
      <c r="C16" s="1526">
        <v>80.544686134386808</v>
      </c>
      <c r="D16" s="1526">
        <v>104.6681434602516</v>
      </c>
      <c r="E16" s="1526">
        <v>127.71237166804681</v>
      </c>
      <c r="F16" s="1526" t="s">
        <v>193</v>
      </c>
      <c r="G16" s="651"/>
      <c r="H16" s="651"/>
      <c r="I16" s="651"/>
      <c r="J16" s="1527"/>
      <c r="K16" s="1272"/>
      <c r="L16" s="1272"/>
      <c r="M16" s="1272"/>
      <c r="N16" s="1272"/>
      <c r="O16" s="1528"/>
    </row>
    <row r="17" spans="1:15" s="141" customFormat="1" ht="10.199999999999999" x14ac:dyDescent="0.2">
      <c r="A17" s="744" t="s">
        <v>3361</v>
      </c>
      <c r="B17" s="1526">
        <v>105.136607997498</v>
      </c>
      <c r="C17" s="1526">
        <v>115.08864044296669</v>
      </c>
      <c r="D17" s="1526">
        <v>131.5765147794805</v>
      </c>
      <c r="E17" s="1526">
        <v>141.04241500943601</v>
      </c>
      <c r="F17" s="1526" t="s">
        <v>193</v>
      </c>
      <c r="G17" s="651"/>
      <c r="H17" s="651"/>
      <c r="I17" s="651"/>
      <c r="J17" s="1527"/>
      <c r="K17" s="1272"/>
      <c r="L17" s="1272"/>
      <c r="M17" s="1272"/>
      <c r="N17" s="1272"/>
      <c r="O17" s="1528"/>
    </row>
    <row r="18" spans="1:15" s="141" customFormat="1" ht="10.199999999999999" x14ac:dyDescent="0.2">
      <c r="A18" s="744" t="s">
        <v>3362</v>
      </c>
      <c r="B18" s="1526">
        <v>65.975222503810301</v>
      </c>
      <c r="C18" s="1526">
        <v>74.0574673530041</v>
      </c>
      <c r="D18" s="1526">
        <v>85.332672535016698</v>
      </c>
      <c r="E18" s="1526">
        <v>106.0712618068264</v>
      </c>
      <c r="F18" s="1526" t="s">
        <v>193</v>
      </c>
      <c r="G18" s="651"/>
      <c r="H18" s="651"/>
      <c r="I18" s="651"/>
      <c r="J18" s="1527"/>
      <c r="K18" s="1272"/>
      <c r="L18" s="1272"/>
      <c r="M18" s="1272"/>
      <c r="N18" s="1272"/>
      <c r="O18" s="1528"/>
    </row>
    <row r="19" spans="1:15" s="141" customFormat="1" ht="10.199999999999999" x14ac:dyDescent="0.2">
      <c r="A19" s="744" t="s">
        <v>3363</v>
      </c>
      <c r="B19" s="1526">
        <v>60.136341282064095</v>
      </c>
      <c r="C19" s="1526">
        <v>70.463151802669103</v>
      </c>
      <c r="D19" s="1526">
        <v>79.997282889965902</v>
      </c>
      <c r="E19" s="1526">
        <v>89.918056852196301</v>
      </c>
      <c r="F19" s="1526" t="s">
        <v>193</v>
      </c>
      <c r="G19" s="651"/>
      <c r="H19" s="651"/>
      <c r="I19" s="651"/>
      <c r="J19" s="1527"/>
      <c r="K19" s="1272"/>
      <c r="L19" s="1272"/>
      <c r="M19" s="1272"/>
      <c r="N19" s="1272"/>
      <c r="O19" s="1528"/>
    </row>
    <row r="20" spans="1:15" s="141" customFormat="1" ht="10.199999999999999" x14ac:dyDescent="0.2">
      <c r="A20" s="744" t="s">
        <v>3364</v>
      </c>
      <c r="B20" s="1526">
        <v>123.0184486786037</v>
      </c>
      <c r="C20" s="1526">
        <v>133.89949572866971</v>
      </c>
      <c r="D20" s="1526">
        <v>141.9576203950362</v>
      </c>
      <c r="E20" s="1526">
        <v>143.60287489632799</v>
      </c>
      <c r="F20" s="1526" t="s">
        <v>193</v>
      </c>
      <c r="G20" s="651"/>
      <c r="H20" s="651"/>
      <c r="I20" s="651"/>
      <c r="J20" s="1527"/>
      <c r="K20" s="1272"/>
      <c r="L20" s="1272"/>
      <c r="M20" s="1272"/>
      <c r="N20" s="1272"/>
      <c r="O20" s="1528"/>
    </row>
    <row r="21" spans="1:15" s="141" customFormat="1" ht="10.199999999999999" x14ac:dyDescent="0.2">
      <c r="C21" s="1529"/>
      <c r="D21" s="309"/>
      <c r="E21" s="309"/>
      <c r="F21" s="2"/>
      <c r="G21" s="651"/>
      <c r="H21" s="651"/>
      <c r="I21" s="651"/>
      <c r="J21" s="794"/>
      <c r="K21" s="794"/>
      <c r="L21" s="1284"/>
      <c r="M21" s="651"/>
      <c r="N21" s="651"/>
      <c r="O21" s="651"/>
    </row>
    <row r="22" spans="1:15" s="141" customFormat="1" ht="36" customHeight="1" x14ac:dyDescent="0.2">
      <c r="A22" s="697" t="s">
        <v>3365</v>
      </c>
      <c r="B22" s="697"/>
      <c r="C22" s="697"/>
      <c r="D22" s="697"/>
      <c r="E22" s="697"/>
      <c r="F22" s="697"/>
      <c r="G22" s="651"/>
      <c r="H22" s="651"/>
      <c r="I22" s="651"/>
      <c r="J22" s="1530"/>
      <c r="K22" s="1530"/>
      <c r="L22" s="1284"/>
      <c r="M22" s="651"/>
      <c r="N22" s="651"/>
      <c r="O22" s="651"/>
    </row>
    <row r="23" spans="1:15" s="141" customFormat="1" ht="34.5" customHeight="1" x14ac:dyDescent="0.2">
      <c r="A23" s="704" t="s">
        <v>3366</v>
      </c>
      <c r="B23" s="704"/>
      <c r="C23" s="704"/>
      <c r="D23" s="704"/>
      <c r="E23" s="704"/>
      <c r="F23" s="704"/>
      <c r="G23" s="651"/>
      <c r="H23" s="651"/>
      <c r="I23" s="651"/>
      <c r="J23" s="1530"/>
      <c r="K23" s="1530"/>
      <c r="L23" s="1284"/>
      <c r="M23" s="651"/>
      <c r="N23" s="651"/>
      <c r="O23" s="651"/>
    </row>
    <row r="24" spans="1:15" s="141" customFormat="1" ht="10.199999999999999" x14ac:dyDescent="0.2">
      <c r="A24" s="1258" t="s">
        <v>198</v>
      </c>
      <c r="B24" s="1258"/>
      <c r="C24" s="1258"/>
      <c r="D24" s="1258"/>
      <c r="E24" s="1258"/>
      <c r="F24" s="1258"/>
      <c r="G24" s="651"/>
      <c r="H24" s="651"/>
      <c r="I24" s="651"/>
      <c r="J24" s="1530"/>
      <c r="K24" s="1530"/>
      <c r="L24" s="1284"/>
      <c r="M24" s="651"/>
      <c r="N24" s="651"/>
      <c r="O24" s="651"/>
    </row>
    <row r="25" spans="1:15" s="141" customFormat="1" ht="23.25" customHeight="1" x14ac:dyDescent="0.2">
      <c r="A25" s="1222" t="s">
        <v>3354</v>
      </c>
      <c r="B25" s="1222"/>
      <c r="C25" s="1222"/>
      <c r="D25" s="1222"/>
      <c r="E25" s="1222"/>
      <c r="F25" s="1222"/>
    </row>
    <row r="26" spans="1:15" s="141" customFormat="1" ht="10.199999999999999" x14ac:dyDescent="0.2">
      <c r="A26" s="1531"/>
      <c r="B26" s="1531"/>
      <c r="C26" s="1532"/>
      <c r="D26" s="702"/>
      <c r="E26" s="702"/>
      <c r="F26" s="651"/>
      <c r="G26" s="651"/>
      <c r="H26" s="651"/>
      <c r="I26" s="651"/>
      <c r="J26" s="1351"/>
      <c r="K26" s="1351"/>
      <c r="L26" s="1532"/>
      <c r="M26" s="702"/>
      <c r="N26" s="702"/>
      <c r="O26" s="651"/>
    </row>
    <row r="27" spans="1:15" s="141" customFormat="1" ht="10.199999999999999" x14ac:dyDescent="0.2">
      <c r="A27" s="1375"/>
    </row>
    <row r="28" spans="1:15" s="141" customFormat="1" ht="10.199999999999999" x14ac:dyDescent="0.2">
      <c r="A28" s="1375"/>
    </row>
    <row r="29" spans="1:15" s="141" customFormat="1" ht="10.199999999999999" x14ac:dyDescent="0.2">
      <c r="A29" s="1375"/>
    </row>
    <row r="30" spans="1:15" s="141" customFormat="1" ht="10.199999999999999" x14ac:dyDescent="0.2">
      <c r="A30" s="1375"/>
    </row>
    <row r="31" spans="1:15" s="141" customFormat="1" ht="10.199999999999999" x14ac:dyDescent="0.2">
      <c r="A31" s="1375"/>
    </row>
    <row r="32" spans="1:15" s="141" customFormat="1" ht="10.199999999999999" x14ac:dyDescent="0.2">
      <c r="A32" s="1375"/>
    </row>
    <row r="33" spans="1:1" s="141" customFormat="1" ht="10.199999999999999" x14ac:dyDescent="0.2">
      <c r="A33" s="1375"/>
    </row>
    <row r="34" spans="1:1" s="141" customFormat="1" ht="10.199999999999999" x14ac:dyDescent="0.2">
      <c r="A34" s="1375"/>
    </row>
    <row r="35" spans="1:1" s="141" customFormat="1" ht="10.199999999999999" x14ac:dyDescent="0.2">
      <c r="A35" s="1375"/>
    </row>
    <row r="36" spans="1:1" s="141" customFormat="1" ht="10.199999999999999" x14ac:dyDescent="0.2">
      <c r="A36" s="1375"/>
    </row>
    <row r="37" spans="1:1" s="141" customFormat="1" ht="10.199999999999999" x14ac:dyDescent="0.2">
      <c r="A37" s="1375"/>
    </row>
    <row r="38" spans="1:1" s="141" customFormat="1" ht="10.199999999999999" x14ac:dyDescent="0.2">
      <c r="A38" s="1375"/>
    </row>
    <row r="39" spans="1:1" s="141" customFormat="1" ht="10.199999999999999" x14ac:dyDescent="0.2">
      <c r="A39" s="1375"/>
    </row>
  </sheetData>
  <mergeCells count="7">
    <mergeCell ref="A25:F25"/>
    <mergeCell ref="A2:F2"/>
    <mergeCell ref="A4:A5"/>
    <mergeCell ref="B4:F4"/>
    <mergeCell ref="A22:F22"/>
    <mergeCell ref="A23:F23"/>
    <mergeCell ref="A24:F24"/>
  </mergeCells>
  <pageMargins left="0.7" right="0.7" top="0.75" bottom="0.75" header="0.3" footer="0.3"/>
  <pageSetup paperSize="14" orientation="landscape" r:id="rId1"/>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C05EB-33E9-49CB-90E7-43DE61ADB63E}">
  <sheetPr codeName="Hoja291">
    <tabColor theme="8"/>
  </sheetPr>
  <dimension ref="A2:A14"/>
  <sheetViews>
    <sheetView workbookViewId="0">
      <selection activeCell="A14" sqref="A14"/>
    </sheetView>
  </sheetViews>
  <sheetFormatPr baseColWidth="10" defaultColWidth="11.44140625" defaultRowHeight="10.199999999999999" x14ac:dyDescent="0.2"/>
  <cols>
    <col min="1" max="1" width="12.88671875" style="2" bestFit="1" customWidth="1"/>
    <col min="2" max="16384" width="11.44140625" style="2"/>
  </cols>
  <sheetData>
    <row r="2" spans="1:1" x14ac:dyDescent="0.2">
      <c r="A2" s="24" t="s">
        <v>3367</v>
      </c>
    </row>
    <row r="4" spans="1:1" x14ac:dyDescent="0.2">
      <c r="A4" s="1709" t="s">
        <v>3368</v>
      </c>
    </row>
    <row r="5" spans="1:1" x14ac:dyDescent="0.2">
      <c r="A5" s="1709" t="s">
        <v>3369</v>
      </c>
    </row>
    <row r="6" spans="1:1" x14ac:dyDescent="0.2">
      <c r="A6" s="1709" t="s">
        <v>3370</v>
      </c>
    </row>
    <row r="7" spans="1:1" x14ac:dyDescent="0.2">
      <c r="A7" s="1709" t="s">
        <v>3371</v>
      </c>
    </row>
    <row r="8" spans="1:1" x14ac:dyDescent="0.2">
      <c r="A8" s="1709" t="s">
        <v>3372</v>
      </c>
    </row>
    <row r="9" spans="1:1" x14ac:dyDescent="0.2">
      <c r="A9" s="1709" t="s">
        <v>3373</v>
      </c>
    </row>
    <row r="10" spans="1:1" x14ac:dyDescent="0.2">
      <c r="A10" s="1709" t="s">
        <v>3374</v>
      </c>
    </row>
    <row r="11" spans="1:1" x14ac:dyDescent="0.2">
      <c r="A11" s="1709" t="s">
        <v>3375</v>
      </c>
    </row>
    <row r="12" spans="1:1" x14ac:dyDescent="0.2">
      <c r="A12" s="1709" t="s">
        <v>3376</v>
      </c>
    </row>
    <row r="13" spans="1:1" x14ac:dyDescent="0.2">
      <c r="A13" s="1709" t="s">
        <v>3377</v>
      </c>
    </row>
    <row r="14" spans="1:1" x14ac:dyDescent="0.2">
      <c r="A14" s="1709" t="s">
        <v>3378</v>
      </c>
    </row>
  </sheetData>
  <hyperlinks>
    <hyperlink ref="A4" location="'4.1-01'!A1" display="CUADRO 4.1-01: NÚMERO DE PERSONAS CON RECONOCIMIENTO DE CALIDAD INDÍGENA (LEY 19.253) POR SEXO Y UNIDAD OPERATIVA, SEGÚN REGIÓN. 2013" xr:uid="{F5392B91-90FA-4639-97F8-5FBEE121600B}"/>
    <hyperlink ref="A5" location="'4.1-02'!A1" display="CUADRO 4.1-02: DISTRIBUCIÓN DE POBLACIÓN POR PUEBLO ORIGINARIO, SEGÚN RECONOCIMIENTO DE PUEBLOS ORIGINARIOS (LEY N° 19.253). 2012-2013" xr:uid="{31B99B02-256F-4E70-9DC2-994256C22B76}"/>
    <hyperlink ref="A6" location="'4.1-03'!A1" display="CUADRO 4.1-03: NÚMERO DE BECAS INDÍGENAS OTORGADAS POR NIVEL DE EDUCACIÓN Y SEXO SEGÚN REGIÓN. 2009-2013" xr:uid="{E8778347-8EB0-49BF-90B4-8F4631383E5D}"/>
    <hyperlink ref="A7" location="'4.1-04'!A1" display="CUADRO 4.1-04: MONTO DE LA INVERSIÓN EN BECAS INDÍGENAS POR NIVEL DE EDUCACIÓN, SEGÚN REGIÓN. 2009-2013" xr:uid="{37D87769-D536-4059-B181-1E2798E5B1DB}"/>
    <hyperlink ref="A8" location="'4.1-05'!A1" display="CUADRO 4.1-05: NÚMERO DE ALUMNOS INDÍGENAS BENEFICIARIOS DE BECAS INDÍGENAS POR NIVEL DE EDUCACIÓN, SEGÚN PUEBLO ORIGINARIO Y NIVEL DE EDUCACIÓN. 2009-2013" xr:uid="{420FC245-0EE1-4F6A-926E-D192BDC9D4BC}"/>
    <hyperlink ref="A9" location="'4.1-06'!A1" display="CUADRO 4.1-06: NÚMERO DE BECAS OTORGADAS EN POST-GRADO POR SEXO, SEGÚN REGIÓN. 2009-2013 " xr:uid="{AA31E3B8-AAE0-467B-A44A-DF49348D4646}"/>
    <hyperlink ref="A10" location="'4.1-07'!A1" display="CUADRO 4.1-07: NÚMERO DE PROGRAMAS FONDO DE CULTURA POR UNIDAD OPERATIVA Y MONTO DE LA INVERSIÓN, SEGÚN REGIÓN. 2009-2013" xr:uid="{B051FFBB-980D-40A7-A0DB-665746CE6952}"/>
    <hyperlink ref="A11" location="'4.1-08'!A1" display="CUADRO 4.1-08: NÚMERO DE PROGRAMAS DE FONDO DE EDUCACIÓN POR UNIDAD OPERATIVA Y MONTO DE LA INVERSIÓN, SEGÚN REGIÓN. 2009-2013" xr:uid="{92D202DC-69E9-48BE-ACBC-C99A25CA1D56}"/>
    <hyperlink ref="A12" location="'4.1-09'!A1" display="CUADRO 4.1-09: DISTRIBUCIÓN REGIONAL DE FONDOS CONCURSABLES PARA SUBSIDIOS DE CAPACITACIÓN Y ESPECIALIZACIÓN DE PROFESIONALES Y TÉCNICOS INDÍGENAS POR SEXO, SEGÚN REGIÓN. 2009-2013" xr:uid="{2127219F-E3A1-4BCA-82CD-FB76FFB0F2EC}"/>
    <hyperlink ref="A13" location="'4.1-10'!A1" display="CUADRO 4.1-10: NÚMERO DE PROYECTOS DEL FONDO DE DESARROLLO INDÍGENA (FDI) Y MONTO DE LA INVERSIÓN, SEGÚN REGIÓN Y UNIDAD OPERATIVA. 2009-2013" xr:uid="{37ED4F8F-DA4B-4E36-BB59-A599AD8B66D3}"/>
    <hyperlink ref="A14" location="'4.1-11'!A1" display="CUADRO 4.1-11: NÚMERO DE INSCRIPCIONES EN EL REGISTRO PÚBLICO DE TIERRAS INDÍGENAS EMITIDOS, SEGÚN REGISTRO PÚBLICO Y REGIÓN. 2009-2013" xr:uid="{0753A8F5-FD98-4F7D-A37B-FA2826FA12A7}"/>
  </hyperlinks>
  <pageMargins left="0.7" right="0.7" top="0.75" bottom="0.75" header="0.3" footer="0.3"/>
  <pageSetup paperSize="14" orientation="landscape" r:id="rId1"/>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BD49C-99D8-4FA5-881A-9A1A336303AD}">
  <sheetPr codeName="Hoja292"/>
  <dimension ref="A1:F28"/>
  <sheetViews>
    <sheetView workbookViewId="0"/>
  </sheetViews>
  <sheetFormatPr baseColWidth="10" defaultRowHeight="13.2" x14ac:dyDescent="0.25"/>
  <cols>
    <col min="1" max="1" width="22.109375" customWidth="1"/>
    <col min="2" max="2" width="12.5546875" customWidth="1"/>
    <col min="3" max="3" width="12.44140625" customWidth="1"/>
    <col min="4" max="4" width="10.88671875" customWidth="1"/>
    <col min="5" max="5" width="43.33203125" customWidth="1"/>
  </cols>
  <sheetData>
    <row r="1" spans="1:6" s="2" customFormat="1" ht="10.199999999999999" x14ac:dyDescent="0.2">
      <c r="A1" s="24"/>
    </row>
    <row r="2" spans="1:6" s="24" customFormat="1" ht="31.5" customHeight="1" x14ac:dyDescent="0.2">
      <c r="A2" s="234" t="s">
        <v>3368</v>
      </c>
      <c r="B2" s="234"/>
      <c r="C2" s="234"/>
      <c r="D2" s="234"/>
      <c r="E2" s="234"/>
    </row>
    <row r="3" spans="1:6" ht="13.5" customHeight="1" x14ac:dyDescent="0.25">
      <c r="A3" s="662"/>
      <c r="B3" s="662"/>
      <c r="C3" s="662"/>
      <c r="D3" s="662"/>
      <c r="E3" s="324"/>
    </row>
    <row r="4" spans="1:6" ht="23.25" customHeight="1" x14ac:dyDescent="0.25">
      <c r="A4" s="323" t="s">
        <v>0</v>
      </c>
      <c r="B4" s="275" t="s">
        <v>42</v>
      </c>
      <c r="C4" s="1187" t="s">
        <v>3379</v>
      </c>
      <c r="D4" s="1189"/>
      <c r="E4" s="298" t="s">
        <v>3380</v>
      </c>
      <c r="F4" s="324"/>
    </row>
    <row r="5" spans="1:6" ht="23.25" customHeight="1" x14ac:dyDescent="0.25">
      <c r="A5" s="323"/>
      <c r="B5" s="277"/>
      <c r="C5" s="644" t="s">
        <v>3381</v>
      </c>
      <c r="D5" s="644" t="s">
        <v>3382</v>
      </c>
      <c r="E5" s="298"/>
      <c r="F5" s="324"/>
    </row>
    <row r="6" spans="1:6" x14ac:dyDescent="0.25">
      <c r="A6" s="1533" t="s">
        <v>1127</v>
      </c>
      <c r="B6" s="1534">
        <f t="shared" ref="B6:B22" si="0">SUM(C6:D6)</f>
        <v>105070</v>
      </c>
      <c r="C6" s="683">
        <f>SUM(C7:C22)</f>
        <v>46036</v>
      </c>
      <c r="D6" s="683">
        <f>SUM(D7:D22)</f>
        <v>59034</v>
      </c>
      <c r="E6" s="744"/>
      <c r="F6" s="324"/>
    </row>
    <row r="7" spans="1:6" x14ac:dyDescent="0.25">
      <c r="A7" s="1535" t="s">
        <v>4</v>
      </c>
      <c r="B7" s="1534">
        <f t="shared" si="0"/>
        <v>3436</v>
      </c>
      <c r="C7" s="851">
        <v>1652</v>
      </c>
      <c r="D7" s="851">
        <v>1784</v>
      </c>
      <c r="E7" s="1514" t="s">
        <v>3383</v>
      </c>
      <c r="F7" s="324"/>
    </row>
    <row r="8" spans="1:6" x14ac:dyDescent="0.25">
      <c r="A8" s="1535" t="s">
        <v>5</v>
      </c>
      <c r="B8" s="1534">
        <f t="shared" si="0"/>
        <v>4183</v>
      </c>
      <c r="C8" s="851">
        <v>2019</v>
      </c>
      <c r="D8" s="851">
        <v>2164</v>
      </c>
      <c r="E8" s="1514" t="s">
        <v>3384</v>
      </c>
      <c r="F8" s="324"/>
    </row>
    <row r="9" spans="1:6" x14ac:dyDescent="0.25">
      <c r="A9" s="1535" t="s">
        <v>6</v>
      </c>
      <c r="B9" s="1534">
        <f t="shared" si="0"/>
        <v>2689</v>
      </c>
      <c r="C9" s="851">
        <v>1300</v>
      </c>
      <c r="D9" s="851">
        <v>1389</v>
      </c>
      <c r="E9" s="1514" t="s">
        <v>3385</v>
      </c>
      <c r="F9" s="324"/>
    </row>
    <row r="10" spans="1:6" x14ac:dyDescent="0.25">
      <c r="A10" s="1535" t="s">
        <v>7</v>
      </c>
      <c r="B10" s="1534">
        <f t="shared" si="0"/>
        <v>2484</v>
      </c>
      <c r="C10" s="851">
        <v>1131</v>
      </c>
      <c r="D10" s="851">
        <v>1353</v>
      </c>
      <c r="E10" s="1514" t="s">
        <v>3386</v>
      </c>
      <c r="F10" s="324"/>
    </row>
    <row r="11" spans="1:6" x14ac:dyDescent="0.25">
      <c r="A11" s="1535" t="s">
        <v>8</v>
      </c>
      <c r="B11" s="1534">
        <f t="shared" si="0"/>
        <v>2092</v>
      </c>
      <c r="C11" s="851">
        <v>926</v>
      </c>
      <c r="D11" s="851">
        <v>1166</v>
      </c>
      <c r="E11" s="1514" t="s">
        <v>3387</v>
      </c>
      <c r="F11" s="324"/>
    </row>
    <row r="12" spans="1:6" x14ac:dyDescent="0.25">
      <c r="A12" s="284" t="s">
        <v>3388</v>
      </c>
      <c r="B12" s="1534">
        <f t="shared" si="0"/>
        <v>4979</v>
      </c>
      <c r="C12" s="851">
        <v>2145</v>
      </c>
      <c r="D12" s="851">
        <v>2834</v>
      </c>
      <c r="E12" s="1514" t="s">
        <v>3387</v>
      </c>
      <c r="F12" s="324"/>
    </row>
    <row r="13" spans="1:6" ht="14.25" customHeight="1" x14ac:dyDescent="0.25">
      <c r="A13" s="284" t="s">
        <v>3389</v>
      </c>
      <c r="B13" s="1534">
        <f t="shared" si="0"/>
        <v>466</v>
      </c>
      <c r="C13" s="851">
        <v>251</v>
      </c>
      <c r="D13" s="851">
        <v>215</v>
      </c>
      <c r="E13" s="1514" t="s">
        <v>3390</v>
      </c>
      <c r="F13" s="324"/>
    </row>
    <row r="14" spans="1:6" x14ac:dyDescent="0.25">
      <c r="A14" s="1535" t="s">
        <v>10</v>
      </c>
      <c r="B14" s="1534">
        <f t="shared" si="0"/>
        <v>24881</v>
      </c>
      <c r="C14" s="851">
        <v>10372</v>
      </c>
      <c r="D14" s="851">
        <v>14509</v>
      </c>
      <c r="E14" s="1514" t="s">
        <v>3387</v>
      </c>
      <c r="F14" s="324"/>
    </row>
    <row r="15" spans="1:6" x14ac:dyDescent="0.25">
      <c r="A15" s="1535" t="s">
        <v>134</v>
      </c>
      <c r="B15" s="1534">
        <f t="shared" si="0"/>
        <v>2563</v>
      </c>
      <c r="C15" s="851">
        <v>1125</v>
      </c>
      <c r="D15" s="851">
        <v>1438</v>
      </c>
      <c r="E15" s="1514" t="s">
        <v>3387</v>
      </c>
      <c r="F15" s="324"/>
    </row>
    <row r="16" spans="1:6" x14ac:dyDescent="0.25">
      <c r="A16" s="1535" t="s">
        <v>12</v>
      </c>
      <c r="B16" s="1534">
        <f t="shared" si="0"/>
        <v>2465</v>
      </c>
      <c r="C16" s="851">
        <v>1089</v>
      </c>
      <c r="D16" s="851">
        <v>1376</v>
      </c>
      <c r="E16" s="1514" t="s">
        <v>3391</v>
      </c>
      <c r="F16" s="324"/>
    </row>
    <row r="17" spans="1:6" x14ac:dyDescent="0.25">
      <c r="A17" s="1535" t="s">
        <v>13</v>
      </c>
      <c r="B17" s="1534">
        <f t="shared" si="0"/>
        <v>10303</v>
      </c>
      <c r="C17" s="851">
        <v>4726</v>
      </c>
      <c r="D17" s="851">
        <v>5577</v>
      </c>
      <c r="E17" s="1514" t="s">
        <v>3391</v>
      </c>
      <c r="F17" s="324"/>
    </row>
    <row r="18" spans="1:6" x14ac:dyDescent="0.25">
      <c r="A18" s="1535" t="s">
        <v>47</v>
      </c>
      <c r="B18" s="1534">
        <f t="shared" si="0"/>
        <v>12984</v>
      </c>
      <c r="C18" s="851">
        <v>5804</v>
      </c>
      <c r="D18" s="851">
        <v>7180</v>
      </c>
      <c r="E18" s="1514" t="s">
        <v>3392</v>
      </c>
      <c r="F18" s="324"/>
    </row>
    <row r="19" spans="1:6" x14ac:dyDescent="0.25">
      <c r="A19" s="1535" t="s">
        <v>135</v>
      </c>
      <c r="B19" s="1534">
        <f t="shared" si="0"/>
        <v>4481</v>
      </c>
      <c r="C19" s="851">
        <v>1921</v>
      </c>
      <c r="D19" s="851">
        <v>2560</v>
      </c>
      <c r="E19" s="1514" t="s">
        <v>3393</v>
      </c>
      <c r="F19" s="324"/>
    </row>
    <row r="20" spans="1:6" x14ac:dyDescent="0.25">
      <c r="A20" s="1535" t="s">
        <v>136</v>
      </c>
      <c r="B20" s="1534">
        <f t="shared" si="0"/>
        <v>21791</v>
      </c>
      <c r="C20" s="851">
        <v>9132</v>
      </c>
      <c r="D20" s="851">
        <v>12659</v>
      </c>
      <c r="E20" s="1514" t="s">
        <v>3394</v>
      </c>
      <c r="F20" s="324"/>
    </row>
    <row r="21" spans="1:6" x14ac:dyDescent="0.25">
      <c r="A21" s="1535" t="s">
        <v>17</v>
      </c>
      <c r="B21" s="1534">
        <f t="shared" si="0"/>
        <v>2807</v>
      </c>
      <c r="C21" s="851">
        <v>1207</v>
      </c>
      <c r="D21" s="851">
        <v>1600</v>
      </c>
      <c r="E21" s="1514" t="s">
        <v>3395</v>
      </c>
      <c r="F21" s="324"/>
    </row>
    <row r="22" spans="1:6" x14ac:dyDescent="0.25">
      <c r="A22" s="1535" t="s">
        <v>18</v>
      </c>
      <c r="B22" s="1534">
        <f t="shared" si="0"/>
        <v>2466</v>
      </c>
      <c r="C22" s="851">
        <v>1236</v>
      </c>
      <c r="D22" s="851">
        <v>1230</v>
      </c>
      <c r="E22" s="1514" t="s">
        <v>3396</v>
      </c>
      <c r="F22" s="324"/>
    </row>
    <row r="23" spans="1:6" ht="12.75" customHeight="1" x14ac:dyDescent="0.25">
      <c r="A23" s="1535"/>
      <c r="B23" s="851"/>
      <c r="C23" s="851"/>
      <c r="D23" s="1514"/>
      <c r="E23" s="324"/>
    </row>
    <row r="24" spans="1:6" ht="13.5" customHeight="1" x14ac:dyDescent="0.25">
      <c r="A24" s="703" t="s">
        <v>3397</v>
      </c>
      <c r="B24" s="703"/>
      <c r="C24" s="703"/>
      <c r="D24" s="703"/>
      <c r="E24" s="324"/>
    </row>
    <row r="25" spans="1:6" ht="13.5" customHeight="1" x14ac:dyDescent="0.25">
      <c r="A25" s="703" t="s">
        <v>3398</v>
      </c>
      <c r="B25" s="703"/>
      <c r="C25" s="703"/>
      <c r="D25" s="703"/>
      <c r="E25" s="324"/>
    </row>
    <row r="26" spans="1:6" x14ac:dyDescent="0.25">
      <c r="A26" s="697" t="s">
        <v>3399</v>
      </c>
      <c r="B26" s="697"/>
      <c r="C26" s="697"/>
      <c r="D26" s="697"/>
      <c r="E26" s="324"/>
    </row>
    <row r="27" spans="1:6" x14ac:dyDescent="0.25">
      <c r="A27" s="744"/>
      <c r="B27" s="744"/>
      <c r="C27" s="744"/>
      <c r="D27" s="744"/>
      <c r="E27" s="324"/>
    </row>
    <row r="28" spans="1:6" x14ac:dyDescent="0.25">
      <c r="A28" s="744"/>
      <c r="B28" s="744"/>
      <c r="C28" s="744"/>
      <c r="D28" s="744"/>
      <c r="E28" s="324"/>
    </row>
  </sheetData>
  <mergeCells count="8">
    <mergeCell ref="A25:D25"/>
    <mergeCell ref="A26:D26"/>
    <mergeCell ref="A2:E2"/>
    <mergeCell ref="A4:A5"/>
    <mergeCell ref="B4:B5"/>
    <mergeCell ref="C4:D4"/>
    <mergeCell ref="E4:E5"/>
    <mergeCell ref="A24:D24"/>
  </mergeCells>
  <pageMargins left="0.7" right="0.7" top="0.75" bottom="0.75" header="0.3" footer="0.3"/>
  <pageSetup paperSize="14" orientation="landscape" r:id="rId1"/>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DADF0-3826-4842-BF3C-EA68D99D6C18}">
  <sheetPr codeName="Hoja293"/>
  <dimension ref="A2:E17"/>
  <sheetViews>
    <sheetView workbookViewId="0">
      <selection activeCell="A2" sqref="A2"/>
    </sheetView>
  </sheetViews>
  <sheetFormatPr baseColWidth="10" defaultRowHeight="13.2" x14ac:dyDescent="0.25"/>
  <cols>
    <col min="1" max="1" width="20.5546875" customWidth="1"/>
  </cols>
  <sheetData>
    <row r="2" spans="1:5" ht="36.75" customHeight="1" x14ac:dyDescent="0.25">
      <c r="A2" s="234" t="s">
        <v>3369</v>
      </c>
      <c r="B2" s="234"/>
      <c r="C2" s="234"/>
      <c r="D2" s="234"/>
      <c r="E2" s="234"/>
    </row>
    <row r="3" spans="1:5" ht="12" customHeight="1" x14ac:dyDescent="0.25">
      <c r="A3" s="1536"/>
      <c r="B3" s="1536"/>
      <c r="C3" s="1536"/>
      <c r="D3" s="1536"/>
      <c r="E3" s="1536"/>
    </row>
    <row r="4" spans="1:5" ht="12.75" customHeight="1" x14ac:dyDescent="0.25">
      <c r="A4" s="1537" t="s">
        <v>3400</v>
      </c>
      <c r="B4" s="323">
        <v>2012</v>
      </c>
      <c r="C4" s="323"/>
      <c r="D4" s="323">
        <v>2013</v>
      </c>
      <c r="E4" s="323"/>
    </row>
    <row r="5" spans="1:5" ht="20.399999999999999" x14ac:dyDescent="0.25">
      <c r="A5" s="1537"/>
      <c r="B5" s="1538" t="s">
        <v>3401</v>
      </c>
      <c r="C5" s="1538" t="s">
        <v>801</v>
      </c>
      <c r="D5" s="1538" t="s">
        <v>3401</v>
      </c>
      <c r="E5" s="1538" t="s">
        <v>801</v>
      </c>
    </row>
    <row r="6" spans="1:5" x14ac:dyDescent="0.25">
      <c r="A6" s="1539" t="s">
        <v>1334</v>
      </c>
      <c r="B6" s="1540">
        <f>SUM(B7:B15)</f>
        <v>84256</v>
      </c>
      <c r="C6" s="1541">
        <f>SUM(C7:C15)</f>
        <v>1</v>
      </c>
      <c r="D6" s="1540">
        <f>SUM(D7:D15)</f>
        <v>105070</v>
      </c>
      <c r="E6" s="1541">
        <f>SUM(E7:E15)</f>
        <v>0.99999999999999989</v>
      </c>
    </row>
    <row r="7" spans="1:5" x14ac:dyDescent="0.25">
      <c r="A7" s="1542" t="s">
        <v>3402</v>
      </c>
      <c r="B7" s="1543">
        <v>70810</v>
      </c>
      <c r="C7" s="1544">
        <f t="shared" ref="C7:C15" si="0">+B7/$B$6</f>
        <v>0.84041492593999245</v>
      </c>
      <c r="D7" s="324">
        <v>90544</v>
      </c>
      <c r="E7" s="1544">
        <f t="shared" ref="E7:E15" si="1">+D7/$D$6</f>
        <v>0.86174930998382027</v>
      </c>
    </row>
    <row r="8" spans="1:5" x14ac:dyDescent="0.25">
      <c r="A8" s="1545" t="s">
        <v>2743</v>
      </c>
      <c r="B8" s="1546">
        <v>6865</v>
      </c>
      <c r="C8" s="1544">
        <f t="shared" si="0"/>
        <v>8.1477876946448924E-2</v>
      </c>
      <c r="D8" s="324">
        <v>6553</v>
      </c>
      <c r="E8" s="1544">
        <f t="shared" si="1"/>
        <v>6.2367945179404208E-2</v>
      </c>
    </row>
    <row r="9" spans="1:5" x14ac:dyDescent="0.25">
      <c r="A9" s="1545" t="s">
        <v>1449</v>
      </c>
      <c r="B9" s="1546">
        <v>381</v>
      </c>
      <c r="C9" s="1544">
        <f t="shared" si="0"/>
        <v>4.5219331560957081E-3</v>
      </c>
      <c r="D9" s="324">
        <v>535</v>
      </c>
      <c r="E9" s="1544">
        <f t="shared" si="1"/>
        <v>5.0918435328828398E-3</v>
      </c>
    </row>
    <row r="10" spans="1:5" x14ac:dyDescent="0.25">
      <c r="A10" s="1545" t="s">
        <v>3403</v>
      </c>
      <c r="B10" s="1546">
        <v>1159</v>
      </c>
      <c r="C10" s="1544">
        <f t="shared" si="0"/>
        <v>1.3755696923661223E-2</v>
      </c>
      <c r="D10" s="324">
        <v>1549</v>
      </c>
      <c r="E10" s="1544">
        <f t="shared" si="1"/>
        <v>1.4742552583991625E-2</v>
      </c>
    </row>
    <row r="11" spans="1:5" x14ac:dyDescent="0.25">
      <c r="A11" s="1545" t="s">
        <v>3404</v>
      </c>
      <c r="B11" s="1546">
        <v>524</v>
      </c>
      <c r="C11" s="1544">
        <f t="shared" si="0"/>
        <v>6.2191416635017094E-3</v>
      </c>
      <c r="D11" s="324">
        <v>643</v>
      </c>
      <c r="E11" s="1544">
        <f t="shared" si="1"/>
        <v>6.1197297040068528E-3</v>
      </c>
    </row>
    <row r="12" spans="1:5" x14ac:dyDescent="0.25">
      <c r="A12" s="1545" t="s">
        <v>3405</v>
      </c>
      <c r="B12" s="1546">
        <v>679</v>
      </c>
      <c r="C12" s="1544">
        <f t="shared" si="0"/>
        <v>8.0587732624382829E-3</v>
      </c>
      <c r="D12" s="324">
        <v>838</v>
      </c>
      <c r="E12" s="1544">
        <f t="shared" si="1"/>
        <v>7.9756352907585423E-3</v>
      </c>
    </row>
    <row r="13" spans="1:5" x14ac:dyDescent="0.25">
      <c r="A13" s="1545" t="s">
        <v>3406</v>
      </c>
      <c r="B13" s="1546">
        <v>3787</v>
      </c>
      <c r="C13" s="1544">
        <f t="shared" si="0"/>
        <v>4.4946353968856816E-2</v>
      </c>
      <c r="D13" s="324">
        <v>4366</v>
      </c>
      <c r="E13" s="1544">
        <f t="shared" si="1"/>
        <v>4.1553250214142953E-2</v>
      </c>
    </row>
    <row r="14" spans="1:5" x14ac:dyDescent="0.25">
      <c r="A14" s="1545" t="s">
        <v>3407</v>
      </c>
      <c r="B14" s="1546">
        <v>31</v>
      </c>
      <c r="C14" s="1544">
        <f t="shared" si="0"/>
        <v>3.6792631978731487E-4</v>
      </c>
      <c r="D14" s="1034">
        <v>30</v>
      </c>
      <c r="E14" s="1544">
        <f t="shared" si="1"/>
        <v>2.8552393642333681E-4</v>
      </c>
    </row>
    <row r="15" spans="1:5" x14ac:dyDescent="0.25">
      <c r="A15" s="1545" t="s">
        <v>3408</v>
      </c>
      <c r="B15" s="1546">
        <v>20</v>
      </c>
      <c r="C15" s="1544">
        <f t="shared" si="0"/>
        <v>2.3737181921762248E-4</v>
      </c>
      <c r="D15" s="1034">
        <v>12</v>
      </c>
      <c r="E15" s="1544">
        <f t="shared" si="1"/>
        <v>1.1420957456933473E-4</v>
      </c>
    </row>
    <row r="16" spans="1:5" ht="7.5" customHeight="1" x14ac:dyDescent="0.25">
      <c r="A16" s="1545"/>
      <c r="B16" s="1546"/>
      <c r="C16" s="1544"/>
      <c r="D16" s="1034"/>
      <c r="E16" s="1544"/>
    </row>
    <row r="17" spans="1:5" ht="12.75" customHeight="1" x14ac:dyDescent="0.25">
      <c r="A17" s="704" t="s">
        <v>3399</v>
      </c>
      <c r="B17" s="704"/>
      <c r="C17" s="704"/>
      <c r="D17" s="704"/>
      <c r="E17" s="704"/>
    </row>
  </sheetData>
  <mergeCells count="5">
    <mergeCell ref="A2:E2"/>
    <mergeCell ref="A4:A5"/>
    <mergeCell ref="B4:C4"/>
    <mergeCell ref="D4:E4"/>
    <mergeCell ref="A17:E17"/>
  </mergeCells>
  <pageMargins left="0.7" right="0.7" top="0.75" bottom="0.75" header="0.3" footer="0.3"/>
  <pageSetup paperSize="14" orientation="landscape" r:id="rId1"/>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3A92B-A12C-4A13-87D0-C62B4D44D2FC}">
  <sheetPr codeName="Hoja294"/>
  <dimension ref="A2:AE79"/>
  <sheetViews>
    <sheetView topLeftCell="A40" zoomScaleNormal="100" workbookViewId="0">
      <selection activeCell="A2" sqref="A2"/>
    </sheetView>
  </sheetViews>
  <sheetFormatPr baseColWidth="10" defaultColWidth="11.44140625" defaultRowHeight="10.199999999999999" x14ac:dyDescent="0.2"/>
  <cols>
    <col min="1" max="1" width="22.109375" style="2" customWidth="1"/>
    <col min="2" max="2" width="16.5546875" style="2" customWidth="1"/>
    <col min="3" max="3" width="15.88671875" style="2" bestFit="1" customWidth="1"/>
    <col min="4" max="4" width="15.5546875" style="2" customWidth="1"/>
    <col min="5" max="16" width="15.88671875" style="2" bestFit="1" customWidth="1"/>
    <col min="17" max="31" width="11.5546875" style="2" bestFit="1" customWidth="1"/>
    <col min="32" max="16384" width="11.44140625" style="2"/>
  </cols>
  <sheetData>
    <row r="2" spans="1:21" x14ac:dyDescent="0.2">
      <c r="A2" s="337" t="s">
        <v>3370</v>
      </c>
    </row>
    <row r="3" spans="1:21" x14ac:dyDescent="0.2">
      <c r="A3" s="1547"/>
      <c r="B3" s="324"/>
      <c r="C3" s="324"/>
      <c r="D3" s="324"/>
      <c r="E3" s="324"/>
      <c r="F3" s="324"/>
      <c r="G3" s="324"/>
      <c r="H3" s="324"/>
      <c r="I3" s="692"/>
      <c r="J3" s="324"/>
      <c r="K3" s="324"/>
      <c r="L3" s="324"/>
      <c r="M3" s="324"/>
      <c r="N3" s="324"/>
      <c r="O3" s="324"/>
      <c r="P3" s="324"/>
      <c r="Q3" s="324"/>
      <c r="R3" s="324"/>
      <c r="S3" s="324"/>
      <c r="T3" s="324"/>
      <c r="U3" s="324"/>
    </row>
    <row r="4" spans="1:21" ht="12.75" customHeight="1" x14ac:dyDescent="0.2">
      <c r="A4" s="275" t="s">
        <v>0</v>
      </c>
      <c r="B4" s="323">
        <v>2009</v>
      </c>
      <c r="C4" s="323"/>
      <c r="D4" s="323"/>
      <c r="E4" s="323"/>
      <c r="F4" s="323"/>
      <c r="G4" s="323"/>
      <c r="H4" s="323"/>
      <c r="I4" s="323"/>
      <c r="J4" s="323"/>
      <c r="K4" s="323"/>
      <c r="L4" s="323">
        <v>2010</v>
      </c>
      <c r="M4" s="323"/>
      <c r="N4" s="323"/>
      <c r="O4" s="323"/>
      <c r="P4" s="323"/>
      <c r="Q4" s="323"/>
      <c r="R4" s="323"/>
      <c r="S4" s="323"/>
      <c r="T4" s="323"/>
      <c r="U4" s="323"/>
    </row>
    <row r="5" spans="1:21" x14ac:dyDescent="0.2">
      <c r="A5" s="1179"/>
      <c r="B5" s="298" t="s">
        <v>3409</v>
      </c>
      <c r="C5" s="298" t="s">
        <v>3410</v>
      </c>
      <c r="D5" s="298"/>
      <c r="E5" s="298"/>
      <c r="F5" s="298" t="s">
        <v>3411</v>
      </c>
      <c r="G5" s="298"/>
      <c r="H5" s="298"/>
      <c r="I5" s="298" t="s">
        <v>3412</v>
      </c>
      <c r="J5" s="298"/>
      <c r="K5" s="298"/>
      <c r="L5" s="298" t="s">
        <v>3413</v>
      </c>
      <c r="M5" s="298" t="s">
        <v>3410</v>
      </c>
      <c r="N5" s="298"/>
      <c r="O5" s="298"/>
      <c r="P5" s="298" t="s">
        <v>3411</v>
      </c>
      <c r="Q5" s="298"/>
      <c r="R5" s="298"/>
      <c r="S5" s="298" t="s">
        <v>3412</v>
      </c>
      <c r="T5" s="298"/>
      <c r="U5" s="298"/>
    </row>
    <row r="6" spans="1:21" x14ac:dyDescent="0.2">
      <c r="A6" s="1179"/>
      <c r="B6" s="298"/>
      <c r="C6" s="323" t="s">
        <v>3414</v>
      </c>
      <c r="D6" s="323"/>
      <c r="E6" s="323"/>
      <c r="F6" s="323" t="s">
        <v>3414</v>
      </c>
      <c r="G6" s="323"/>
      <c r="H6" s="323"/>
      <c r="I6" s="323" t="s">
        <v>3414</v>
      </c>
      <c r="J6" s="323"/>
      <c r="K6" s="323"/>
      <c r="L6" s="298"/>
      <c r="M6" s="323" t="s">
        <v>3414</v>
      </c>
      <c r="N6" s="323"/>
      <c r="O6" s="323"/>
      <c r="P6" s="323" t="s">
        <v>3414</v>
      </c>
      <c r="Q6" s="323"/>
      <c r="R6" s="323"/>
      <c r="S6" s="323" t="s">
        <v>3414</v>
      </c>
      <c r="T6" s="323"/>
      <c r="U6" s="323"/>
    </row>
    <row r="7" spans="1:21" x14ac:dyDescent="0.2">
      <c r="A7" s="277"/>
      <c r="B7" s="298"/>
      <c r="C7" s="773" t="s">
        <v>42</v>
      </c>
      <c r="D7" s="773" t="s">
        <v>122</v>
      </c>
      <c r="E7" s="773" t="s">
        <v>123</v>
      </c>
      <c r="F7" s="773" t="s">
        <v>42</v>
      </c>
      <c r="G7" s="773" t="s">
        <v>122</v>
      </c>
      <c r="H7" s="773" t="s">
        <v>123</v>
      </c>
      <c r="I7" s="773" t="s">
        <v>42</v>
      </c>
      <c r="J7" s="773" t="s">
        <v>122</v>
      </c>
      <c r="K7" s="773" t="s">
        <v>123</v>
      </c>
      <c r="L7" s="298"/>
      <c r="M7" s="773" t="s">
        <v>42</v>
      </c>
      <c r="N7" s="773" t="s">
        <v>122</v>
      </c>
      <c r="O7" s="773" t="s">
        <v>123</v>
      </c>
      <c r="P7" s="773" t="s">
        <v>42</v>
      </c>
      <c r="Q7" s="773" t="s">
        <v>122</v>
      </c>
      <c r="R7" s="773" t="s">
        <v>123</v>
      </c>
      <c r="S7" s="773" t="s">
        <v>42</v>
      </c>
      <c r="T7" s="773" t="s">
        <v>122</v>
      </c>
      <c r="U7" s="773" t="s">
        <v>123</v>
      </c>
    </row>
    <row r="8" spans="1:21" x14ac:dyDescent="0.2">
      <c r="A8" s="337" t="s">
        <v>3</v>
      </c>
      <c r="B8" s="1548">
        <f t="shared" ref="B8:B23" si="0">+C8+F8+I8</f>
        <v>43640</v>
      </c>
      <c r="C8" s="1548">
        <f t="shared" ref="C8:C23" si="1">+D8+E8</f>
        <v>18148</v>
      </c>
      <c r="D8" s="1548">
        <f>SUM(D9:D23)</f>
        <v>8140</v>
      </c>
      <c r="E8" s="1548">
        <f>SUM(E9:E23)</f>
        <v>10008</v>
      </c>
      <c r="F8" s="1548">
        <f t="shared" ref="F8:F23" si="2">+G8+H8</f>
        <v>17370</v>
      </c>
      <c r="G8" s="1548">
        <f>SUM(G9:G23)</f>
        <v>7265</v>
      </c>
      <c r="H8" s="1548">
        <f>SUM(H9:H23)</f>
        <v>10105</v>
      </c>
      <c r="I8" s="1548">
        <f t="shared" ref="I8:I23" si="3">+J8+K8</f>
        <v>8122</v>
      </c>
      <c r="J8" s="1548">
        <f>SUM(J9:J23)</f>
        <v>3061</v>
      </c>
      <c r="K8" s="1548">
        <f>SUM(K9:K23)</f>
        <v>5061</v>
      </c>
      <c r="L8" s="1548">
        <f t="shared" ref="L8:L23" si="4">+M8+P8+S8</f>
        <v>48158</v>
      </c>
      <c r="M8" s="1548">
        <f t="shared" ref="M8:M23" si="5">+N8+O8</f>
        <v>20712</v>
      </c>
      <c r="N8" s="1548">
        <f>SUM(N9:N23)</f>
        <v>9235</v>
      </c>
      <c r="O8" s="1548">
        <f>SUM(O9:O23)</f>
        <v>11477</v>
      </c>
      <c r="P8" s="1548">
        <f t="shared" ref="P8:P23" si="6">+Q8+R8</f>
        <v>19224</v>
      </c>
      <c r="Q8" s="1548">
        <f>SUM(Q9:Q23)</f>
        <v>8235</v>
      </c>
      <c r="R8" s="1548">
        <f>SUM(R9:R23)</f>
        <v>10989</v>
      </c>
      <c r="S8" s="1548">
        <f t="shared" ref="S8:S23" si="7">+T8+U8</f>
        <v>8222</v>
      </c>
      <c r="T8" s="1548">
        <f>SUM(T9:T23)</f>
        <v>3022</v>
      </c>
      <c r="U8" s="1548">
        <f>SUM(U9:U23)</f>
        <v>5200</v>
      </c>
    </row>
    <row r="9" spans="1:21" x14ac:dyDescent="0.2">
      <c r="A9" s="1549" t="s">
        <v>4</v>
      </c>
      <c r="B9" s="1034">
        <f t="shared" si="0"/>
        <v>2256</v>
      </c>
      <c r="C9" s="1034">
        <f t="shared" si="1"/>
        <v>916</v>
      </c>
      <c r="D9" s="1034">
        <v>415</v>
      </c>
      <c r="E9" s="1034">
        <v>501</v>
      </c>
      <c r="F9" s="1034">
        <f t="shared" si="2"/>
        <v>830</v>
      </c>
      <c r="G9" s="1034">
        <v>366</v>
      </c>
      <c r="H9" s="1034">
        <v>464</v>
      </c>
      <c r="I9" s="1034">
        <f t="shared" si="3"/>
        <v>510</v>
      </c>
      <c r="J9" s="1034">
        <v>186</v>
      </c>
      <c r="K9" s="1034">
        <v>324</v>
      </c>
      <c r="L9" s="1034">
        <f t="shared" si="4"/>
        <v>2467</v>
      </c>
      <c r="M9" s="1034">
        <f t="shared" si="5"/>
        <v>1031</v>
      </c>
      <c r="N9" s="1034">
        <v>468</v>
      </c>
      <c r="O9" s="1034">
        <v>563</v>
      </c>
      <c r="P9" s="1034">
        <f t="shared" si="6"/>
        <v>923</v>
      </c>
      <c r="Q9" s="1034">
        <v>398</v>
      </c>
      <c r="R9" s="1034">
        <v>525</v>
      </c>
      <c r="S9" s="1034">
        <f t="shared" si="7"/>
        <v>513</v>
      </c>
      <c r="T9" s="1034">
        <v>166</v>
      </c>
      <c r="U9" s="1034">
        <v>347</v>
      </c>
    </row>
    <row r="10" spans="1:21" x14ac:dyDescent="0.2">
      <c r="A10" s="1549" t="s">
        <v>5</v>
      </c>
      <c r="B10" s="1034">
        <f t="shared" si="0"/>
        <v>1971</v>
      </c>
      <c r="C10" s="1034">
        <f t="shared" si="1"/>
        <v>887</v>
      </c>
      <c r="D10" s="1034">
        <v>433</v>
      </c>
      <c r="E10" s="1034">
        <v>454</v>
      </c>
      <c r="F10" s="1034">
        <f t="shared" si="2"/>
        <v>736</v>
      </c>
      <c r="G10" s="1034">
        <v>292</v>
      </c>
      <c r="H10" s="1034">
        <v>444</v>
      </c>
      <c r="I10" s="1034">
        <f t="shared" si="3"/>
        <v>348</v>
      </c>
      <c r="J10" s="1034">
        <v>135</v>
      </c>
      <c r="K10" s="1034">
        <v>213</v>
      </c>
      <c r="L10" s="1034">
        <f t="shared" si="4"/>
        <v>2164</v>
      </c>
      <c r="M10" s="1034">
        <f t="shared" si="5"/>
        <v>1003</v>
      </c>
      <c r="N10" s="1034">
        <v>467</v>
      </c>
      <c r="O10" s="1034">
        <v>536</v>
      </c>
      <c r="P10" s="1034">
        <f t="shared" si="6"/>
        <v>808</v>
      </c>
      <c r="Q10" s="1034">
        <v>361</v>
      </c>
      <c r="R10" s="1034">
        <v>447</v>
      </c>
      <c r="S10" s="1034">
        <f t="shared" si="7"/>
        <v>353</v>
      </c>
      <c r="T10" s="1034">
        <v>129</v>
      </c>
      <c r="U10" s="1034">
        <v>224</v>
      </c>
    </row>
    <row r="11" spans="1:21" x14ac:dyDescent="0.2">
      <c r="A11" s="1549" t="s">
        <v>6</v>
      </c>
      <c r="B11" s="1034">
        <f t="shared" si="0"/>
        <v>1256</v>
      </c>
      <c r="C11" s="1034">
        <f t="shared" si="1"/>
        <v>564</v>
      </c>
      <c r="D11" s="1034">
        <v>277</v>
      </c>
      <c r="E11" s="1034">
        <v>287</v>
      </c>
      <c r="F11" s="1034">
        <f t="shared" si="2"/>
        <v>462</v>
      </c>
      <c r="G11" s="1034">
        <v>205</v>
      </c>
      <c r="H11" s="1034">
        <v>257</v>
      </c>
      <c r="I11" s="1034">
        <f t="shared" si="3"/>
        <v>230</v>
      </c>
      <c r="J11" s="1034">
        <v>80</v>
      </c>
      <c r="K11" s="1034">
        <v>150</v>
      </c>
      <c r="L11" s="1034">
        <f t="shared" si="4"/>
        <v>1381</v>
      </c>
      <c r="M11" s="1034">
        <f t="shared" si="5"/>
        <v>641</v>
      </c>
      <c r="N11" s="1034">
        <v>307</v>
      </c>
      <c r="O11" s="1034">
        <v>334</v>
      </c>
      <c r="P11" s="1034">
        <f t="shared" si="6"/>
        <v>510</v>
      </c>
      <c r="Q11" s="1034">
        <v>228</v>
      </c>
      <c r="R11" s="1034">
        <v>282</v>
      </c>
      <c r="S11" s="1034">
        <f t="shared" si="7"/>
        <v>230</v>
      </c>
      <c r="T11" s="1034">
        <v>87</v>
      </c>
      <c r="U11" s="1034">
        <v>143</v>
      </c>
    </row>
    <row r="12" spans="1:21" x14ac:dyDescent="0.2">
      <c r="A12" s="1549" t="s">
        <v>7</v>
      </c>
      <c r="B12" s="1034">
        <f t="shared" si="0"/>
        <v>831</v>
      </c>
      <c r="C12" s="1034">
        <f t="shared" si="1"/>
        <v>307</v>
      </c>
      <c r="D12" s="1034">
        <v>139</v>
      </c>
      <c r="E12" s="1034">
        <v>168</v>
      </c>
      <c r="F12" s="1034">
        <f t="shared" si="2"/>
        <v>353</v>
      </c>
      <c r="G12" s="1034">
        <v>168</v>
      </c>
      <c r="H12" s="1034">
        <v>185</v>
      </c>
      <c r="I12" s="1034">
        <f t="shared" si="3"/>
        <v>171</v>
      </c>
      <c r="J12" s="1034">
        <v>66</v>
      </c>
      <c r="K12" s="1034">
        <v>105</v>
      </c>
      <c r="L12" s="1034">
        <f t="shared" si="4"/>
        <v>920</v>
      </c>
      <c r="M12" s="1034">
        <f t="shared" si="5"/>
        <v>351</v>
      </c>
      <c r="N12" s="1034">
        <v>155</v>
      </c>
      <c r="O12" s="1034">
        <v>196</v>
      </c>
      <c r="P12" s="1034">
        <f t="shared" si="6"/>
        <v>395</v>
      </c>
      <c r="Q12" s="1034">
        <v>170</v>
      </c>
      <c r="R12" s="1034">
        <v>225</v>
      </c>
      <c r="S12" s="1034">
        <f t="shared" si="7"/>
        <v>174</v>
      </c>
      <c r="T12" s="1034">
        <v>71</v>
      </c>
      <c r="U12" s="1034">
        <v>103</v>
      </c>
    </row>
    <row r="13" spans="1:21" x14ac:dyDescent="0.2">
      <c r="A13" s="1549" t="s">
        <v>8</v>
      </c>
      <c r="B13" s="1034">
        <f t="shared" si="0"/>
        <v>781</v>
      </c>
      <c r="C13" s="1034">
        <f t="shared" si="1"/>
        <v>233</v>
      </c>
      <c r="D13" s="1034">
        <v>107</v>
      </c>
      <c r="E13" s="1034">
        <v>126</v>
      </c>
      <c r="F13" s="1034">
        <f t="shared" si="2"/>
        <v>372</v>
      </c>
      <c r="G13" s="1034">
        <v>155</v>
      </c>
      <c r="H13" s="1034">
        <v>217</v>
      </c>
      <c r="I13" s="1034">
        <f t="shared" si="3"/>
        <v>176</v>
      </c>
      <c r="J13" s="1034">
        <v>66</v>
      </c>
      <c r="K13" s="1034">
        <v>110</v>
      </c>
      <c r="L13" s="1034">
        <f t="shared" si="4"/>
        <v>853</v>
      </c>
      <c r="M13" s="1034">
        <f t="shared" si="5"/>
        <v>262</v>
      </c>
      <c r="N13" s="1034">
        <v>103</v>
      </c>
      <c r="O13" s="1034">
        <v>159</v>
      </c>
      <c r="P13" s="1034">
        <f t="shared" si="6"/>
        <v>411</v>
      </c>
      <c r="Q13" s="1034">
        <v>165</v>
      </c>
      <c r="R13" s="1034">
        <v>246</v>
      </c>
      <c r="S13" s="1034">
        <f t="shared" si="7"/>
        <v>180</v>
      </c>
      <c r="T13" s="1034">
        <v>62</v>
      </c>
      <c r="U13" s="1034">
        <v>118</v>
      </c>
    </row>
    <row r="14" spans="1:21" x14ac:dyDescent="0.2">
      <c r="A14" s="1549" t="s">
        <v>9</v>
      </c>
      <c r="B14" s="1034">
        <f t="shared" si="0"/>
        <v>1460</v>
      </c>
      <c r="C14" s="1034">
        <f t="shared" si="1"/>
        <v>531</v>
      </c>
      <c r="D14" s="1034">
        <v>232</v>
      </c>
      <c r="E14" s="1034">
        <v>299</v>
      </c>
      <c r="F14" s="1034">
        <f t="shared" si="2"/>
        <v>592</v>
      </c>
      <c r="G14" s="1034">
        <v>263</v>
      </c>
      <c r="H14" s="1034">
        <v>329</v>
      </c>
      <c r="I14" s="1034">
        <f t="shared" si="3"/>
        <v>337</v>
      </c>
      <c r="J14" s="1034">
        <v>111</v>
      </c>
      <c r="K14" s="1034">
        <v>226</v>
      </c>
      <c r="L14" s="1034">
        <f t="shared" si="4"/>
        <v>1594</v>
      </c>
      <c r="M14" s="1034">
        <f t="shared" si="5"/>
        <v>606</v>
      </c>
      <c r="N14" s="1034">
        <v>268</v>
      </c>
      <c r="O14" s="1034">
        <v>338</v>
      </c>
      <c r="P14" s="1034">
        <f t="shared" si="6"/>
        <v>651</v>
      </c>
      <c r="Q14" s="1034">
        <v>285</v>
      </c>
      <c r="R14" s="1034">
        <v>366</v>
      </c>
      <c r="S14" s="1034">
        <f t="shared" si="7"/>
        <v>337</v>
      </c>
      <c r="T14" s="1034">
        <v>123</v>
      </c>
      <c r="U14" s="1034">
        <v>214</v>
      </c>
    </row>
    <row r="15" spans="1:21" x14ac:dyDescent="0.2">
      <c r="A15" s="1549" t="s">
        <v>10</v>
      </c>
      <c r="B15" s="1034">
        <f t="shared" si="0"/>
        <v>6727</v>
      </c>
      <c r="C15" s="1034">
        <f t="shared" si="1"/>
        <v>2503</v>
      </c>
      <c r="D15" s="1034">
        <v>1093</v>
      </c>
      <c r="E15" s="1034">
        <v>1410</v>
      </c>
      <c r="F15" s="1034">
        <f t="shared" si="2"/>
        <v>2692</v>
      </c>
      <c r="G15" s="1034">
        <v>1132</v>
      </c>
      <c r="H15" s="1034">
        <v>1560</v>
      </c>
      <c r="I15" s="1034">
        <f t="shared" si="3"/>
        <v>1532</v>
      </c>
      <c r="J15" s="1034">
        <v>534</v>
      </c>
      <c r="K15" s="1034">
        <v>998</v>
      </c>
      <c r="L15" s="1034">
        <f t="shared" si="4"/>
        <v>7492</v>
      </c>
      <c r="M15" s="1034">
        <f t="shared" si="5"/>
        <v>2899</v>
      </c>
      <c r="N15" s="1034">
        <v>1281</v>
      </c>
      <c r="O15" s="1034">
        <v>1618</v>
      </c>
      <c r="P15" s="1034">
        <f t="shared" si="6"/>
        <v>3018</v>
      </c>
      <c r="Q15" s="1034">
        <v>1263</v>
      </c>
      <c r="R15" s="1034">
        <v>1755</v>
      </c>
      <c r="S15" s="1034">
        <f t="shared" si="7"/>
        <v>1575</v>
      </c>
      <c r="T15" s="1034">
        <v>549</v>
      </c>
      <c r="U15" s="1034">
        <v>1026</v>
      </c>
    </row>
    <row r="16" spans="1:21" x14ac:dyDescent="0.2">
      <c r="A16" s="1549" t="s">
        <v>134</v>
      </c>
      <c r="B16" s="1034">
        <f t="shared" si="0"/>
        <v>1034</v>
      </c>
      <c r="C16" s="1034">
        <f t="shared" si="1"/>
        <v>374</v>
      </c>
      <c r="D16" s="1034">
        <v>163</v>
      </c>
      <c r="E16" s="1034">
        <v>211</v>
      </c>
      <c r="F16" s="1034">
        <f t="shared" si="2"/>
        <v>440</v>
      </c>
      <c r="G16" s="1034">
        <v>180</v>
      </c>
      <c r="H16" s="1034">
        <v>260</v>
      </c>
      <c r="I16" s="1034">
        <f t="shared" si="3"/>
        <v>220</v>
      </c>
      <c r="J16" s="1034">
        <v>81</v>
      </c>
      <c r="K16" s="1034">
        <v>139</v>
      </c>
      <c r="L16" s="1034">
        <f t="shared" si="4"/>
        <v>1123</v>
      </c>
      <c r="M16" s="1034">
        <f t="shared" si="5"/>
        <v>424</v>
      </c>
      <c r="N16" s="1034">
        <v>195</v>
      </c>
      <c r="O16" s="1034">
        <v>229</v>
      </c>
      <c r="P16" s="1034">
        <f t="shared" si="6"/>
        <v>479</v>
      </c>
      <c r="Q16" s="1034">
        <v>184</v>
      </c>
      <c r="R16" s="1034">
        <v>295</v>
      </c>
      <c r="S16" s="1034">
        <f t="shared" si="7"/>
        <v>220</v>
      </c>
      <c r="T16" s="1034">
        <v>82</v>
      </c>
      <c r="U16" s="1034">
        <v>138</v>
      </c>
    </row>
    <row r="17" spans="1:31" x14ac:dyDescent="0.2">
      <c r="A17" s="1549" t="s">
        <v>12</v>
      </c>
      <c r="B17" s="1034">
        <f t="shared" si="0"/>
        <v>1394</v>
      </c>
      <c r="C17" s="1034">
        <f t="shared" si="1"/>
        <v>483</v>
      </c>
      <c r="D17" s="1034">
        <v>220</v>
      </c>
      <c r="E17" s="1034">
        <v>263</v>
      </c>
      <c r="F17" s="1034">
        <f t="shared" si="2"/>
        <v>638</v>
      </c>
      <c r="G17" s="1034">
        <v>287</v>
      </c>
      <c r="H17" s="1034">
        <v>351</v>
      </c>
      <c r="I17" s="1034">
        <f t="shared" si="3"/>
        <v>273</v>
      </c>
      <c r="J17" s="1034">
        <v>112</v>
      </c>
      <c r="K17" s="1034">
        <v>161</v>
      </c>
      <c r="L17" s="1034">
        <f t="shared" si="4"/>
        <v>1517</v>
      </c>
      <c r="M17" s="1034">
        <f t="shared" si="5"/>
        <v>543</v>
      </c>
      <c r="N17" s="1034">
        <v>235</v>
      </c>
      <c r="O17" s="1034">
        <v>308</v>
      </c>
      <c r="P17" s="1034">
        <f t="shared" si="6"/>
        <v>699</v>
      </c>
      <c r="Q17" s="1034">
        <v>314</v>
      </c>
      <c r="R17" s="1034">
        <v>385</v>
      </c>
      <c r="S17" s="1034">
        <f t="shared" si="7"/>
        <v>275</v>
      </c>
      <c r="T17" s="1034">
        <v>106</v>
      </c>
      <c r="U17" s="1034">
        <v>169</v>
      </c>
    </row>
    <row r="18" spans="1:31" x14ac:dyDescent="0.2">
      <c r="A18" s="1549" t="s">
        <v>13</v>
      </c>
      <c r="B18" s="1034">
        <f t="shared" si="0"/>
        <v>3990</v>
      </c>
      <c r="C18" s="1034">
        <f t="shared" si="1"/>
        <v>1711</v>
      </c>
      <c r="D18" s="1034">
        <v>737</v>
      </c>
      <c r="E18" s="1034">
        <v>974</v>
      </c>
      <c r="F18" s="1034">
        <f t="shared" si="2"/>
        <v>1572</v>
      </c>
      <c r="G18" s="1034">
        <v>677</v>
      </c>
      <c r="H18" s="1034">
        <v>895</v>
      </c>
      <c r="I18" s="1034">
        <f t="shared" si="3"/>
        <v>707</v>
      </c>
      <c r="J18" s="1034">
        <v>277</v>
      </c>
      <c r="K18" s="1034">
        <v>430</v>
      </c>
      <c r="L18" s="1034">
        <f t="shared" si="4"/>
        <v>4423</v>
      </c>
      <c r="M18" s="1034">
        <f t="shared" si="5"/>
        <v>1959</v>
      </c>
      <c r="N18" s="1034">
        <v>848</v>
      </c>
      <c r="O18" s="1034">
        <v>1111</v>
      </c>
      <c r="P18" s="1034">
        <f t="shared" si="6"/>
        <v>1749</v>
      </c>
      <c r="Q18" s="1034">
        <v>766</v>
      </c>
      <c r="R18" s="1034">
        <v>983</v>
      </c>
      <c r="S18" s="1034">
        <f t="shared" si="7"/>
        <v>715</v>
      </c>
      <c r="T18" s="1034">
        <v>256</v>
      </c>
      <c r="U18" s="1034">
        <v>459</v>
      </c>
    </row>
    <row r="19" spans="1:31" x14ac:dyDescent="0.2">
      <c r="A19" s="1549" t="s">
        <v>47</v>
      </c>
      <c r="B19" s="1034">
        <f t="shared" si="0"/>
        <v>11901</v>
      </c>
      <c r="C19" s="1034">
        <f t="shared" si="1"/>
        <v>5239</v>
      </c>
      <c r="D19" s="1034">
        <v>2330</v>
      </c>
      <c r="E19" s="1034">
        <v>2909</v>
      </c>
      <c r="F19" s="1034">
        <f t="shared" si="2"/>
        <v>4689</v>
      </c>
      <c r="G19" s="1034">
        <v>1833</v>
      </c>
      <c r="H19" s="1034">
        <v>2856</v>
      </c>
      <c r="I19" s="1034">
        <f t="shared" si="3"/>
        <v>1973</v>
      </c>
      <c r="J19" s="1034">
        <v>784</v>
      </c>
      <c r="K19" s="1034">
        <v>1189</v>
      </c>
      <c r="L19" s="1034">
        <f t="shared" si="4"/>
        <v>13169</v>
      </c>
      <c r="M19" s="1034">
        <f t="shared" si="5"/>
        <v>5979</v>
      </c>
      <c r="N19" s="1034">
        <v>2685</v>
      </c>
      <c r="O19" s="1034">
        <v>3294</v>
      </c>
      <c r="P19" s="1034">
        <f t="shared" si="6"/>
        <v>5186</v>
      </c>
      <c r="Q19" s="1034">
        <v>2172</v>
      </c>
      <c r="R19" s="1034">
        <v>3014</v>
      </c>
      <c r="S19" s="1034">
        <f t="shared" si="7"/>
        <v>2004</v>
      </c>
      <c r="T19" s="1034">
        <v>755</v>
      </c>
      <c r="U19" s="1034">
        <v>1249</v>
      </c>
    </row>
    <row r="20" spans="1:31" x14ac:dyDescent="0.2">
      <c r="A20" s="1549" t="s">
        <v>135</v>
      </c>
      <c r="B20" s="1034">
        <f t="shared" si="0"/>
        <v>2515</v>
      </c>
      <c r="C20" s="1034">
        <f t="shared" si="1"/>
        <v>1055</v>
      </c>
      <c r="D20" s="1034">
        <v>478</v>
      </c>
      <c r="E20" s="1034">
        <v>577</v>
      </c>
      <c r="F20" s="1034">
        <f t="shared" si="2"/>
        <v>1009</v>
      </c>
      <c r="G20" s="1034">
        <v>422</v>
      </c>
      <c r="H20" s="1034">
        <v>587</v>
      </c>
      <c r="I20" s="1034">
        <f t="shared" si="3"/>
        <v>451</v>
      </c>
      <c r="J20" s="1034">
        <v>157</v>
      </c>
      <c r="K20" s="1034">
        <v>294</v>
      </c>
      <c r="L20" s="1034">
        <f t="shared" si="4"/>
        <v>2760</v>
      </c>
      <c r="M20" s="1034">
        <f t="shared" si="5"/>
        <v>1203</v>
      </c>
      <c r="N20" s="1034">
        <v>532</v>
      </c>
      <c r="O20" s="1034">
        <v>671</v>
      </c>
      <c r="P20" s="1034">
        <f t="shared" si="6"/>
        <v>1103</v>
      </c>
      <c r="Q20" s="1034">
        <v>488</v>
      </c>
      <c r="R20" s="1034">
        <v>615</v>
      </c>
      <c r="S20" s="1034">
        <f t="shared" si="7"/>
        <v>454</v>
      </c>
      <c r="T20" s="1034">
        <v>168</v>
      </c>
      <c r="U20" s="1034">
        <v>286</v>
      </c>
    </row>
    <row r="21" spans="1:31" x14ac:dyDescent="0.2">
      <c r="A21" s="1549" t="s">
        <v>136</v>
      </c>
      <c r="B21" s="1034">
        <f t="shared" si="0"/>
        <v>5071</v>
      </c>
      <c r="C21" s="1034">
        <f t="shared" si="1"/>
        <v>2262</v>
      </c>
      <c r="D21" s="1034">
        <v>1018</v>
      </c>
      <c r="E21" s="1034">
        <v>1244</v>
      </c>
      <c r="F21" s="1034">
        <f t="shared" si="2"/>
        <v>2042</v>
      </c>
      <c r="G21" s="1034">
        <v>882</v>
      </c>
      <c r="H21" s="1034">
        <v>1160</v>
      </c>
      <c r="I21" s="1034">
        <f t="shared" si="3"/>
        <v>767</v>
      </c>
      <c r="J21" s="1034">
        <v>310</v>
      </c>
      <c r="K21" s="1034">
        <v>457</v>
      </c>
      <c r="L21" s="1034">
        <f t="shared" si="4"/>
        <v>5576</v>
      </c>
      <c r="M21" s="1034">
        <f t="shared" si="5"/>
        <v>2572</v>
      </c>
      <c r="N21" s="1034">
        <v>1114</v>
      </c>
      <c r="O21" s="1034">
        <v>1458</v>
      </c>
      <c r="P21" s="1034">
        <f t="shared" si="6"/>
        <v>2240</v>
      </c>
      <c r="Q21" s="1034">
        <v>976</v>
      </c>
      <c r="R21" s="1034">
        <v>1264</v>
      </c>
      <c r="S21" s="1034">
        <f t="shared" si="7"/>
        <v>764</v>
      </c>
      <c r="T21" s="1034">
        <v>316</v>
      </c>
      <c r="U21" s="1034">
        <v>448</v>
      </c>
    </row>
    <row r="22" spans="1:31" x14ac:dyDescent="0.2">
      <c r="A22" s="1549" t="s">
        <v>17</v>
      </c>
      <c r="B22" s="1034">
        <f t="shared" si="0"/>
        <v>1144</v>
      </c>
      <c r="C22" s="1034">
        <f t="shared" si="1"/>
        <v>549</v>
      </c>
      <c r="D22" s="1034">
        <v>251</v>
      </c>
      <c r="E22" s="1034">
        <v>298</v>
      </c>
      <c r="F22" s="1034">
        <f t="shared" si="2"/>
        <v>425</v>
      </c>
      <c r="G22" s="1034">
        <v>201</v>
      </c>
      <c r="H22" s="1034">
        <v>224</v>
      </c>
      <c r="I22" s="1034">
        <f t="shared" si="3"/>
        <v>170</v>
      </c>
      <c r="J22" s="1034">
        <v>66</v>
      </c>
      <c r="K22" s="1034">
        <v>104</v>
      </c>
      <c r="L22" s="1034">
        <f t="shared" si="4"/>
        <v>1277</v>
      </c>
      <c r="M22" s="1034">
        <f t="shared" si="5"/>
        <v>631</v>
      </c>
      <c r="N22" s="1034">
        <v>290</v>
      </c>
      <c r="O22" s="1034">
        <v>341</v>
      </c>
      <c r="P22" s="1034">
        <f t="shared" si="6"/>
        <v>481</v>
      </c>
      <c r="Q22" s="1034">
        <v>236</v>
      </c>
      <c r="R22" s="1034">
        <v>245</v>
      </c>
      <c r="S22" s="1034">
        <f t="shared" si="7"/>
        <v>165</v>
      </c>
      <c r="T22" s="1034">
        <v>61</v>
      </c>
      <c r="U22" s="1034">
        <v>104</v>
      </c>
    </row>
    <row r="23" spans="1:31" x14ac:dyDescent="0.2">
      <c r="A23" s="1549" t="s">
        <v>18</v>
      </c>
      <c r="B23" s="1034">
        <f t="shared" si="0"/>
        <v>1309</v>
      </c>
      <c r="C23" s="1034">
        <f t="shared" si="1"/>
        <v>534</v>
      </c>
      <c r="D23" s="1034">
        <v>247</v>
      </c>
      <c r="E23" s="1034">
        <v>287</v>
      </c>
      <c r="F23" s="1034">
        <f t="shared" si="2"/>
        <v>518</v>
      </c>
      <c r="G23" s="1034">
        <v>202</v>
      </c>
      <c r="H23" s="1034">
        <v>316</v>
      </c>
      <c r="I23" s="1034">
        <f t="shared" si="3"/>
        <v>257</v>
      </c>
      <c r="J23" s="1034">
        <v>96</v>
      </c>
      <c r="K23" s="1034">
        <v>161</v>
      </c>
      <c r="L23" s="1034">
        <f t="shared" si="4"/>
        <v>1442</v>
      </c>
      <c r="M23" s="1034">
        <f t="shared" si="5"/>
        <v>608</v>
      </c>
      <c r="N23" s="1034">
        <v>287</v>
      </c>
      <c r="O23" s="1034">
        <v>321</v>
      </c>
      <c r="P23" s="1034">
        <f t="shared" si="6"/>
        <v>571</v>
      </c>
      <c r="Q23" s="1034">
        <v>229</v>
      </c>
      <c r="R23" s="1034">
        <v>342</v>
      </c>
      <c r="S23" s="1034">
        <f t="shared" si="7"/>
        <v>263</v>
      </c>
      <c r="T23" s="1034">
        <v>91</v>
      </c>
      <c r="U23" s="1034">
        <v>172</v>
      </c>
    </row>
    <row r="24" spans="1:31" ht="8.25" customHeight="1" x14ac:dyDescent="0.2">
      <c r="A24" s="284"/>
      <c r="B24" s="1034"/>
      <c r="C24" s="1034"/>
      <c r="D24" s="1034"/>
      <c r="E24" s="1034"/>
      <c r="F24" s="1034"/>
      <c r="G24" s="1034"/>
      <c r="H24" s="1034"/>
      <c r="I24" s="1034"/>
      <c r="J24" s="1034"/>
      <c r="K24" s="1034"/>
      <c r="L24" s="1034"/>
      <c r="M24" s="1034"/>
      <c r="N24" s="1034"/>
      <c r="O24" s="1034"/>
      <c r="P24" s="1034"/>
      <c r="Q24" s="1034"/>
      <c r="R24" s="1034"/>
      <c r="S24" s="1034"/>
      <c r="T24" s="1034"/>
      <c r="U24" s="1034"/>
    </row>
    <row r="25" spans="1:31" x14ac:dyDescent="0.2">
      <c r="A25" s="1025" t="s">
        <v>3415</v>
      </c>
      <c r="B25" s="1025"/>
      <c r="C25" s="1025"/>
      <c r="D25" s="1025"/>
      <c r="E25" s="1025"/>
      <c r="F25" s="1025"/>
      <c r="G25" s="1025"/>
    </row>
    <row r="27" spans="1:31" x14ac:dyDescent="0.2">
      <c r="A27" s="337" t="s">
        <v>3416</v>
      </c>
      <c r="B27" s="324"/>
      <c r="C27" s="324"/>
      <c r="D27" s="324"/>
      <c r="E27" s="324"/>
      <c r="F27" s="324"/>
      <c r="G27" s="324"/>
      <c r="H27" s="324"/>
      <c r="I27" s="692"/>
      <c r="J27" s="324"/>
      <c r="K27" s="324"/>
      <c r="L27" s="324"/>
      <c r="M27" s="324"/>
      <c r="N27" s="324"/>
      <c r="O27" s="324"/>
      <c r="P27" s="324"/>
      <c r="Q27" s="324"/>
      <c r="R27" s="324"/>
      <c r="S27" s="324"/>
      <c r="T27" s="324"/>
      <c r="U27" s="324"/>
    </row>
    <row r="28" spans="1:31" x14ac:dyDescent="0.2">
      <c r="A28" s="324"/>
      <c r="B28" s="324"/>
      <c r="C28" s="324"/>
      <c r="D28" s="324"/>
      <c r="E28" s="324"/>
      <c r="F28" s="324"/>
      <c r="G28" s="324"/>
      <c r="H28" s="324"/>
      <c r="I28" s="324"/>
      <c r="J28" s="324"/>
      <c r="K28" s="324"/>
      <c r="L28" s="324"/>
      <c r="M28" s="324"/>
      <c r="N28" s="324"/>
      <c r="O28" s="324"/>
      <c r="P28" s="324"/>
      <c r="Q28" s="324"/>
      <c r="R28" s="324"/>
      <c r="S28" s="324"/>
      <c r="T28" s="324"/>
      <c r="U28" s="324"/>
    </row>
    <row r="29" spans="1:31" ht="12.75" customHeight="1" x14ac:dyDescent="0.2">
      <c r="A29" s="1550" t="s">
        <v>0</v>
      </c>
      <c r="B29" s="1551">
        <v>2011</v>
      </c>
      <c r="C29" s="1551"/>
      <c r="D29" s="1551"/>
      <c r="E29" s="1551"/>
      <c r="F29" s="1551"/>
      <c r="G29" s="1551"/>
      <c r="H29" s="1551"/>
      <c r="I29" s="1551"/>
      <c r="J29" s="1551"/>
      <c r="K29" s="1551"/>
      <c r="L29" s="1551">
        <v>2012</v>
      </c>
      <c r="M29" s="1551"/>
      <c r="N29" s="1551"/>
      <c r="O29" s="1551"/>
      <c r="P29" s="1551"/>
      <c r="Q29" s="1551"/>
      <c r="R29" s="1551"/>
      <c r="S29" s="1551"/>
      <c r="T29" s="1551"/>
      <c r="U29" s="1551"/>
      <c r="V29" s="337"/>
      <c r="W29" s="337"/>
      <c r="X29" s="337"/>
      <c r="Y29" s="337"/>
      <c r="Z29" s="337"/>
      <c r="AA29" s="337"/>
      <c r="AB29" s="337"/>
      <c r="AC29" s="337"/>
      <c r="AD29" s="337"/>
      <c r="AE29" s="337"/>
    </row>
    <row r="30" spans="1:31" x14ac:dyDescent="0.2">
      <c r="A30" s="1552"/>
      <c r="B30" s="1553" t="s">
        <v>3417</v>
      </c>
      <c r="C30" s="1554" t="s">
        <v>3410</v>
      </c>
      <c r="D30" s="1554"/>
      <c r="E30" s="1554"/>
      <c r="F30" s="1554" t="s">
        <v>3411</v>
      </c>
      <c r="G30" s="1554"/>
      <c r="H30" s="1554"/>
      <c r="I30" s="1554" t="s">
        <v>3412</v>
      </c>
      <c r="J30" s="1554"/>
      <c r="K30" s="1554"/>
      <c r="L30" s="1554" t="s">
        <v>3418</v>
      </c>
      <c r="M30" s="1554" t="s">
        <v>3410</v>
      </c>
      <c r="N30" s="1554"/>
      <c r="O30" s="1554"/>
      <c r="P30" s="1554" t="s">
        <v>3411</v>
      </c>
      <c r="Q30" s="1554"/>
      <c r="R30" s="1554"/>
      <c r="S30" s="1554" t="s">
        <v>3412</v>
      </c>
      <c r="T30" s="1554"/>
      <c r="U30" s="1554"/>
      <c r="V30" s="988"/>
      <c r="W30" s="988"/>
      <c r="X30" s="988"/>
      <c r="Y30" s="988"/>
      <c r="Z30" s="988"/>
      <c r="AA30" s="988"/>
      <c r="AB30" s="988"/>
      <c r="AC30" s="988"/>
      <c r="AD30" s="988"/>
      <c r="AE30" s="988"/>
    </row>
    <row r="31" spans="1:31" x14ac:dyDescent="0.2">
      <c r="A31" s="1552"/>
      <c r="B31" s="1553"/>
      <c r="C31" s="1551" t="s">
        <v>3414</v>
      </c>
      <c r="D31" s="1551"/>
      <c r="E31" s="1551"/>
      <c r="F31" s="1551" t="s">
        <v>3414</v>
      </c>
      <c r="G31" s="1551"/>
      <c r="H31" s="1551"/>
      <c r="I31" s="1551" t="s">
        <v>3414</v>
      </c>
      <c r="J31" s="1551"/>
      <c r="K31" s="1551"/>
      <c r="L31" s="1554"/>
      <c r="M31" s="1551" t="s">
        <v>3414</v>
      </c>
      <c r="N31" s="1551"/>
      <c r="O31" s="1551"/>
      <c r="P31" s="1551" t="s">
        <v>3414</v>
      </c>
      <c r="Q31" s="1551"/>
      <c r="R31" s="1551"/>
      <c r="S31" s="1551" t="s">
        <v>3414</v>
      </c>
      <c r="T31" s="1551"/>
      <c r="U31" s="1551"/>
      <c r="V31" s="988"/>
      <c r="W31" s="337"/>
      <c r="X31" s="337"/>
      <c r="Y31" s="337"/>
      <c r="Z31" s="337"/>
      <c r="AA31" s="337"/>
      <c r="AB31" s="337"/>
      <c r="AC31" s="337"/>
      <c r="AD31" s="337"/>
      <c r="AE31" s="337"/>
    </row>
    <row r="32" spans="1:31" x14ac:dyDescent="0.2">
      <c r="A32" s="1555"/>
      <c r="B32" s="1553"/>
      <c r="C32" s="1556" t="s">
        <v>42</v>
      </c>
      <c r="D32" s="1556" t="s">
        <v>122</v>
      </c>
      <c r="E32" s="1556" t="s">
        <v>123</v>
      </c>
      <c r="F32" s="1556" t="s">
        <v>42</v>
      </c>
      <c r="G32" s="1556" t="s">
        <v>122</v>
      </c>
      <c r="H32" s="1556" t="s">
        <v>123</v>
      </c>
      <c r="I32" s="1556" t="s">
        <v>42</v>
      </c>
      <c r="J32" s="1556" t="s">
        <v>122</v>
      </c>
      <c r="K32" s="1556" t="s">
        <v>123</v>
      </c>
      <c r="L32" s="1554"/>
      <c r="M32" s="1556" t="s">
        <v>42</v>
      </c>
      <c r="N32" s="1556" t="s">
        <v>122</v>
      </c>
      <c r="O32" s="1556" t="s">
        <v>123</v>
      </c>
      <c r="P32" s="1556" t="s">
        <v>42</v>
      </c>
      <c r="Q32" s="1556" t="s">
        <v>122</v>
      </c>
      <c r="R32" s="1556" t="s">
        <v>123</v>
      </c>
      <c r="S32" s="1556" t="s">
        <v>42</v>
      </c>
      <c r="T32" s="1556" t="s">
        <v>122</v>
      </c>
      <c r="U32" s="1556" t="s">
        <v>123</v>
      </c>
      <c r="V32" s="988"/>
      <c r="W32" s="1557"/>
      <c r="X32" s="1557"/>
      <c r="Y32" s="1557"/>
      <c r="Z32" s="1557"/>
      <c r="AA32" s="1557"/>
      <c r="AB32" s="1557"/>
      <c r="AC32" s="1557"/>
      <c r="AD32" s="1557"/>
      <c r="AE32" s="1557"/>
    </row>
    <row r="33" spans="1:31" x14ac:dyDescent="0.2">
      <c r="A33" s="337" t="s">
        <v>3</v>
      </c>
      <c r="B33" s="1548">
        <f t="shared" ref="B33:B48" si="8">+C33+F33+I33</f>
        <v>58115</v>
      </c>
      <c r="C33" s="1548">
        <f t="shared" ref="C33:C48" si="9">+D33+E33</f>
        <v>24059</v>
      </c>
      <c r="D33" s="1548">
        <f>SUM(D34:D48)</f>
        <v>10857</v>
      </c>
      <c r="E33" s="1548">
        <f>SUM(E34:E48)</f>
        <v>13202</v>
      </c>
      <c r="F33" s="1548">
        <f t="shared" ref="F33:F48" si="10">+G33+H33</f>
        <v>21668</v>
      </c>
      <c r="G33" s="1548">
        <f>SUM(G34:G48)</f>
        <v>9337</v>
      </c>
      <c r="H33" s="1548">
        <f>SUM(H34:H48)</f>
        <v>12331</v>
      </c>
      <c r="I33" s="1548">
        <f t="shared" ref="I33:I48" si="11">+J33+K33</f>
        <v>12388</v>
      </c>
      <c r="J33" s="1548">
        <f>SUM(J34:J48)</f>
        <v>4502</v>
      </c>
      <c r="K33" s="1548">
        <f>SUM(K34:K48)</f>
        <v>7886</v>
      </c>
      <c r="L33" s="1548">
        <f>+M33+P33+S33</f>
        <v>63283</v>
      </c>
      <c r="M33" s="1548">
        <f t="shared" ref="M33:M48" si="12">+N33+O33</f>
        <v>25183</v>
      </c>
      <c r="N33" s="1548">
        <f>SUM(N34:N48)</f>
        <v>11476</v>
      </c>
      <c r="O33" s="1548">
        <f>SUM(O34:O48)</f>
        <v>13707</v>
      </c>
      <c r="P33" s="1548">
        <f t="shared" ref="P33:P48" si="13">+Q33+R33</f>
        <v>24258</v>
      </c>
      <c r="Q33" s="1548">
        <f>SUM(Q34:Q48)</f>
        <v>10540</v>
      </c>
      <c r="R33" s="1548">
        <f>SUM(R34:R48)</f>
        <v>13718</v>
      </c>
      <c r="S33" s="1548">
        <f>T33+U33</f>
        <v>13842</v>
      </c>
      <c r="T33" s="1548">
        <f>SUM(T34:T48)</f>
        <v>4903</v>
      </c>
      <c r="U33" s="1548">
        <f>SUM(U34:U48)</f>
        <v>8939</v>
      </c>
      <c r="V33" s="1548"/>
      <c r="W33" s="1548"/>
      <c r="X33" s="1548"/>
      <c r="Y33" s="1548"/>
      <c r="Z33" s="1548"/>
      <c r="AA33" s="1548"/>
      <c r="AB33" s="1548"/>
      <c r="AC33" s="1548"/>
      <c r="AD33" s="1548"/>
      <c r="AE33" s="1548"/>
    </row>
    <row r="34" spans="1:31" x14ac:dyDescent="0.2">
      <c r="A34" s="1549" t="s">
        <v>4</v>
      </c>
      <c r="B34" s="1034">
        <f t="shared" si="8"/>
        <v>3025</v>
      </c>
      <c r="C34" s="1034">
        <f t="shared" si="9"/>
        <v>1208</v>
      </c>
      <c r="D34" s="1034">
        <v>551</v>
      </c>
      <c r="E34" s="1034">
        <v>657</v>
      </c>
      <c r="F34" s="1034">
        <f t="shared" si="10"/>
        <v>1038</v>
      </c>
      <c r="G34" s="1034">
        <v>451</v>
      </c>
      <c r="H34" s="1034">
        <v>587</v>
      </c>
      <c r="I34" s="1034">
        <f t="shared" si="11"/>
        <v>779</v>
      </c>
      <c r="J34" s="1034">
        <v>274</v>
      </c>
      <c r="K34" s="1034">
        <v>505</v>
      </c>
      <c r="L34" s="1034">
        <f t="shared" ref="L34:L48" si="14">+M34+P34+S34</f>
        <v>3368</v>
      </c>
      <c r="M34" s="1034">
        <f t="shared" si="12"/>
        <v>1251</v>
      </c>
      <c r="N34" s="1034">
        <v>593</v>
      </c>
      <c r="O34" s="1034">
        <v>658</v>
      </c>
      <c r="P34" s="1034">
        <f t="shared" si="13"/>
        <v>1209</v>
      </c>
      <c r="Q34" s="1034">
        <v>536</v>
      </c>
      <c r="R34" s="1034">
        <v>673</v>
      </c>
      <c r="S34" s="1034">
        <f t="shared" ref="S34:S48" si="15">+T34+U34</f>
        <v>908</v>
      </c>
      <c r="T34" s="1034">
        <v>289</v>
      </c>
      <c r="U34" s="1034">
        <v>619</v>
      </c>
      <c r="V34" s="1034"/>
      <c r="W34" s="1034"/>
      <c r="X34" s="1034"/>
      <c r="Y34" s="1034"/>
      <c r="Z34" s="1034"/>
      <c r="AA34" s="1034"/>
      <c r="AB34" s="1034"/>
      <c r="AC34" s="1034"/>
      <c r="AD34" s="1034"/>
      <c r="AE34" s="1034"/>
    </row>
    <row r="35" spans="1:31" x14ac:dyDescent="0.2">
      <c r="A35" s="1549" t="s">
        <v>5</v>
      </c>
      <c r="B35" s="1034">
        <f t="shared" si="8"/>
        <v>2656</v>
      </c>
      <c r="C35" s="1034">
        <f t="shared" si="9"/>
        <v>1175</v>
      </c>
      <c r="D35" s="1034">
        <v>547</v>
      </c>
      <c r="E35" s="1034">
        <v>628</v>
      </c>
      <c r="F35" s="1034">
        <f t="shared" si="10"/>
        <v>917</v>
      </c>
      <c r="G35" s="1034">
        <v>405</v>
      </c>
      <c r="H35" s="1034">
        <v>512</v>
      </c>
      <c r="I35" s="1034">
        <f t="shared" si="11"/>
        <v>564</v>
      </c>
      <c r="J35" s="1034">
        <v>188</v>
      </c>
      <c r="K35" s="1034">
        <v>376</v>
      </c>
      <c r="L35" s="1034">
        <f t="shared" si="14"/>
        <v>2850</v>
      </c>
      <c r="M35" s="1034">
        <f t="shared" si="12"/>
        <v>1217</v>
      </c>
      <c r="N35" s="1034">
        <v>565</v>
      </c>
      <c r="O35" s="1034">
        <v>652</v>
      </c>
      <c r="P35" s="1034">
        <f t="shared" si="13"/>
        <v>1028</v>
      </c>
      <c r="Q35" s="1034">
        <v>443</v>
      </c>
      <c r="R35" s="1034">
        <v>585</v>
      </c>
      <c r="S35" s="1034">
        <f t="shared" si="15"/>
        <v>605</v>
      </c>
      <c r="T35" s="1034">
        <v>208</v>
      </c>
      <c r="U35" s="1034">
        <v>397</v>
      </c>
      <c r="V35" s="1034"/>
      <c r="W35" s="1034"/>
      <c r="X35" s="1034"/>
      <c r="Y35" s="1034"/>
      <c r="Z35" s="1034"/>
      <c r="AA35" s="1034"/>
      <c r="AB35" s="1034"/>
      <c r="AC35" s="1034"/>
      <c r="AD35" s="1034"/>
      <c r="AE35" s="1034"/>
    </row>
    <row r="36" spans="1:31" x14ac:dyDescent="0.2">
      <c r="A36" s="1549" t="s">
        <v>6</v>
      </c>
      <c r="B36" s="1034">
        <f t="shared" si="8"/>
        <v>1635</v>
      </c>
      <c r="C36" s="1034">
        <f t="shared" si="9"/>
        <v>709</v>
      </c>
      <c r="D36" s="1034">
        <v>336</v>
      </c>
      <c r="E36" s="1034">
        <v>373</v>
      </c>
      <c r="F36" s="1034">
        <f t="shared" si="10"/>
        <v>576</v>
      </c>
      <c r="G36" s="1034">
        <v>273</v>
      </c>
      <c r="H36" s="1034">
        <v>303</v>
      </c>
      <c r="I36" s="1034">
        <f t="shared" si="11"/>
        <v>350</v>
      </c>
      <c r="J36" s="1034">
        <v>135</v>
      </c>
      <c r="K36" s="1034">
        <v>215</v>
      </c>
      <c r="L36" s="1034">
        <f t="shared" si="14"/>
        <v>1702</v>
      </c>
      <c r="M36" s="1034">
        <f t="shared" si="12"/>
        <v>685</v>
      </c>
      <c r="N36" s="1034">
        <v>324</v>
      </c>
      <c r="O36" s="1034">
        <v>361</v>
      </c>
      <c r="P36" s="1034">
        <f t="shared" si="13"/>
        <v>620</v>
      </c>
      <c r="Q36" s="1034">
        <v>279</v>
      </c>
      <c r="R36" s="1034">
        <v>341</v>
      </c>
      <c r="S36" s="1034">
        <f t="shared" si="15"/>
        <v>397</v>
      </c>
      <c r="T36" s="1034">
        <v>125</v>
      </c>
      <c r="U36" s="1034">
        <v>272</v>
      </c>
      <c r="V36" s="1034"/>
      <c r="W36" s="1034"/>
      <c r="X36" s="1034"/>
      <c r="Y36" s="1034"/>
      <c r="Z36" s="1034"/>
      <c r="AA36" s="1034"/>
      <c r="AB36" s="1034"/>
      <c r="AC36" s="1034"/>
      <c r="AD36" s="1034"/>
      <c r="AE36" s="1034"/>
    </row>
    <row r="37" spans="1:31" x14ac:dyDescent="0.2">
      <c r="A37" s="1549" t="s">
        <v>7</v>
      </c>
      <c r="B37" s="1034">
        <f t="shared" si="8"/>
        <v>1137</v>
      </c>
      <c r="C37" s="1034">
        <f t="shared" si="9"/>
        <v>411</v>
      </c>
      <c r="D37" s="1034">
        <v>197</v>
      </c>
      <c r="E37" s="1034">
        <v>214</v>
      </c>
      <c r="F37" s="1034">
        <f t="shared" si="10"/>
        <v>447</v>
      </c>
      <c r="G37" s="1034">
        <v>190</v>
      </c>
      <c r="H37" s="1034">
        <v>257</v>
      </c>
      <c r="I37" s="1034">
        <f t="shared" si="11"/>
        <v>279</v>
      </c>
      <c r="J37" s="1034">
        <v>109</v>
      </c>
      <c r="K37" s="1034">
        <v>170</v>
      </c>
      <c r="L37" s="1034">
        <f t="shared" si="14"/>
        <v>1267</v>
      </c>
      <c r="M37" s="1034">
        <f t="shared" si="12"/>
        <v>430</v>
      </c>
      <c r="N37" s="1034">
        <v>206</v>
      </c>
      <c r="O37" s="1034">
        <v>224</v>
      </c>
      <c r="P37" s="1034">
        <f t="shared" si="13"/>
        <v>517</v>
      </c>
      <c r="Q37" s="1034">
        <v>225</v>
      </c>
      <c r="R37" s="1034">
        <v>292</v>
      </c>
      <c r="S37" s="1034">
        <f t="shared" si="15"/>
        <v>320</v>
      </c>
      <c r="T37" s="1034">
        <v>108</v>
      </c>
      <c r="U37" s="1034">
        <v>212</v>
      </c>
      <c r="V37" s="1034"/>
      <c r="W37" s="1034"/>
      <c r="X37" s="1034"/>
      <c r="Y37" s="1034"/>
      <c r="Z37" s="1034"/>
      <c r="AA37" s="1034"/>
      <c r="AB37" s="1034"/>
      <c r="AC37" s="1034"/>
      <c r="AD37" s="1034"/>
      <c r="AE37" s="1034"/>
    </row>
    <row r="38" spans="1:31" x14ac:dyDescent="0.2">
      <c r="A38" s="1549" t="s">
        <v>8</v>
      </c>
      <c r="B38" s="1034">
        <f t="shared" si="8"/>
        <v>805</v>
      </c>
      <c r="C38" s="1034">
        <f t="shared" si="9"/>
        <v>224</v>
      </c>
      <c r="D38" s="1034">
        <v>93</v>
      </c>
      <c r="E38" s="1034">
        <v>131</v>
      </c>
      <c r="F38" s="1034">
        <f t="shared" si="10"/>
        <v>353</v>
      </c>
      <c r="G38" s="1034">
        <v>160</v>
      </c>
      <c r="H38" s="1034">
        <v>193</v>
      </c>
      <c r="I38" s="1034">
        <f t="shared" si="11"/>
        <v>228</v>
      </c>
      <c r="J38" s="1034">
        <v>73</v>
      </c>
      <c r="K38" s="1034">
        <v>155</v>
      </c>
      <c r="L38" s="1034">
        <f t="shared" si="14"/>
        <v>910</v>
      </c>
      <c r="M38" s="1034">
        <f t="shared" si="12"/>
        <v>251</v>
      </c>
      <c r="N38" s="1034">
        <v>113</v>
      </c>
      <c r="O38" s="1034">
        <v>138</v>
      </c>
      <c r="P38" s="1034">
        <f t="shared" si="13"/>
        <v>380</v>
      </c>
      <c r="Q38" s="1034">
        <v>172</v>
      </c>
      <c r="R38" s="1034">
        <v>208</v>
      </c>
      <c r="S38" s="1034">
        <f t="shared" si="15"/>
        <v>279</v>
      </c>
      <c r="T38" s="1034">
        <v>89</v>
      </c>
      <c r="U38" s="1034">
        <v>190</v>
      </c>
      <c r="V38" s="1034"/>
      <c r="W38" s="1034"/>
      <c r="X38" s="1034"/>
      <c r="Y38" s="1034"/>
      <c r="Z38" s="1034"/>
      <c r="AA38" s="1034"/>
      <c r="AB38" s="1034"/>
      <c r="AC38" s="1034"/>
      <c r="AD38" s="1034"/>
      <c r="AE38" s="1034"/>
    </row>
    <row r="39" spans="1:31" ht="11.25" customHeight="1" x14ac:dyDescent="0.2">
      <c r="A39" s="1549" t="s">
        <v>9</v>
      </c>
      <c r="B39" s="1034">
        <f t="shared" si="8"/>
        <v>1951</v>
      </c>
      <c r="C39" s="1034">
        <f t="shared" si="9"/>
        <v>710</v>
      </c>
      <c r="D39" s="1034">
        <v>319</v>
      </c>
      <c r="E39" s="1034">
        <v>391</v>
      </c>
      <c r="F39" s="1034">
        <f t="shared" si="10"/>
        <v>736</v>
      </c>
      <c r="G39" s="1034">
        <v>306</v>
      </c>
      <c r="H39" s="1034">
        <v>430</v>
      </c>
      <c r="I39" s="1034">
        <f t="shared" si="11"/>
        <v>505</v>
      </c>
      <c r="J39" s="1034">
        <v>174</v>
      </c>
      <c r="K39" s="1034">
        <v>331</v>
      </c>
      <c r="L39" s="1034">
        <f t="shared" si="14"/>
        <v>2157</v>
      </c>
      <c r="M39" s="1034">
        <f t="shared" si="12"/>
        <v>735</v>
      </c>
      <c r="N39" s="1034">
        <v>346</v>
      </c>
      <c r="O39" s="1034">
        <v>389</v>
      </c>
      <c r="P39" s="1034">
        <f t="shared" si="13"/>
        <v>837</v>
      </c>
      <c r="Q39" s="1034">
        <v>362</v>
      </c>
      <c r="R39" s="1034">
        <v>475</v>
      </c>
      <c r="S39" s="1034">
        <f t="shared" si="15"/>
        <v>585</v>
      </c>
      <c r="T39" s="1034">
        <v>228</v>
      </c>
      <c r="U39" s="1034">
        <v>357</v>
      </c>
      <c r="V39" s="1034"/>
      <c r="W39" s="1034"/>
      <c r="X39" s="1034"/>
      <c r="Y39" s="1034"/>
      <c r="Z39" s="1034"/>
      <c r="AA39" s="1034"/>
      <c r="AB39" s="1034"/>
      <c r="AC39" s="1034"/>
      <c r="AD39" s="1034"/>
      <c r="AE39" s="1034"/>
    </row>
    <row r="40" spans="1:31" x14ac:dyDescent="0.2">
      <c r="A40" s="1549" t="s">
        <v>10</v>
      </c>
      <c r="B40" s="1034">
        <f t="shared" si="8"/>
        <v>9073</v>
      </c>
      <c r="C40" s="1034">
        <f t="shared" si="9"/>
        <v>3329</v>
      </c>
      <c r="D40" s="1034">
        <v>1481</v>
      </c>
      <c r="E40" s="1034">
        <v>1848</v>
      </c>
      <c r="F40" s="1034">
        <f t="shared" si="10"/>
        <v>3384</v>
      </c>
      <c r="G40" s="1034">
        <v>1450</v>
      </c>
      <c r="H40" s="1034">
        <v>1934</v>
      </c>
      <c r="I40" s="1034">
        <f t="shared" si="11"/>
        <v>2360</v>
      </c>
      <c r="J40" s="1034">
        <v>884</v>
      </c>
      <c r="K40" s="1034">
        <v>1476</v>
      </c>
      <c r="L40" s="1034">
        <f t="shared" si="14"/>
        <v>9891</v>
      </c>
      <c r="M40" s="1034">
        <f t="shared" si="12"/>
        <v>3484</v>
      </c>
      <c r="N40" s="1034">
        <v>1511</v>
      </c>
      <c r="O40" s="1034">
        <v>1973</v>
      </c>
      <c r="P40" s="1034">
        <f t="shared" si="13"/>
        <v>3829</v>
      </c>
      <c r="Q40" s="1034">
        <v>1604</v>
      </c>
      <c r="R40" s="1034">
        <v>2225</v>
      </c>
      <c r="S40" s="1034">
        <f t="shared" si="15"/>
        <v>2578</v>
      </c>
      <c r="T40" s="1034">
        <v>929</v>
      </c>
      <c r="U40" s="1034">
        <v>1649</v>
      </c>
      <c r="V40" s="1034"/>
      <c r="W40" s="1034"/>
      <c r="X40" s="1034"/>
      <c r="Y40" s="1034"/>
      <c r="Z40" s="1034"/>
      <c r="AA40" s="1034"/>
      <c r="AB40" s="1034"/>
      <c r="AC40" s="1034"/>
      <c r="AD40" s="1034"/>
      <c r="AE40" s="1034"/>
    </row>
    <row r="41" spans="1:31" x14ac:dyDescent="0.2">
      <c r="A41" s="1549" t="s">
        <v>134</v>
      </c>
      <c r="B41" s="1034">
        <f t="shared" si="8"/>
        <v>1392</v>
      </c>
      <c r="C41" s="1034">
        <f t="shared" si="9"/>
        <v>501</v>
      </c>
      <c r="D41" s="1034">
        <v>233</v>
      </c>
      <c r="E41" s="1034">
        <v>268</v>
      </c>
      <c r="F41" s="1034">
        <f t="shared" si="10"/>
        <v>560</v>
      </c>
      <c r="G41" s="1034">
        <v>233</v>
      </c>
      <c r="H41" s="1034">
        <v>327</v>
      </c>
      <c r="I41" s="1034">
        <f t="shared" si="11"/>
        <v>331</v>
      </c>
      <c r="J41" s="1034">
        <v>118</v>
      </c>
      <c r="K41" s="1034">
        <v>213</v>
      </c>
      <c r="L41" s="1034">
        <f t="shared" si="14"/>
        <v>1407</v>
      </c>
      <c r="M41" s="1034">
        <f t="shared" si="12"/>
        <v>449</v>
      </c>
      <c r="N41" s="1034">
        <v>195</v>
      </c>
      <c r="O41" s="1034">
        <v>254</v>
      </c>
      <c r="P41" s="1034">
        <f t="shared" si="13"/>
        <v>564</v>
      </c>
      <c r="Q41" s="1034">
        <v>259</v>
      </c>
      <c r="R41" s="1034">
        <v>305</v>
      </c>
      <c r="S41" s="1034">
        <f t="shared" si="15"/>
        <v>394</v>
      </c>
      <c r="T41" s="1034">
        <v>137</v>
      </c>
      <c r="U41" s="1034">
        <v>257</v>
      </c>
      <c r="V41" s="1034"/>
      <c r="W41" s="1034"/>
      <c r="X41" s="1034"/>
      <c r="Y41" s="1034"/>
      <c r="Z41" s="1034"/>
      <c r="AA41" s="1034"/>
      <c r="AB41" s="1034"/>
      <c r="AC41" s="1034"/>
      <c r="AD41" s="1034"/>
      <c r="AE41" s="1034"/>
    </row>
    <row r="42" spans="1:31" x14ac:dyDescent="0.2">
      <c r="A42" s="1549" t="s">
        <v>12</v>
      </c>
      <c r="B42" s="1034">
        <f t="shared" si="8"/>
        <v>1866</v>
      </c>
      <c r="C42" s="1034">
        <f t="shared" si="9"/>
        <v>634</v>
      </c>
      <c r="D42" s="1034">
        <v>292</v>
      </c>
      <c r="E42" s="1034">
        <v>342</v>
      </c>
      <c r="F42" s="1034">
        <f t="shared" si="10"/>
        <v>792</v>
      </c>
      <c r="G42" s="1034">
        <v>360</v>
      </c>
      <c r="H42" s="1034">
        <v>432</v>
      </c>
      <c r="I42" s="1034">
        <f t="shared" si="11"/>
        <v>440</v>
      </c>
      <c r="J42" s="1034">
        <v>168</v>
      </c>
      <c r="K42" s="1034">
        <v>272</v>
      </c>
      <c r="L42" s="1034">
        <f t="shared" si="14"/>
        <v>1890</v>
      </c>
      <c r="M42" s="1034">
        <f t="shared" si="12"/>
        <v>653</v>
      </c>
      <c r="N42" s="1034">
        <v>316</v>
      </c>
      <c r="O42" s="1034">
        <v>337</v>
      </c>
      <c r="P42" s="1034">
        <f t="shared" si="13"/>
        <v>793</v>
      </c>
      <c r="Q42" s="1034">
        <v>346</v>
      </c>
      <c r="R42" s="1034">
        <v>447</v>
      </c>
      <c r="S42" s="1034">
        <f t="shared" si="15"/>
        <v>444</v>
      </c>
      <c r="T42" s="1034">
        <v>169</v>
      </c>
      <c r="U42" s="1034">
        <v>275</v>
      </c>
      <c r="V42" s="1034"/>
      <c r="W42" s="1034"/>
      <c r="X42" s="1034"/>
      <c r="Y42" s="1034"/>
      <c r="Z42" s="1034"/>
      <c r="AA42" s="1034"/>
      <c r="AB42" s="1034"/>
      <c r="AC42" s="1034"/>
      <c r="AD42" s="1034"/>
      <c r="AE42" s="1034"/>
    </row>
    <row r="43" spans="1:31" x14ac:dyDescent="0.2">
      <c r="A43" s="1549" t="s">
        <v>13</v>
      </c>
      <c r="B43" s="1034">
        <f t="shared" si="8"/>
        <v>5356</v>
      </c>
      <c r="C43" s="1034">
        <f t="shared" si="9"/>
        <v>2293</v>
      </c>
      <c r="D43" s="1034">
        <v>1019</v>
      </c>
      <c r="E43" s="1034">
        <v>1274</v>
      </c>
      <c r="F43" s="1034">
        <f t="shared" si="10"/>
        <v>1984</v>
      </c>
      <c r="G43" s="1034">
        <v>855</v>
      </c>
      <c r="H43" s="1034">
        <v>1129</v>
      </c>
      <c r="I43" s="1034">
        <f t="shared" si="11"/>
        <v>1079</v>
      </c>
      <c r="J43" s="1034">
        <v>374</v>
      </c>
      <c r="K43" s="1034">
        <v>705</v>
      </c>
      <c r="L43" s="1034">
        <f t="shared" si="14"/>
        <v>5668</v>
      </c>
      <c r="M43" s="1034">
        <f t="shared" si="12"/>
        <v>2374</v>
      </c>
      <c r="N43" s="1034">
        <v>1095</v>
      </c>
      <c r="O43" s="1034">
        <v>1279</v>
      </c>
      <c r="P43" s="1034">
        <f t="shared" si="13"/>
        <v>2144</v>
      </c>
      <c r="Q43" s="1034">
        <v>917</v>
      </c>
      <c r="R43" s="1034">
        <v>1227</v>
      </c>
      <c r="S43" s="1034">
        <f t="shared" si="15"/>
        <v>1150</v>
      </c>
      <c r="T43" s="1034">
        <v>408</v>
      </c>
      <c r="U43" s="1034">
        <v>742</v>
      </c>
      <c r="V43" s="1034"/>
      <c r="W43" s="1034"/>
      <c r="X43" s="1034"/>
      <c r="Y43" s="1034"/>
      <c r="Z43" s="1034"/>
      <c r="AA43" s="1034"/>
      <c r="AB43" s="1034"/>
      <c r="AC43" s="1034"/>
      <c r="AD43" s="1034"/>
      <c r="AE43" s="1034"/>
    </row>
    <row r="44" spans="1:31" x14ac:dyDescent="0.2">
      <c r="A44" s="1549" t="s">
        <v>47</v>
      </c>
      <c r="B44" s="1034">
        <f t="shared" si="8"/>
        <v>15951</v>
      </c>
      <c r="C44" s="1034">
        <f t="shared" si="9"/>
        <v>7004</v>
      </c>
      <c r="D44" s="1034">
        <v>3182</v>
      </c>
      <c r="E44" s="1034">
        <v>3822</v>
      </c>
      <c r="F44" s="1034">
        <f t="shared" si="10"/>
        <v>5897</v>
      </c>
      <c r="G44" s="1034">
        <v>2466</v>
      </c>
      <c r="H44" s="1034">
        <v>3431</v>
      </c>
      <c r="I44" s="1034">
        <f t="shared" si="11"/>
        <v>3050</v>
      </c>
      <c r="J44" s="1034">
        <v>1117</v>
      </c>
      <c r="K44" s="1034">
        <v>1933</v>
      </c>
      <c r="L44" s="1034">
        <f t="shared" si="14"/>
        <v>17879</v>
      </c>
      <c r="M44" s="1034">
        <f t="shared" si="12"/>
        <v>7619</v>
      </c>
      <c r="N44" s="1034">
        <v>3490</v>
      </c>
      <c r="O44" s="1034">
        <v>4129</v>
      </c>
      <c r="P44" s="1034">
        <f t="shared" si="13"/>
        <v>6812</v>
      </c>
      <c r="Q44" s="1034">
        <v>3030</v>
      </c>
      <c r="R44" s="1034">
        <v>3782</v>
      </c>
      <c r="S44" s="1034">
        <f t="shared" si="15"/>
        <v>3448</v>
      </c>
      <c r="T44" s="1034">
        <v>1251</v>
      </c>
      <c r="U44" s="1034">
        <v>2197</v>
      </c>
      <c r="V44" s="1034"/>
      <c r="W44" s="1034"/>
      <c r="X44" s="1034"/>
      <c r="Y44" s="1034"/>
      <c r="Z44" s="1034"/>
      <c r="AA44" s="1034"/>
      <c r="AB44" s="1034"/>
      <c r="AC44" s="1034"/>
      <c r="AD44" s="1034"/>
      <c r="AE44" s="1034"/>
    </row>
    <row r="45" spans="1:31" x14ac:dyDescent="0.2">
      <c r="A45" s="1549" t="s">
        <v>135</v>
      </c>
      <c r="B45" s="1034">
        <f t="shared" si="8"/>
        <v>3320</v>
      </c>
      <c r="C45" s="1034">
        <f t="shared" si="9"/>
        <v>1411</v>
      </c>
      <c r="D45" s="1034">
        <v>604</v>
      </c>
      <c r="E45" s="1034">
        <v>807</v>
      </c>
      <c r="F45" s="1034">
        <f t="shared" si="10"/>
        <v>1248</v>
      </c>
      <c r="G45" s="1034">
        <v>556</v>
      </c>
      <c r="H45" s="1034">
        <v>692</v>
      </c>
      <c r="I45" s="1034">
        <f t="shared" si="11"/>
        <v>661</v>
      </c>
      <c r="J45" s="1034">
        <v>255</v>
      </c>
      <c r="K45" s="1034">
        <v>406</v>
      </c>
      <c r="L45" s="1034">
        <f t="shared" si="14"/>
        <v>3517</v>
      </c>
      <c r="M45" s="1034">
        <f t="shared" si="12"/>
        <v>1395</v>
      </c>
      <c r="N45" s="1034">
        <v>627</v>
      </c>
      <c r="O45" s="1034">
        <v>768</v>
      </c>
      <c r="P45" s="1034">
        <f t="shared" si="13"/>
        <v>1384</v>
      </c>
      <c r="Q45" s="1034">
        <v>615</v>
      </c>
      <c r="R45" s="1034">
        <v>769</v>
      </c>
      <c r="S45" s="1034">
        <f t="shared" si="15"/>
        <v>738</v>
      </c>
      <c r="T45" s="1034">
        <v>251</v>
      </c>
      <c r="U45" s="1034">
        <v>487</v>
      </c>
      <c r="V45" s="1034"/>
      <c r="W45" s="1034"/>
      <c r="X45" s="1034"/>
      <c r="Y45" s="1034"/>
      <c r="Z45" s="1034"/>
      <c r="AA45" s="1034"/>
      <c r="AB45" s="1034"/>
      <c r="AC45" s="1034"/>
      <c r="AD45" s="1034"/>
      <c r="AE45" s="1034"/>
    </row>
    <row r="46" spans="1:31" x14ac:dyDescent="0.2">
      <c r="A46" s="1549" t="s">
        <v>136</v>
      </c>
      <c r="B46" s="1034">
        <f t="shared" si="8"/>
        <v>6727</v>
      </c>
      <c r="C46" s="1034">
        <f t="shared" si="9"/>
        <v>3019</v>
      </c>
      <c r="D46" s="1034">
        <v>1310</v>
      </c>
      <c r="E46" s="1034">
        <v>1709</v>
      </c>
      <c r="F46" s="1034">
        <f t="shared" si="10"/>
        <v>2549</v>
      </c>
      <c r="G46" s="1034">
        <v>1122</v>
      </c>
      <c r="H46" s="1034">
        <v>1427</v>
      </c>
      <c r="I46" s="1034">
        <f t="shared" si="11"/>
        <v>1159</v>
      </c>
      <c r="J46" s="1034">
        <v>444</v>
      </c>
      <c r="K46" s="1034">
        <v>715</v>
      </c>
      <c r="L46" s="1034">
        <f t="shared" si="14"/>
        <v>7286</v>
      </c>
      <c r="M46" s="1034">
        <f t="shared" si="12"/>
        <v>3140</v>
      </c>
      <c r="N46" s="1034">
        <v>1385</v>
      </c>
      <c r="O46" s="1034">
        <v>1755</v>
      </c>
      <c r="P46" s="1034">
        <f t="shared" si="13"/>
        <v>2838</v>
      </c>
      <c r="Q46" s="1034">
        <v>1207</v>
      </c>
      <c r="R46" s="1034">
        <v>1631</v>
      </c>
      <c r="S46" s="1034">
        <f t="shared" si="15"/>
        <v>1308</v>
      </c>
      <c r="T46" s="1034">
        <v>508</v>
      </c>
      <c r="U46" s="1034">
        <v>800</v>
      </c>
      <c r="V46" s="1034"/>
      <c r="W46" s="1034"/>
      <c r="X46" s="1034"/>
      <c r="Y46" s="1034"/>
      <c r="Z46" s="1034"/>
      <c r="AA46" s="1034"/>
      <c r="AB46" s="1034"/>
      <c r="AC46" s="1034"/>
      <c r="AD46" s="1034"/>
      <c r="AE46" s="1034"/>
    </row>
    <row r="47" spans="1:31" x14ac:dyDescent="0.2">
      <c r="A47" s="1549" t="s">
        <v>17</v>
      </c>
      <c r="B47" s="1034">
        <f t="shared" si="8"/>
        <v>1468</v>
      </c>
      <c r="C47" s="1034">
        <f t="shared" si="9"/>
        <v>719</v>
      </c>
      <c r="D47" s="1034">
        <v>336</v>
      </c>
      <c r="E47" s="1034">
        <v>383</v>
      </c>
      <c r="F47" s="1034">
        <f t="shared" si="10"/>
        <v>539</v>
      </c>
      <c r="G47" s="1034">
        <v>248</v>
      </c>
      <c r="H47" s="1034">
        <v>291</v>
      </c>
      <c r="I47" s="1034">
        <f t="shared" si="11"/>
        <v>210</v>
      </c>
      <c r="J47" s="1034">
        <v>70</v>
      </c>
      <c r="K47" s="1034">
        <v>140</v>
      </c>
      <c r="L47" s="1034">
        <f t="shared" si="14"/>
        <v>1617</v>
      </c>
      <c r="M47" s="1034">
        <f t="shared" si="12"/>
        <v>760</v>
      </c>
      <c r="N47" s="1034">
        <v>334</v>
      </c>
      <c r="O47" s="1034">
        <v>426</v>
      </c>
      <c r="P47" s="1034">
        <f t="shared" si="13"/>
        <v>608</v>
      </c>
      <c r="Q47" s="1034">
        <v>255</v>
      </c>
      <c r="R47" s="1034">
        <v>353</v>
      </c>
      <c r="S47" s="1034">
        <f t="shared" si="15"/>
        <v>249</v>
      </c>
      <c r="T47" s="1034">
        <v>77</v>
      </c>
      <c r="U47" s="1034">
        <v>172</v>
      </c>
      <c r="V47" s="1034"/>
      <c r="W47" s="1034"/>
      <c r="X47" s="1034"/>
      <c r="Y47" s="1034"/>
      <c r="Z47" s="1034"/>
      <c r="AA47" s="1034"/>
      <c r="AB47" s="1034"/>
      <c r="AC47" s="1034"/>
      <c r="AD47" s="1034"/>
      <c r="AE47" s="1034"/>
    </row>
    <row r="48" spans="1:31" x14ac:dyDescent="0.2">
      <c r="A48" s="1549" t="s">
        <v>18</v>
      </c>
      <c r="B48" s="1034">
        <f t="shared" si="8"/>
        <v>1753</v>
      </c>
      <c r="C48" s="1034">
        <f t="shared" si="9"/>
        <v>712</v>
      </c>
      <c r="D48" s="1034">
        <v>357</v>
      </c>
      <c r="E48" s="1034">
        <v>355</v>
      </c>
      <c r="F48" s="1034">
        <f t="shared" si="10"/>
        <v>648</v>
      </c>
      <c r="G48" s="1034">
        <v>262</v>
      </c>
      <c r="H48" s="1034">
        <v>386</v>
      </c>
      <c r="I48" s="1034">
        <f t="shared" si="11"/>
        <v>393</v>
      </c>
      <c r="J48" s="1034">
        <v>119</v>
      </c>
      <c r="K48" s="1034">
        <v>274</v>
      </c>
      <c r="L48" s="1034">
        <f t="shared" si="14"/>
        <v>1874</v>
      </c>
      <c r="M48" s="1034">
        <f t="shared" si="12"/>
        <v>740</v>
      </c>
      <c r="N48" s="1034">
        <v>376</v>
      </c>
      <c r="O48" s="1034">
        <v>364</v>
      </c>
      <c r="P48" s="1034">
        <f t="shared" si="13"/>
        <v>695</v>
      </c>
      <c r="Q48" s="1034">
        <v>290</v>
      </c>
      <c r="R48" s="1034">
        <v>405</v>
      </c>
      <c r="S48" s="1034">
        <f t="shared" si="15"/>
        <v>439</v>
      </c>
      <c r="T48" s="1034">
        <v>126</v>
      </c>
      <c r="U48" s="1034">
        <v>313</v>
      </c>
      <c r="V48" s="1034"/>
      <c r="W48" s="1034"/>
      <c r="X48" s="1034"/>
      <c r="Y48" s="1034"/>
      <c r="Z48" s="1034"/>
      <c r="AA48" s="1034"/>
      <c r="AB48" s="1034"/>
      <c r="AC48" s="1034"/>
      <c r="AD48" s="1034"/>
      <c r="AE48" s="1034"/>
    </row>
    <row r="49" spans="1:31" ht="8.25" customHeight="1" x14ac:dyDescent="0.2">
      <c r="A49" s="284"/>
      <c r="B49" s="1034"/>
      <c r="C49" s="1034"/>
      <c r="D49" s="1034"/>
      <c r="E49" s="1034"/>
      <c r="F49" s="1034"/>
      <c r="G49" s="1034"/>
      <c r="H49" s="1034"/>
      <c r="I49" s="1034"/>
      <c r="J49" s="1034"/>
      <c r="K49" s="1034"/>
      <c r="L49" s="1034"/>
      <c r="M49" s="1034"/>
      <c r="N49" s="1034"/>
      <c r="O49" s="1034"/>
      <c r="P49" s="1034"/>
      <c r="Q49" s="1034"/>
      <c r="R49" s="1034"/>
      <c r="S49" s="1034"/>
      <c r="T49" s="1034"/>
      <c r="U49" s="1034"/>
      <c r="V49" s="1034"/>
      <c r="W49" s="1034"/>
      <c r="X49" s="1034"/>
      <c r="Y49" s="1034"/>
      <c r="Z49" s="1034"/>
      <c r="AA49" s="1034"/>
      <c r="AB49" s="1034"/>
      <c r="AC49" s="1034"/>
      <c r="AD49" s="1034"/>
      <c r="AE49" s="1034"/>
    </row>
    <row r="50" spans="1:31" x14ac:dyDescent="0.2">
      <c r="A50" s="1025" t="s">
        <v>3419</v>
      </c>
      <c r="B50" s="1025"/>
      <c r="C50" s="1025"/>
      <c r="D50" s="1025"/>
      <c r="E50" s="1025"/>
      <c r="F50" s="1025"/>
      <c r="G50" s="1025"/>
    </row>
    <row r="51" spans="1:31" x14ac:dyDescent="0.2">
      <c r="A51" s="324"/>
    </row>
    <row r="52" spans="1:31" x14ac:dyDescent="0.2">
      <c r="A52" s="337" t="s">
        <v>3416</v>
      </c>
    </row>
    <row r="53" spans="1:31" x14ac:dyDescent="0.2">
      <c r="A53" s="337"/>
    </row>
    <row r="54" spans="1:31" x14ac:dyDescent="0.2">
      <c r="A54" s="275" t="s">
        <v>0</v>
      </c>
      <c r="B54" s="688">
        <v>2013</v>
      </c>
      <c r="C54" s="689"/>
      <c r="D54" s="689"/>
      <c r="E54" s="689"/>
      <c r="F54" s="689"/>
      <c r="G54" s="689"/>
      <c r="H54" s="689"/>
      <c r="I54" s="689"/>
      <c r="J54" s="689"/>
      <c r="K54" s="694"/>
    </row>
    <row r="55" spans="1:31" ht="10.5" customHeight="1" x14ac:dyDescent="0.2">
      <c r="A55" s="1179"/>
      <c r="B55" s="1554" t="s">
        <v>3420</v>
      </c>
      <c r="C55" s="298" t="s">
        <v>3410</v>
      </c>
      <c r="D55" s="298"/>
      <c r="E55" s="298"/>
      <c r="F55" s="298" t="s">
        <v>3411</v>
      </c>
      <c r="G55" s="298"/>
      <c r="H55" s="298"/>
      <c r="I55" s="298" t="s">
        <v>3412</v>
      </c>
      <c r="J55" s="298"/>
      <c r="K55" s="298"/>
    </row>
    <row r="56" spans="1:31" x14ac:dyDescent="0.2">
      <c r="A56" s="1179"/>
      <c r="B56" s="1554"/>
      <c r="C56" s="323" t="s">
        <v>3414</v>
      </c>
      <c r="D56" s="323"/>
      <c r="E56" s="323"/>
      <c r="F56" s="323" t="s">
        <v>3414</v>
      </c>
      <c r="G56" s="323"/>
      <c r="H56" s="323"/>
      <c r="I56" s="323" t="s">
        <v>3414</v>
      </c>
      <c r="J56" s="323"/>
      <c r="K56" s="323"/>
    </row>
    <row r="57" spans="1:31" x14ac:dyDescent="0.2">
      <c r="A57" s="277"/>
      <c r="B57" s="1554"/>
      <c r="C57" s="773" t="s">
        <v>42</v>
      </c>
      <c r="D57" s="773" t="s">
        <v>122</v>
      </c>
      <c r="E57" s="773" t="s">
        <v>123</v>
      </c>
      <c r="F57" s="773" t="s">
        <v>42</v>
      </c>
      <c r="G57" s="773" t="s">
        <v>122</v>
      </c>
      <c r="H57" s="773" t="s">
        <v>123</v>
      </c>
      <c r="I57" s="773" t="s">
        <v>42</v>
      </c>
      <c r="J57" s="773" t="s">
        <v>122</v>
      </c>
      <c r="K57" s="773" t="s">
        <v>123</v>
      </c>
    </row>
    <row r="58" spans="1:31" x14ac:dyDescent="0.2">
      <c r="A58" s="337" t="s">
        <v>3</v>
      </c>
      <c r="B58" s="1548">
        <f t="shared" ref="B58:B73" si="16">+I58+F58+C58</f>
        <v>69599</v>
      </c>
      <c r="C58" s="1548">
        <f t="shared" ref="C58:C73" si="17">+D58+E58</f>
        <v>27135</v>
      </c>
      <c r="D58" s="1548">
        <f>SUM(D59:D73)</f>
        <v>12469</v>
      </c>
      <c r="E58" s="1548">
        <f>SUM(E59:E73)</f>
        <v>14666</v>
      </c>
      <c r="F58" s="1548">
        <f t="shared" ref="F58:F73" si="18">+H58+G58</f>
        <v>26982</v>
      </c>
      <c r="G58" s="1548">
        <f>SUM(G59:G73)</f>
        <v>12113</v>
      </c>
      <c r="H58" s="1548">
        <f>SUM(H59:H73)</f>
        <v>14869</v>
      </c>
      <c r="I58" s="1548">
        <f t="shared" ref="I58:I73" si="19">+K58+J58</f>
        <v>15482</v>
      </c>
      <c r="J58" s="1548">
        <f>SUM(J59:J73)</f>
        <v>5388</v>
      </c>
      <c r="K58" s="1548">
        <f>SUM(K59:K73)</f>
        <v>10094</v>
      </c>
    </row>
    <row r="59" spans="1:31" x14ac:dyDescent="0.2">
      <c r="A59" s="1549" t="s">
        <v>4</v>
      </c>
      <c r="B59" s="1034">
        <f t="shared" si="16"/>
        <v>3643</v>
      </c>
      <c r="C59" s="1034">
        <f t="shared" si="17"/>
        <v>1343</v>
      </c>
      <c r="D59" s="1034">
        <v>648</v>
      </c>
      <c r="E59" s="1034">
        <v>695</v>
      </c>
      <c r="F59" s="1034">
        <f t="shared" si="18"/>
        <v>1362</v>
      </c>
      <c r="G59" s="1034">
        <v>633</v>
      </c>
      <c r="H59" s="1034">
        <v>729</v>
      </c>
      <c r="I59" s="1034">
        <f t="shared" si="19"/>
        <v>938</v>
      </c>
      <c r="J59" s="1034">
        <v>297</v>
      </c>
      <c r="K59" s="1034">
        <v>641</v>
      </c>
    </row>
    <row r="60" spans="1:31" x14ac:dyDescent="0.2">
      <c r="A60" s="1549" t="s">
        <v>5</v>
      </c>
      <c r="B60" s="1034">
        <f t="shared" si="16"/>
        <v>3080</v>
      </c>
      <c r="C60" s="1034">
        <f t="shared" si="17"/>
        <v>1256</v>
      </c>
      <c r="D60" s="1034">
        <v>609</v>
      </c>
      <c r="E60" s="1034">
        <v>647</v>
      </c>
      <c r="F60" s="1034">
        <f t="shared" si="18"/>
        <v>1168</v>
      </c>
      <c r="G60" s="1034">
        <v>501</v>
      </c>
      <c r="H60" s="1034">
        <v>667</v>
      </c>
      <c r="I60" s="1034">
        <f t="shared" si="19"/>
        <v>656</v>
      </c>
      <c r="J60" s="1034">
        <v>224</v>
      </c>
      <c r="K60" s="1034">
        <v>432</v>
      </c>
    </row>
    <row r="61" spans="1:31" x14ac:dyDescent="0.2">
      <c r="A61" s="1549" t="s">
        <v>6</v>
      </c>
      <c r="B61" s="1034">
        <f t="shared" si="16"/>
        <v>1592</v>
      </c>
      <c r="C61" s="1034">
        <f t="shared" si="17"/>
        <v>630</v>
      </c>
      <c r="D61" s="1034">
        <v>293</v>
      </c>
      <c r="E61" s="1034">
        <v>337</v>
      </c>
      <c r="F61" s="1034">
        <f t="shared" si="18"/>
        <v>530</v>
      </c>
      <c r="G61" s="1034">
        <v>256</v>
      </c>
      <c r="H61" s="1034">
        <v>274</v>
      </c>
      <c r="I61" s="1034">
        <f t="shared" si="19"/>
        <v>432</v>
      </c>
      <c r="J61" s="1034">
        <v>139</v>
      </c>
      <c r="K61" s="1034">
        <v>293</v>
      </c>
    </row>
    <row r="62" spans="1:31" x14ac:dyDescent="0.2">
      <c r="A62" s="1549" t="s">
        <v>7</v>
      </c>
      <c r="B62" s="1034">
        <f t="shared" si="16"/>
        <v>1498</v>
      </c>
      <c r="C62" s="1034">
        <f t="shared" si="17"/>
        <v>503</v>
      </c>
      <c r="D62" s="1034">
        <v>229</v>
      </c>
      <c r="E62" s="1034">
        <v>274</v>
      </c>
      <c r="F62" s="1034">
        <f t="shared" si="18"/>
        <v>640</v>
      </c>
      <c r="G62" s="1034">
        <v>278</v>
      </c>
      <c r="H62" s="1034">
        <v>362</v>
      </c>
      <c r="I62" s="1034">
        <f t="shared" si="19"/>
        <v>355</v>
      </c>
      <c r="J62" s="1034">
        <v>126</v>
      </c>
      <c r="K62" s="1034">
        <v>229</v>
      </c>
    </row>
    <row r="63" spans="1:31" x14ac:dyDescent="0.2">
      <c r="A63" s="1549" t="s">
        <v>8</v>
      </c>
      <c r="B63" s="1034">
        <f t="shared" si="16"/>
        <v>955</v>
      </c>
      <c r="C63" s="1034">
        <f t="shared" si="17"/>
        <v>274</v>
      </c>
      <c r="D63" s="1034">
        <v>128</v>
      </c>
      <c r="E63" s="1034">
        <v>146</v>
      </c>
      <c r="F63" s="1034">
        <f t="shared" si="18"/>
        <v>383</v>
      </c>
      <c r="G63" s="1034">
        <v>182</v>
      </c>
      <c r="H63" s="1034">
        <v>201</v>
      </c>
      <c r="I63" s="1034">
        <f t="shared" si="19"/>
        <v>298</v>
      </c>
      <c r="J63" s="1034">
        <v>107</v>
      </c>
      <c r="K63" s="1034">
        <v>191</v>
      </c>
    </row>
    <row r="64" spans="1:31" x14ac:dyDescent="0.2">
      <c r="A64" s="1549" t="s">
        <v>9</v>
      </c>
      <c r="B64" s="1034">
        <f t="shared" si="16"/>
        <v>2304</v>
      </c>
      <c r="C64" s="1034">
        <f t="shared" si="17"/>
        <v>815</v>
      </c>
      <c r="D64" s="1034">
        <v>365</v>
      </c>
      <c r="E64" s="1034">
        <v>450</v>
      </c>
      <c r="F64" s="1034">
        <f t="shared" si="18"/>
        <v>832</v>
      </c>
      <c r="G64" s="1034">
        <v>381</v>
      </c>
      <c r="H64" s="1034">
        <v>451</v>
      </c>
      <c r="I64" s="1034">
        <f t="shared" si="19"/>
        <v>657</v>
      </c>
      <c r="J64" s="1034">
        <v>250</v>
      </c>
      <c r="K64" s="1034">
        <v>407</v>
      </c>
    </row>
    <row r="65" spans="1:21" x14ac:dyDescent="0.2">
      <c r="A65" s="1549" t="s">
        <v>10</v>
      </c>
      <c r="B65" s="1034">
        <f t="shared" si="16"/>
        <v>10235</v>
      </c>
      <c r="C65" s="1034">
        <f t="shared" si="17"/>
        <v>3773</v>
      </c>
      <c r="D65" s="1034">
        <v>1758</v>
      </c>
      <c r="E65" s="1034">
        <v>2015</v>
      </c>
      <c r="F65" s="1034">
        <f t="shared" si="18"/>
        <v>3647</v>
      </c>
      <c r="G65" s="1034">
        <v>1597</v>
      </c>
      <c r="H65" s="1034">
        <v>2050</v>
      </c>
      <c r="I65" s="1034">
        <f t="shared" si="19"/>
        <v>2815</v>
      </c>
      <c r="J65" s="1034">
        <v>966</v>
      </c>
      <c r="K65" s="1034">
        <v>1849</v>
      </c>
    </row>
    <row r="66" spans="1:21" x14ac:dyDescent="0.2">
      <c r="A66" s="1549" t="s">
        <v>134</v>
      </c>
      <c r="B66" s="1034">
        <f t="shared" si="16"/>
        <v>1399</v>
      </c>
      <c r="C66" s="1034">
        <f t="shared" si="17"/>
        <v>465</v>
      </c>
      <c r="D66" s="1034">
        <v>209</v>
      </c>
      <c r="E66" s="1034">
        <v>256</v>
      </c>
      <c r="F66" s="1034">
        <f t="shared" si="18"/>
        <v>531</v>
      </c>
      <c r="G66" s="1034">
        <v>229</v>
      </c>
      <c r="H66" s="1034">
        <v>302</v>
      </c>
      <c r="I66" s="1034">
        <f t="shared" si="19"/>
        <v>403</v>
      </c>
      <c r="J66" s="1034">
        <v>150</v>
      </c>
      <c r="K66" s="1034">
        <v>253</v>
      </c>
    </row>
    <row r="67" spans="1:21" x14ac:dyDescent="0.2">
      <c r="A67" s="1549" t="s">
        <v>12</v>
      </c>
      <c r="B67" s="1034">
        <f t="shared" si="16"/>
        <v>1978</v>
      </c>
      <c r="C67" s="1034">
        <f t="shared" si="17"/>
        <v>669</v>
      </c>
      <c r="D67" s="1034">
        <v>313</v>
      </c>
      <c r="E67" s="1034">
        <v>356</v>
      </c>
      <c r="F67" s="1034">
        <f t="shared" si="18"/>
        <v>832</v>
      </c>
      <c r="G67" s="1034">
        <v>364</v>
      </c>
      <c r="H67" s="1034">
        <v>468</v>
      </c>
      <c r="I67" s="1034">
        <f t="shared" si="19"/>
        <v>477</v>
      </c>
      <c r="J67" s="1034">
        <v>176</v>
      </c>
      <c r="K67" s="1034">
        <v>301</v>
      </c>
    </row>
    <row r="68" spans="1:21" x14ac:dyDescent="0.2">
      <c r="A68" s="1549" t="s">
        <v>13</v>
      </c>
      <c r="B68" s="1034">
        <f t="shared" si="16"/>
        <v>6419</v>
      </c>
      <c r="C68" s="1034">
        <f t="shared" si="17"/>
        <v>2514</v>
      </c>
      <c r="D68" s="1034">
        <v>1169</v>
      </c>
      <c r="E68" s="1034">
        <v>1345</v>
      </c>
      <c r="F68" s="1034">
        <f t="shared" si="18"/>
        <v>2677</v>
      </c>
      <c r="G68" s="1034">
        <v>1207</v>
      </c>
      <c r="H68" s="1034">
        <v>1470</v>
      </c>
      <c r="I68" s="1034">
        <f t="shared" si="19"/>
        <v>1228</v>
      </c>
      <c r="J68" s="1034">
        <v>426</v>
      </c>
      <c r="K68" s="1034">
        <v>802</v>
      </c>
    </row>
    <row r="69" spans="1:21" x14ac:dyDescent="0.2">
      <c r="A69" s="1549" t="s">
        <v>47</v>
      </c>
      <c r="B69" s="1034">
        <f t="shared" si="16"/>
        <v>20126</v>
      </c>
      <c r="C69" s="1034">
        <f t="shared" si="17"/>
        <v>7926</v>
      </c>
      <c r="D69" s="1034">
        <v>3649</v>
      </c>
      <c r="E69" s="1034">
        <v>4277</v>
      </c>
      <c r="F69" s="1034">
        <f t="shared" si="18"/>
        <v>7856</v>
      </c>
      <c r="G69" s="1034">
        <v>3559</v>
      </c>
      <c r="H69" s="1034">
        <v>4297</v>
      </c>
      <c r="I69" s="1034">
        <f t="shared" si="19"/>
        <v>4344</v>
      </c>
      <c r="J69" s="1034">
        <v>1542</v>
      </c>
      <c r="K69" s="1034">
        <v>2802</v>
      </c>
    </row>
    <row r="70" spans="1:21" x14ac:dyDescent="0.2">
      <c r="A70" s="1549" t="s">
        <v>135</v>
      </c>
      <c r="B70" s="1034">
        <f t="shared" si="16"/>
        <v>3870</v>
      </c>
      <c r="C70" s="1034">
        <f t="shared" si="17"/>
        <v>1520</v>
      </c>
      <c r="D70" s="1034">
        <v>664</v>
      </c>
      <c r="E70" s="1034">
        <v>856</v>
      </c>
      <c r="F70" s="1034">
        <f t="shared" si="18"/>
        <v>1547</v>
      </c>
      <c r="G70" s="1034">
        <v>737</v>
      </c>
      <c r="H70" s="1034">
        <v>810</v>
      </c>
      <c r="I70" s="1034">
        <f t="shared" si="19"/>
        <v>803</v>
      </c>
      <c r="J70" s="1034">
        <v>269</v>
      </c>
      <c r="K70" s="1034">
        <v>534</v>
      </c>
    </row>
    <row r="71" spans="1:21" x14ac:dyDescent="0.2">
      <c r="A71" s="1549" t="s">
        <v>136</v>
      </c>
      <c r="B71" s="1034">
        <f t="shared" si="16"/>
        <v>8781</v>
      </c>
      <c r="C71" s="1034">
        <f t="shared" si="17"/>
        <v>3781</v>
      </c>
      <c r="D71" s="1034">
        <v>1662</v>
      </c>
      <c r="E71" s="1034">
        <v>2119</v>
      </c>
      <c r="F71" s="1034">
        <f t="shared" si="18"/>
        <v>3550</v>
      </c>
      <c r="G71" s="1034">
        <v>1546</v>
      </c>
      <c r="H71" s="1034">
        <v>2004</v>
      </c>
      <c r="I71" s="1034">
        <f t="shared" si="19"/>
        <v>1450</v>
      </c>
      <c r="J71" s="1034">
        <v>528</v>
      </c>
      <c r="K71" s="1034">
        <v>922</v>
      </c>
    </row>
    <row r="72" spans="1:21" x14ac:dyDescent="0.2">
      <c r="A72" s="1549" t="s">
        <v>17</v>
      </c>
      <c r="B72" s="1034">
        <f t="shared" si="16"/>
        <v>1672</v>
      </c>
      <c r="C72" s="1034">
        <f t="shared" si="17"/>
        <v>839</v>
      </c>
      <c r="D72" s="1034">
        <v>387</v>
      </c>
      <c r="E72" s="1034">
        <v>452</v>
      </c>
      <c r="F72" s="1034">
        <f t="shared" si="18"/>
        <v>684</v>
      </c>
      <c r="G72" s="1034">
        <v>302</v>
      </c>
      <c r="H72" s="1034">
        <v>382</v>
      </c>
      <c r="I72" s="1034">
        <f t="shared" si="19"/>
        <v>149</v>
      </c>
      <c r="J72" s="1034">
        <v>40</v>
      </c>
      <c r="K72" s="1034">
        <v>109</v>
      </c>
    </row>
    <row r="73" spans="1:21" x14ac:dyDescent="0.2">
      <c r="A73" s="1549" t="s">
        <v>18</v>
      </c>
      <c r="B73" s="1034">
        <f t="shared" si="16"/>
        <v>2047</v>
      </c>
      <c r="C73" s="1034">
        <f t="shared" si="17"/>
        <v>827</v>
      </c>
      <c r="D73" s="1034">
        <v>386</v>
      </c>
      <c r="E73" s="1034">
        <v>441</v>
      </c>
      <c r="F73" s="1034">
        <f t="shared" si="18"/>
        <v>743</v>
      </c>
      <c r="G73" s="1034">
        <v>341</v>
      </c>
      <c r="H73" s="1034">
        <v>402</v>
      </c>
      <c r="I73" s="1034">
        <f t="shared" si="19"/>
        <v>477</v>
      </c>
      <c r="J73" s="1034">
        <v>148</v>
      </c>
      <c r="K73" s="1034">
        <v>329</v>
      </c>
    </row>
    <row r="74" spans="1:21" x14ac:dyDescent="0.2">
      <c r="A74" s="324"/>
    </row>
    <row r="75" spans="1:21" x14ac:dyDescent="0.2">
      <c r="A75" s="1025" t="s">
        <v>3419</v>
      </c>
      <c r="B75" s="1025"/>
      <c r="C75" s="1025"/>
      <c r="D75" s="1025"/>
      <c r="E75" s="1025"/>
      <c r="F75" s="1025"/>
      <c r="G75" s="1025"/>
    </row>
    <row r="76" spans="1:21" x14ac:dyDescent="0.2">
      <c r="A76" s="324"/>
    </row>
    <row r="78" spans="1:21" x14ac:dyDescent="0.2">
      <c r="B78" s="324"/>
      <c r="C78" s="324"/>
      <c r="D78" s="324"/>
      <c r="E78" s="324"/>
      <c r="F78" s="324"/>
      <c r="G78" s="324"/>
      <c r="H78" s="324"/>
      <c r="I78" s="692"/>
      <c r="J78" s="324"/>
      <c r="K78" s="324"/>
      <c r="L78" s="324"/>
      <c r="M78" s="324"/>
      <c r="N78" s="324"/>
      <c r="O78" s="324"/>
      <c r="P78" s="324"/>
      <c r="Q78" s="324"/>
      <c r="R78" s="324"/>
      <c r="S78" s="324"/>
      <c r="T78" s="324"/>
      <c r="U78" s="324"/>
    </row>
    <row r="79" spans="1:21" x14ac:dyDescent="0.2">
      <c r="A79" s="324"/>
      <c r="B79" s="324"/>
      <c r="C79" s="324"/>
      <c r="D79" s="324"/>
      <c r="E79" s="324"/>
      <c r="F79" s="655"/>
      <c r="G79" s="655"/>
      <c r="H79" s="655"/>
      <c r="I79" s="1558"/>
      <c r="J79" s="324"/>
      <c r="K79" s="324"/>
      <c r="L79" s="324"/>
      <c r="M79" s="324"/>
      <c r="N79" s="324"/>
      <c r="O79" s="324"/>
      <c r="P79" s="324"/>
      <c r="Q79" s="324"/>
      <c r="R79" s="324"/>
      <c r="S79" s="324"/>
      <c r="T79" s="324"/>
      <c r="U79" s="324"/>
    </row>
  </sheetData>
  <mergeCells count="46">
    <mergeCell ref="A75:G75"/>
    <mergeCell ref="A50:G50"/>
    <mergeCell ref="A54:A57"/>
    <mergeCell ref="B54:K54"/>
    <mergeCell ref="B55:B57"/>
    <mergeCell ref="C55:E55"/>
    <mergeCell ref="F55:H55"/>
    <mergeCell ref="I55:K55"/>
    <mergeCell ref="C56:E56"/>
    <mergeCell ref="F56:H56"/>
    <mergeCell ref="I56:K56"/>
    <mergeCell ref="P30:R30"/>
    <mergeCell ref="S30:U30"/>
    <mergeCell ref="C31:E31"/>
    <mergeCell ref="F31:H31"/>
    <mergeCell ref="I31:K31"/>
    <mergeCell ref="M31:O31"/>
    <mergeCell ref="P31:R31"/>
    <mergeCell ref="S31:U31"/>
    <mergeCell ref="A25:G25"/>
    <mergeCell ref="A29:A32"/>
    <mergeCell ref="B29:K29"/>
    <mergeCell ref="L29:U29"/>
    <mergeCell ref="B30:B32"/>
    <mergeCell ref="C30:E30"/>
    <mergeCell ref="F30:H30"/>
    <mergeCell ref="I30:K30"/>
    <mergeCell ref="L30:L32"/>
    <mergeCell ref="M30:O30"/>
    <mergeCell ref="S5:U5"/>
    <mergeCell ref="C6:E6"/>
    <mergeCell ref="F6:H6"/>
    <mergeCell ref="I6:K6"/>
    <mergeCell ref="M6:O6"/>
    <mergeCell ref="P6:R6"/>
    <mergeCell ref="S6:U6"/>
    <mergeCell ref="A4:A7"/>
    <mergeCell ref="B4:K4"/>
    <mergeCell ref="L4:U4"/>
    <mergeCell ref="B5:B7"/>
    <mergeCell ref="C5:E5"/>
    <mergeCell ref="F5:H5"/>
    <mergeCell ref="I5:K5"/>
    <mergeCell ref="L5:L7"/>
    <mergeCell ref="M5:O5"/>
    <mergeCell ref="P5:R5"/>
  </mergeCells>
  <pageMargins left="0.7" right="0.7" top="0.75" bottom="0.75" header="0.3" footer="0.3"/>
  <pageSetup paperSize="14" scale="64" orientation="landscape" r:id="rId1"/>
  <colBreaks count="1" manualBreakCount="1">
    <brk id="11" max="74" man="1"/>
  </colBreaks>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06D13-059D-408B-9A4D-79F09742E788}">
  <sheetPr codeName="Hoja295"/>
  <dimension ref="A2:U28"/>
  <sheetViews>
    <sheetView zoomScaleNormal="100" workbookViewId="0">
      <selection activeCell="A2" sqref="A2"/>
    </sheetView>
  </sheetViews>
  <sheetFormatPr baseColWidth="10" defaultRowHeight="13.2" x14ac:dyDescent="0.25"/>
  <cols>
    <col min="1" max="1" width="17.33203125" customWidth="1"/>
    <col min="2" max="16" width="15.88671875" bestFit="1" customWidth="1"/>
  </cols>
  <sheetData>
    <row r="2" spans="1:21" s="24" customFormat="1" ht="10.199999999999999" x14ac:dyDescent="0.2">
      <c r="A2" s="337" t="s">
        <v>3371</v>
      </c>
    </row>
    <row r="3" spans="1:21" s="2" customFormat="1" ht="10.199999999999999" x14ac:dyDescent="0.2">
      <c r="A3" s="337"/>
      <c r="B3" s="324"/>
      <c r="C3" s="324"/>
      <c r="D3" s="324"/>
      <c r="E3" s="324"/>
      <c r="F3" s="1559"/>
      <c r="G3" s="324"/>
      <c r="H3" s="324"/>
      <c r="I3" s="692"/>
      <c r="J3" s="324"/>
      <c r="K3" s="324"/>
      <c r="L3" s="324"/>
      <c r="M3" s="324"/>
      <c r="N3" s="324"/>
      <c r="O3" s="324"/>
      <c r="P3" s="324"/>
      <c r="Q3" s="324"/>
      <c r="R3" s="324"/>
      <c r="S3" s="324"/>
      <c r="T3" s="324"/>
      <c r="U3" s="324"/>
    </row>
    <row r="4" spans="1:21" s="2" customFormat="1" ht="12.75" customHeight="1" x14ac:dyDescent="0.2">
      <c r="A4" s="275" t="s">
        <v>0</v>
      </c>
      <c r="B4" s="323">
        <v>2009</v>
      </c>
      <c r="C4" s="323"/>
      <c r="D4" s="323"/>
      <c r="E4" s="323">
        <v>2010</v>
      </c>
      <c r="F4" s="323"/>
      <c r="G4" s="323"/>
      <c r="H4" s="323">
        <v>2011</v>
      </c>
      <c r="I4" s="323"/>
      <c r="J4" s="323"/>
      <c r="K4" s="323">
        <v>2012</v>
      </c>
      <c r="L4" s="323"/>
      <c r="M4" s="323"/>
      <c r="N4" s="323">
        <v>2013</v>
      </c>
      <c r="O4" s="323"/>
      <c r="P4" s="323"/>
      <c r="Q4" s="324"/>
      <c r="R4" s="324"/>
      <c r="S4" s="324"/>
      <c r="T4" s="324"/>
      <c r="U4" s="324"/>
    </row>
    <row r="5" spans="1:21" s="2" customFormat="1" ht="10.199999999999999" x14ac:dyDescent="0.2">
      <c r="A5" s="1179"/>
      <c r="B5" s="323" t="s">
        <v>3421</v>
      </c>
      <c r="C5" s="323"/>
      <c r="D5" s="323"/>
      <c r="E5" s="323" t="s">
        <v>3421</v>
      </c>
      <c r="F5" s="323"/>
      <c r="G5" s="323"/>
      <c r="H5" s="323" t="s">
        <v>3421</v>
      </c>
      <c r="I5" s="323"/>
      <c r="J5" s="323"/>
      <c r="K5" s="323" t="s">
        <v>3421</v>
      </c>
      <c r="L5" s="323"/>
      <c r="M5" s="323"/>
      <c r="N5" s="323" t="s">
        <v>3421</v>
      </c>
      <c r="O5" s="323"/>
      <c r="P5" s="323"/>
      <c r="Q5" s="324"/>
      <c r="R5" s="324"/>
      <c r="S5" s="324"/>
      <c r="T5" s="324"/>
      <c r="U5" s="324"/>
    </row>
    <row r="6" spans="1:21" s="2" customFormat="1" ht="10.199999999999999" x14ac:dyDescent="0.2">
      <c r="A6" s="1179"/>
      <c r="B6" s="323" t="s">
        <v>3422</v>
      </c>
      <c r="C6" s="323"/>
      <c r="D6" s="323"/>
      <c r="E6" s="323" t="s">
        <v>3422</v>
      </c>
      <c r="F6" s="323"/>
      <c r="G6" s="323"/>
      <c r="H6" s="323" t="s">
        <v>3422</v>
      </c>
      <c r="I6" s="323"/>
      <c r="J6" s="323"/>
      <c r="K6" s="323" t="s">
        <v>3422</v>
      </c>
      <c r="L6" s="323"/>
      <c r="M6" s="323"/>
      <c r="N6" s="323" t="s">
        <v>3422</v>
      </c>
      <c r="O6" s="323"/>
      <c r="P6" s="323"/>
      <c r="Q6" s="324"/>
      <c r="R6" s="324"/>
      <c r="S6" s="324"/>
      <c r="T6" s="844"/>
      <c r="U6" s="844"/>
    </row>
    <row r="7" spans="1:21" s="2" customFormat="1" ht="10.199999999999999" x14ac:dyDescent="0.2">
      <c r="A7" s="277"/>
      <c r="B7" s="621" t="s">
        <v>3423</v>
      </c>
      <c r="C7" s="621" t="s">
        <v>3424</v>
      </c>
      <c r="D7" s="621" t="s">
        <v>3425</v>
      </c>
      <c r="E7" s="621" t="s">
        <v>3423</v>
      </c>
      <c r="F7" s="621" t="s">
        <v>3424</v>
      </c>
      <c r="G7" s="621" t="s">
        <v>3425</v>
      </c>
      <c r="H7" s="621" t="s">
        <v>3423</v>
      </c>
      <c r="I7" s="621" t="s">
        <v>3424</v>
      </c>
      <c r="J7" s="621" t="s">
        <v>3425</v>
      </c>
      <c r="K7" s="621" t="s">
        <v>3423</v>
      </c>
      <c r="L7" s="621" t="s">
        <v>3424</v>
      </c>
      <c r="M7" s="621" t="s">
        <v>3425</v>
      </c>
      <c r="N7" s="621" t="s">
        <v>3423</v>
      </c>
      <c r="O7" s="621" t="s">
        <v>3424</v>
      </c>
      <c r="P7" s="621" t="s">
        <v>3425</v>
      </c>
      <c r="Q7" s="324"/>
      <c r="R7" s="324"/>
      <c r="S7" s="324"/>
      <c r="T7" s="1034"/>
      <c r="U7" s="1034"/>
    </row>
    <row r="8" spans="1:21" s="2" customFormat="1" ht="10.199999999999999" x14ac:dyDescent="0.2">
      <c r="A8" s="337" t="s">
        <v>3</v>
      </c>
      <c r="B8" s="1558">
        <f>SUM(B9:B23)</f>
        <v>1568762625</v>
      </c>
      <c r="C8" s="1558">
        <f t="shared" ref="C8:P8" si="0">SUM(C9:C23)</f>
        <v>3113378720</v>
      </c>
      <c r="D8" s="1558">
        <f t="shared" si="0"/>
        <v>4537003216</v>
      </c>
      <c r="E8" s="1558">
        <f t="shared" si="0"/>
        <v>2548504181</v>
      </c>
      <c r="F8" s="1558">
        <f t="shared" si="0"/>
        <v>4524556600</v>
      </c>
      <c r="G8" s="1558">
        <f t="shared" si="0"/>
        <v>4707250062</v>
      </c>
      <c r="H8" s="1558">
        <f t="shared" si="0"/>
        <v>2250825500</v>
      </c>
      <c r="I8" s="1558">
        <f t="shared" si="0"/>
        <v>4162514544</v>
      </c>
      <c r="J8" s="1558">
        <f t="shared" si="0"/>
        <v>7079445600</v>
      </c>
      <c r="K8" s="1558">
        <f t="shared" si="0"/>
        <v>2287577000</v>
      </c>
      <c r="L8" s="1558">
        <f>SUM(L9:L23)</f>
        <v>4543366089</v>
      </c>
      <c r="M8" s="1558">
        <f t="shared" si="0"/>
        <v>8000705867</v>
      </c>
      <c r="N8" s="1558">
        <f t="shared" si="0"/>
        <v>2504868000</v>
      </c>
      <c r="O8" s="1558">
        <f t="shared" si="0"/>
        <v>5145283500</v>
      </c>
      <c r="P8" s="1558">
        <f t="shared" si="0"/>
        <v>9037501000</v>
      </c>
      <c r="Q8" s="324"/>
      <c r="R8" s="324"/>
      <c r="S8" s="288"/>
      <c r="T8" s="1034"/>
      <c r="U8" s="1034"/>
    </row>
    <row r="9" spans="1:21" s="2" customFormat="1" ht="10.199999999999999" x14ac:dyDescent="0.2">
      <c r="A9" s="1549" t="s">
        <v>4</v>
      </c>
      <c r="B9" s="1560">
        <v>80504350</v>
      </c>
      <c r="C9" s="1560">
        <v>149830430</v>
      </c>
      <c r="D9" s="1560">
        <v>288780240</v>
      </c>
      <c r="E9" s="1561">
        <v>120350938</v>
      </c>
      <c r="F9" s="1561">
        <v>215032226</v>
      </c>
      <c r="G9" s="1561">
        <v>290770162</v>
      </c>
      <c r="H9" s="1560">
        <v>112948000</v>
      </c>
      <c r="I9" s="1560">
        <v>200334000</v>
      </c>
      <c r="J9" s="1560">
        <v>443143500</v>
      </c>
      <c r="K9" s="1560">
        <v>116039500</v>
      </c>
      <c r="L9" s="1560">
        <v>230249000</v>
      </c>
      <c r="M9" s="1560">
        <v>519409900</v>
      </c>
      <c r="N9" s="1560">
        <v>124588750</v>
      </c>
      <c r="O9" s="1560">
        <v>257848000</v>
      </c>
      <c r="P9" s="1560">
        <v>539744400</v>
      </c>
      <c r="Q9" s="324"/>
      <c r="R9" s="324"/>
      <c r="S9" s="324"/>
      <c r="T9" s="324"/>
      <c r="U9" s="324"/>
    </row>
    <row r="10" spans="1:21" s="2" customFormat="1" ht="10.199999999999999" x14ac:dyDescent="0.2">
      <c r="A10" s="1549" t="s">
        <v>5</v>
      </c>
      <c r="B10" s="1560">
        <v>77600475</v>
      </c>
      <c r="C10" s="1560">
        <v>131504520</v>
      </c>
      <c r="D10" s="1560">
        <v>191552704</v>
      </c>
      <c r="E10" s="1561">
        <v>124477515</v>
      </c>
      <c r="F10" s="1561">
        <v>205321016</v>
      </c>
      <c r="G10" s="1561">
        <v>203436660</v>
      </c>
      <c r="H10" s="1560">
        <v>109815750</v>
      </c>
      <c r="I10" s="1560">
        <v>175630000</v>
      </c>
      <c r="J10" s="1560">
        <v>319469200</v>
      </c>
      <c r="K10" s="1560">
        <v>112106500</v>
      </c>
      <c r="L10" s="1560">
        <v>194640500</v>
      </c>
      <c r="M10" s="1560">
        <v>356855300</v>
      </c>
      <c r="N10" s="1560">
        <v>116968500</v>
      </c>
      <c r="O10" s="1560">
        <v>222625500</v>
      </c>
      <c r="P10" s="1560">
        <v>384959400</v>
      </c>
      <c r="Q10" s="324"/>
      <c r="R10" s="324"/>
      <c r="S10" s="288"/>
      <c r="T10" s="1034"/>
      <c r="U10" s="1034"/>
    </row>
    <row r="11" spans="1:21" s="2" customFormat="1" ht="10.199999999999999" x14ac:dyDescent="0.2">
      <c r="A11" s="1549" t="s">
        <v>6</v>
      </c>
      <c r="B11" s="1560">
        <v>48249000</v>
      </c>
      <c r="C11" s="1560">
        <v>80670840</v>
      </c>
      <c r="D11" s="1560">
        <v>128998384</v>
      </c>
      <c r="E11" s="1561">
        <v>79765373</v>
      </c>
      <c r="F11" s="1561">
        <v>121492458</v>
      </c>
      <c r="G11" s="1561">
        <v>133248882</v>
      </c>
      <c r="H11" s="1560">
        <v>66291500</v>
      </c>
      <c r="I11" s="1560">
        <v>110722000</v>
      </c>
      <c r="J11" s="1560">
        <v>196585300</v>
      </c>
      <c r="K11" s="1560">
        <v>62271000</v>
      </c>
      <c r="L11" s="1560">
        <v>118791500</v>
      </c>
      <c r="M11" s="1560">
        <v>229142500</v>
      </c>
      <c r="N11" s="1560">
        <v>57970000</v>
      </c>
      <c r="O11" s="1560">
        <v>101904000</v>
      </c>
      <c r="P11" s="1560">
        <v>253726000</v>
      </c>
      <c r="Q11" s="324"/>
      <c r="R11" s="324"/>
      <c r="S11" s="288"/>
      <c r="T11" s="1034"/>
      <c r="U11" s="1034"/>
    </row>
    <row r="12" spans="1:21" s="2" customFormat="1" ht="10.199999999999999" x14ac:dyDescent="0.2">
      <c r="A12" s="1549" t="s">
        <v>7</v>
      </c>
      <c r="B12" s="1560">
        <v>27207075</v>
      </c>
      <c r="C12" s="1560">
        <v>64370910</v>
      </c>
      <c r="D12" s="1560">
        <v>92935528</v>
      </c>
      <c r="E12" s="1561">
        <v>39723972</v>
      </c>
      <c r="F12" s="1561">
        <v>83753600</v>
      </c>
      <c r="G12" s="1561">
        <v>101515388</v>
      </c>
      <c r="H12" s="1560">
        <v>38428500</v>
      </c>
      <c r="I12" s="1560">
        <v>86246000</v>
      </c>
      <c r="J12" s="1560">
        <v>159363300</v>
      </c>
      <c r="K12" s="1560">
        <v>40158250</v>
      </c>
      <c r="L12" s="1560">
        <v>99684500</v>
      </c>
      <c r="M12" s="1560">
        <v>185013600</v>
      </c>
      <c r="N12" s="1560">
        <v>46796750</v>
      </c>
      <c r="O12" s="1560">
        <v>123423500</v>
      </c>
      <c r="P12" s="1560">
        <v>209415000</v>
      </c>
      <c r="Q12" s="324"/>
      <c r="R12" s="324"/>
      <c r="S12" s="288"/>
      <c r="T12" s="1034"/>
      <c r="U12" s="1034"/>
    </row>
    <row r="13" spans="1:21" s="2" customFormat="1" ht="10.199999999999999" x14ac:dyDescent="0.2">
      <c r="A13" s="1549" t="s">
        <v>8</v>
      </c>
      <c r="B13" s="1560">
        <v>20416475</v>
      </c>
      <c r="C13" s="1560">
        <v>67041520</v>
      </c>
      <c r="D13" s="1560">
        <v>97749320</v>
      </c>
      <c r="E13" s="1561">
        <v>33239351</v>
      </c>
      <c r="F13" s="1561">
        <v>91630458</v>
      </c>
      <c r="G13" s="1561">
        <v>102741962</v>
      </c>
      <c r="H13" s="1560">
        <v>20944000</v>
      </c>
      <c r="I13" s="1560">
        <v>67936000</v>
      </c>
      <c r="J13" s="1560">
        <v>127170300</v>
      </c>
      <c r="K13" s="1560">
        <v>21972500</v>
      </c>
      <c r="L13" s="1560">
        <v>72182000</v>
      </c>
      <c r="M13" s="1560">
        <v>160551500</v>
      </c>
      <c r="N13" s="1560">
        <v>25432000</v>
      </c>
      <c r="O13" s="1560">
        <v>73436500</v>
      </c>
      <c r="P13" s="1560">
        <v>178458000</v>
      </c>
      <c r="Q13" s="324"/>
      <c r="R13" s="324"/>
      <c r="S13" s="288"/>
      <c r="T13" s="1034"/>
      <c r="U13" s="1034"/>
    </row>
    <row r="14" spans="1:21" s="2" customFormat="1" ht="10.199999999999999" x14ac:dyDescent="0.2">
      <c r="A14" s="1549" t="s">
        <v>9</v>
      </c>
      <c r="B14" s="1560">
        <v>45836550</v>
      </c>
      <c r="C14" s="1560">
        <v>106548130</v>
      </c>
      <c r="D14" s="1560">
        <v>187104156</v>
      </c>
      <c r="E14" s="1561">
        <v>73280752</v>
      </c>
      <c r="F14" s="1561">
        <v>155355408</v>
      </c>
      <c r="G14" s="1561">
        <v>191952228</v>
      </c>
      <c r="H14" s="1560">
        <v>66385000</v>
      </c>
      <c r="I14" s="1560">
        <v>141276000</v>
      </c>
      <c r="J14" s="1560">
        <v>289801100</v>
      </c>
      <c r="K14" s="1560">
        <v>62598250</v>
      </c>
      <c r="L14" s="1560">
        <v>152470000</v>
      </c>
      <c r="M14" s="1560">
        <v>335428200</v>
      </c>
      <c r="N14" s="1560">
        <v>75781750</v>
      </c>
      <c r="O14" s="1560">
        <v>159128500</v>
      </c>
      <c r="P14" s="1560">
        <v>384898700</v>
      </c>
      <c r="Q14" s="324"/>
      <c r="R14" s="324"/>
      <c r="S14" s="288"/>
      <c r="T14" s="1034"/>
      <c r="U14" s="1034"/>
    </row>
    <row r="15" spans="1:21" s="2" customFormat="1" ht="10.199999999999999" x14ac:dyDescent="0.2">
      <c r="A15" s="1549" t="s">
        <v>10</v>
      </c>
      <c r="B15" s="1560">
        <v>211268075</v>
      </c>
      <c r="C15" s="1560">
        <v>472879410</v>
      </c>
      <c r="D15" s="1560">
        <v>852108214</v>
      </c>
      <c r="E15" s="1561">
        <v>400867480</v>
      </c>
      <c r="F15" s="1561">
        <v>872675949</v>
      </c>
      <c r="G15" s="1561">
        <v>907141010</v>
      </c>
      <c r="H15" s="1560">
        <v>311261500</v>
      </c>
      <c r="I15" s="1560">
        <v>650217000</v>
      </c>
      <c r="J15" s="1560">
        <v>1377034800</v>
      </c>
      <c r="K15" s="1560">
        <v>307007250</v>
      </c>
      <c r="L15" s="1560">
        <v>706959000</v>
      </c>
      <c r="M15" s="1560">
        <v>1490002900</v>
      </c>
      <c r="N15" s="1560">
        <v>347960250</v>
      </c>
      <c r="O15" s="1560">
        <v>698563500</v>
      </c>
      <c r="P15" s="1560">
        <v>1671980900</v>
      </c>
      <c r="Q15" s="324"/>
      <c r="R15" s="324"/>
      <c r="S15" s="288"/>
      <c r="T15" s="1034"/>
      <c r="U15" s="1034"/>
    </row>
    <row r="16" spans="1:21" s="2" customFormat="1" ht="10.199999999999999" x14ac:dyDescent="0.2">
      <c r="A16" s="1549" t="s">
        <v>134</v>
      </c>
      <c r="B16" s="1560">
        <v>32031975</v>
      </c>
      <c r="C16" s="1560">
        <v>79289490</v>
      </c>
      <c r="D16" s="1560">
        <v>124418280</v>
      </c>
      <c r="E16" s="1561">
        <v>46571369</v>
      </c>
      <c r="F16" s="1561">
        <v>96883575</v>
      </c>
      <c r="G16" s="1561">
        <v>124592212</v>
      </c>
      <c r="H16" s="1560">
        <v>46609750</v>
      </c>
      <c r="I16" s="1560">
        <v>106436000</v>
      </c>
      <c r="J16" s="1560">
        <v>187905200</v>
      </c>
      <c r="K16" s="1560">
        <v>39924500</v>
      </c>
      <c r="L16" s="1560">
        <v>103930500</v>
      </c>
      <c r="M16" s="1560">
        <v>219916100</v>
      </c>
      <c r="N16" s="1560">
        <v>43477500</v>
      </c>
      <c r="O16" s="1560">
        <v>102000500</v>
      </c>
      <c r="P16" s="1560">
        <v>240372000</v>
      </c>
      <c r="Q16" s="324"/>
      <c r="R16" s="324"/>
      <c r="S16" s="288"/>
      <c r="T16" s="1034"/>
      <c r="U16" s="1034"/>
    </row>
    <row r="17" spans="1:21" s="2" customFormat="1" ht="10.199999999999999" x14ac:dyDescent="0.2">
      <c r="A17" s="1549" t="s">
        <v>12</v>
      </c>
      <c r="B17" s="1560">
        <v>42039175</v>
      </c>
      <c r="C17" s="1560">
        <v>115112500</v>
      </c>
      <c r="D17" s="1560">
        <v>152306520</v>
      </c>
      <c r="E17" s="1561">
        <v>64075311</v>
      </c>
      <c r="F17" s="1561">
        <v>152364250</v>
      </c>
      <c r="G17" s="1561">
        <v>159122468</v>
      </c>
      <c r="H17" s="1560">
        <v>59045250</v>
      </c>
      <c r="I17" s="1560">
        <v>150250500</v>
      </c>
      <c r="J17" s="1560">
        <v>248203500</v>
      </c>
      <c r="K17" s="1560">
        <v>60962000</v>
      </c>
      <c r="L17" s="1560">
        <v>151022500</v>
      </c>
      <c r="M17" s="1560">
        <v>261572300</v>
      </c>
      <c r="N17" s="1560">
        <v>62317750</v>
      </c>
      <c r="O17" s="1560">
        <v>157584500</v>
      </c>
      <c r="P17" s="1560">
        <v>276731300</v>
      </c>
      <c r="Q17" s="324"/>
      <c r="R17" s="324"/>
      <c r="S17" s="288"/>
      <c r="T17" s="1034"/>
      <c r="U17" s="1034"/>
    </row>
    <row r="18" spans="1:21" s="2" customFormat="1" ht="10.199999999999999" x14ac:dyDescent="0.2">
      <c r="A18" s="1549" t="s">
        <v>13</v>
      </c>
      <c r="B18" s="1560">
        <v>147382825</v>
      </c>
      <c r="C18" s="1560">
        <v>285110640</v>
      </c>
      <c r="D18" s="1560">
        <v>389547880</v>
      </c>
      <c r="E18" s="1561">
        <v>223155368</v>
      </c>
      <c r="F18" s="1561">
        <v>370067581</v>
      </c>
      <c r="G18" s="1561">
        <v>406111206</v>
      </c>
      <c r="H18" s="1560">
        <v>214208500</v>
      </c>
      <c r="I18" s="1560">
        <v>381654000</v>
      </c>
      <c r="J18" s="1560">
        <v>619482100</v>
      </c>
      <c r="K18" s="1560">
        <v>216733000</v>
      </c>
      <c r="L18" s="1560">
        <v>404817500</v>
      </c>
      <c r="M18" s="1560">
        <v>667515400</v>
      </c>
      <c r="N18" s="1560">
        <v>233282500</v>
      </c>
      <c r="O18" s="1560">
        <v>514731000</v>
      </c>
      <c r="P18" s="1560">
        <v>714074800</v>
      </c>
      <c r="Q18" s="324"/>
      <c r="R18" s="324"/>
      <c r="S18" s="288"/>
      <c r="T18" s="1034"/>
      <c r="U18" s="1034"/>
    </row>
    <row r="19" spans="1:21" s="2" customFormat="1" ht="10.199999999999999" x14ac:dyDescent="0.2">
      <c r="A19" s="1549" t="s">
        <v>47</v>
      </c>
      <c r="B19" s="1560">
        <v>455148900</v>
      </c>
      <c r="C19" s="1560">
        <v>849530250</v>
      </c>
      <c r="D19" s="1560">
        <v>1113349026</v>
      </c>
      <c r="E19" s="1561">
        <v>750220768</v>
      </c>
      <c r="F19" s="1561">
        <v>1197869075</v>
      </c>
      <c r="G19" s="1561">
        <v>1155145630</v>
      </c>
      <c r="H19" s="1560">
        <v>654780500</v>
      </c>
      <c r="I19" s="1560">
        <v>1132725866</v>
      </c>
      <c r="J19" s="1560">
        <v>1746944300</v>
      </c>
      <c r="K19" s="1560">
        <v>695359500</v>
      </c>
      <c r="L19" s="1560">
        <v>1264536000</v>
      </c>
      <c r="M19" s="1560">
        <v>1992841700</v>
      </c>
      <c r="N19" s="1560">
        <v>736639750</v>
      </c>
      <c r="O19" s="1560">
        <v>1509163500</v>
      </c>
      <c r="P19" s="1560">
        <v>2535439000</v>
      </c>
      <c r="Q19" s="324"/>
      <c r="R19" s="324"/>
      <c r="S19" s="288"/>
      <c r="T19" s="1034"/>
      <c r="U19" s="1034"/>
    </row>
    <row r="20" spans="1:21" s="2" customFormat="1" ht="10.199999999999999" x14ac:dyDescent="0.2">
      <c r="A20" s="1549" t="s">
        <v>135</v>
      </c>
      <c r="B20" s="1560">
        <v>91583750</v>
      </c>
      <c r="C20" s="1560">
        <v>177920620</v>
      </c>
      <c r="D20" s="1560">
        <v>252765318</v>
      </c>
      <c r="E20" s="1561">
        <v>144520889</v>
      </c>
      <c r="F20" s="1561">
        <v>251516225</v>
      </c>
      <c r="G20" s="1561">
        <v>253666182</v>
      </c>
      <c r="H20" s="1560">
        <v>131928500</v>
      </c>
      <c r="I20" s="1560">
        <v>240801178</v>
      </c>
      <c r="J20" s="1560">
        <v>370911800</v>
      </c>
      <c r="K20" s="1560">
        <v>124168000</v>
      </c>
      <c r="L20" s="1560">
        <v>258573089</v>
      </c>
      <c r="M20" s="1560">
        <v>428299200</v>
      </c>
      <c r="N20" s="1560">
        <v>140203250</v>
      </c>
      <c r="O20" s="1560">
        <v>296448000</v>
      </c>
      <c r="P20" s="1560">
        <v>467025800</v>
      </c>
      <c r="Q20" s="324"/>
      <c r="R20" s="324"/>
      <c r="S20" s="288"/>
      <c r="T20" s="1034"/>
      <c r="U20" s="1034"/>
    </row>
    <row r="21" spans="1:21" s="2" customFormat="1" ht="10.199999999999999" x14ac:dyDescent="0.2">
      <c r="A21" s="1549" t="s">
        <v>136</v>
      </c>
      <c r="B21" s="1560">
        <v>194246900</v>
      </c>
      <c r="C21" s="1560">
        <v>363755500</v>
      </c>
      <c r="D21" s="1560">
        <v>431443782</v>
      </c>
      <c r="E21" s="1561">
        <v>307316619</v>
      </c>
      <c r="F21" s="1561">
        <v>489432971</v>
      </c>
      <c r="G21" s="1561">
        <v>442957994</v>
      </c>
      <c r="H21" s="1560">
        <v>282136250</v>
      </c>
      <c r="I21" s="1560">
        <v>488712500</v>
      </c>
      <c r="J21" s="1560">
        <v>656808400</v>
      </c>
      <c r="K21" s="1560">
        <v>288681250</v>
      </c>
      <c r="L21" s="1560">
        <v>537119000</v>
      </c>
      <c r="M21" s="1560">
        <v>767794300</v>
      </c>
      <c r="N21" s="1560">
        <v>338610250</v>
      </c>
      <c r="O21" s="1560">
        <v>656103500</v>
      </c>
      <c r="P21" s="1560">
        <v>842880200</v>
      </c>
      <c r="Q21" s="324"/>
      <c r="R21" s="324"/>
      <c r="S21" s="288"/>
      <c r="T21" s="1034"/>
      <c r="U21" s="1034"/>
    </row>
    <row r="22" spans="1:21" s="2" customFormat="1" ht="10.199999999999999" x14ac:dyDescent="0.2">
      <c r="A22" s="1549" t="s">
        <v>17</v>
      </c>
      <c r="B22" s="1560">
        <v>48338350</v>
      </c>
      <c r="C22" s="1560">
        <v>77079330</v>
      </c>
      <c r="D22" s="1560">
        <v>95776352</v>
      </c>
      <c r="E22" s="1561">
        <v>77225941</v>
      </c>
      <c r="F22" s="1561">
        <v>104293100</v>
      </c>
      <c r="G22" s="1561">
        <v>88724268</v>
      </c>
      <c r="H22" s="1560">
        <v>69470500</v>
      </c>
      <c r="I22" s="1560">
        <v>105281500</v>
      </c>
      <c r="J22" s="1560">
        <v>115071700</v>
      </c>
      <c r="K22" s="1560">
        <v>70919750</v>
      </c>
      <c r="L22" s="1560">
        <v>116089500</v>
      </c>
      <c r="M22" s="1560">
        <v>132819067</v>
      </c>
      <c r="N22" s="1560">
        <v>78169000</v>
      </c>
      <c r="O22" s="1560">
        <v>131626000</v>
      </c>
      <c r="P22" s="1560">
        <v>61610500</v>
      </c>
      <c r="Q22" s="324"/>
      <c r="R22" s="324"/>
      <c r="S22" s="288"/>
      <c r="T22" s="1034"/>
      <c r="U22" s="1034"/>
    </row>
    <row r="23" spans="1:21" s="2" customFormat="1" ht="10.199999999999999" x14ac:dyDescent="0.2">
      <c r="A23" s="1549" t="s">
        <v>18</v>
      </c>
      <c r="B23" s="1560">
        <v>46908750</v>
      </c>
      <c r="C23" s="1560">
        <v>92734630</v>
      </c>
      <c r="D23" s="1560">
        <v>138167512</v>
      </c>
      <c r="E23" s="1561">
        <v>63712535</v>
      </c>
      <c r="F23" s="1561">
        <v>116868708</v>
      </c>
      <c r="G23" s="1561">
        <v>146123810</v>
      </c>
      <c r="H23" s="1560">
        <v>66572000</v>
      </c>
      <c r="I23" s="1560">
        <v>124292000</v>
      </c>
      <c r="J23" s="1560">
        <v>221551100</v>
      </c>
      <c r="K23" s="1560">
        <v>68675750</v>
      </c>
      <c r="L23" s="1560">
        <v>132301500</v>
      </c>
      <c r="M23" s="1560">
        <v>253543900</v>
      </c>
      <c r="N23" s="1560">
        <v>76670000</v>
      </c>
      <c r="O23" s="1560">
        <v>140697000</v>
      </c>
      <c r="P23" s="1560">
        <v>276185000</v>
      </c>
      <c r="Q23" s="324"/>
      <c r="R23" s="324"/>
      <c r="S23" s="288"/>
      <c r="T23" s="1034"/>
      <c r="U23" s="1034"/>
    </row>
    <row r="24" spans="1:21" s="2" customFormat="1" ht="6" customHeight="1" x14ac:dyDescent="0.2">
      <c r="A24" s="284"/>
      <c r="B24" s="1560"/>
      <c r="C24" s="1560"/>
      <c r="D24" s="1560"/>
      <c r="E24" s="1561"/>
      <c r="F24" s="1561"/>
      <c r="G24" s="1561"/>
      <c r="H24" s="1560"/>
      <c r="I24" s="1560"/>
      <c r="J24" s="1560"/>
      <c r="K24" s="1560"/>
      <c r="L24" s="1560"/>
      <c r="M24" s="1560"/>
      <c r="N24" s="1560"/>
      <c r="O24" s="1560"/>
      <c r="P24" s="1560"/>
      <c r="Q24" s="324"/>
      <c r="R24" s="324"/>
      <c r="S24" s="288"/>
      <c r="T24" s="1034"/>
      <c r="U24" s="1034"/>
    </row>
    <row r="25" spans="1:21" s="2" customFormat="1" ht="10.199999999999999" x14ac:dyDescent="0.2">
      <c r="A25" s="1025" t="s">
        <v>3399</v>
      </c>
      <c r="B25" s="1025"/>
      <c r="C25" s="1025"/>
      <c r="D25" s="1025"/>
      <c r="E25" s="1025"/>
      <c r="F25" s="1025"/>
      <c r="G25" s="324"/>
      <c r="H25" s="324"/>
      <c r="I25" s="692"/>
      <c r="J25" s="1034"/>
      <c r="K25" s="324"/>
      <c r="L25" s="324"/>
      <c r="M25" s="324"/>
      <c r="N25" s="324"/>
      <c r="O25" s="324"/>
      <c r="P25" s="324"/>
      <c r="Q25" s="324"/>
      <c r="R25" s="324"/>
      <c r="S25" s="324"/>
      <c r="T25" s="324"/>
      <c r="U25" s="324"/>
    </row>
    <row r="26" spans="1:21" s="2" customFormat="1" ht="10.199999999999999" x14ac:dyDescent="0.2">
      <c r="A26" s="324"/>
      <c r="B26" s="324"/>
      <c r="C26" s="324"/>
      <c r="D26" s="324"/>
      <c r="E26" s="324"/>
      <c r="F26" s="324"/>
      <c r="G26" s="324"/>
      <c r="H26" s="324"/>
      <c r="I26" s="692"/>
      <c r="J26" s="324"/>
      <c r="K26" s="324"/>
      <c r="L26" s="324"/>
      <c r="M26" s="324"/>
      <c r="N26" s="324"/>
      <c r="O26" s="324"/>
      <c r="P26" s="324"/>
      <c r="Q26" s="324"/>
      <c r="R26" s="324"/>
      <c r="S26" s="324"/>
      <c r="T26" s="324"/>
      <c r="U26" s="324"/>
    </row>
    <row r="27" spans="1:21" s="2" customFormat="1" ht="10.199999999999999" x14ac:dyDescent="0.2"/>
    <row r="28" spans="1:21" s="2" customFormat="1" ht="10.199999999999999" x14ac:dyDescent="0.2"/>
  </sheetData>
  <mergeCells count="17">
    <mergeCell ref="A25:F25"/>
    <mergeCell ref="N5:P5"/>
    <mergeCell ref="B6:D6"/>
    <mergeCell ref="E6:G6"/>
    <mergeCell ref="H6:J6"/>
    <mergeCell ref="K6:M6"/>
    <mergeCell ref="N6:P6"/>
    <mergeCell ref="A4:A7"/>
    <mergeCell ref="B4:D4"/>
    <mergeCell ref="E4:G4"/>
    <mergeCell ref="H4:J4"/>
    <mergeCell ref="K4:M4"/>
    <mergeCell ref="N4:P4"/>
    <mergeCell ref="B5:D5"/>
    <mergeCell ref="E5:G5"/>
    <mergeCell ref="H5:J5"/>
    <mergeCell ref="K5:M5"/>
  </mergeCells>
  <pageMargins left="0.7" right="0.7" top="0.75" bottom="0.75" header="0.3" footer="0.3"/>
  <pageSetup paperSize="14" scale="94" orientation="landscape" r:id="rId1"/>
  <colBreaks count="1" manualBreakCount="1">
    <brk id="10" max="1048575" man="1"/>
  </colBreaks>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3AFC78-60F1-4FE4-8A4F-5553A3496788}">
  <sheetPr codeName="Hoja296"/>
  <dimension ref="A2:U19"/>
  <sheetViews>
    <sheetView zoomScaleNormal="100" workbookViewId="0">
      <selection activeCell="A2" sqref="A2"/>
    </sheetView>
  </sheetViews>
  <sheetFormatPr baseColWidth="10" defaultRowHeight="13.2" x14ac:dyDescent="0.25"/>
  <cols>
    <col min="1" max="1" width="20.88671875" customWidth="1"/>
  </cols>
  <sheetData>
    <row r="2" spans="1:21" s="2" customFormat="1" ht="10.199999999999999" x14ac:dyDescent="0.2">
      <c r="A2" s="337" t="s">
        <v>3372</v>
      </c>
    </row>
    <row r="3" spans="1:21" s="2" customFormat="1" ht="10.199999999999999" x14ac:dyDescent="0.2">
      <c r="A3" s="337"/>
      <c r="B3" s="324"/>
      <c r="C3" s="324"/>
      <c r="D3" s="324"/>
      <c r="E3" s="324"/>
      <c r="F3" s="324"/>
      <c r="G3" s="324"/>
      <c r="H3" s="1548"/>
      <c r="I3" s="324"/>
      <c r="J3" s="324"/>
      <c r="K3" s="324"/>
      <c r="L3" s="324"/>
      <c r="M3" s="324"/>
      <c r="N3" s="324"/>
      <c r="O3" s="324"/>
      <c r="P3" s="324"/>
      <c r="Q3" s="324"/>
      <c r="R3" s="324"/>
      <c r="S3" s="324"/>
      <c r="T3" s="324"/>
      <c r="U3" s="324"/>
    </row>
    <row r="4" spans="1:21" s="2" customFormat="1" ht="12.75" customHeight="1" x14ac:dyDescent="0.2">
      <c r="A4" s="275" t="s">
        <v>3426</v>
      </c>
      <c r="B4" s="323">
        <v>2009</v>
      </c>
      <c r="C4" s="323"/>
      <c r="D4" s="323"/>
      <c r="E4" s="323">
        <v>2010</v>
      </c>
      <c r="F4" s="323"/>
      <c r="G4" s="323"/>
      <c r="H4" s="323">
        <v>2011</v>
      </c>
      <c r="I4" s="323"/>
      <c r="J4" s="323"/>
      <c r="K4" s="323">
        <v>2012</v>
      </c>
      <c r="L4" s="323"/>
      <c r="M4" s="323"/>
      <c r="N4" s="323">
        <v>2013</v>
      </c>
      <c r="O4" s="323"/>
      <c r="P4" s="323"/>
      <c r="Q4" s="324"/>
      <c r="R4" s="324"/>
      <c r="S4" s="324"/>
      <c r="T4" s="324"/>
      <c r="U4" s="324"/>
    </row>
    <row r="5" spans="1:21" s="2" customFormat="1" ht="20.399999999999999" x14ac:dyDescent="0.2">
      <c r="A5" s="277"/>
      <c r="B5" s="644" t="s">
        <v>3410</v>
      </c>
      <c r="C5" s="644" t="s">
        <v>3411</v>
      </c>
      <c r="D5" s="644" t="s">
        <v>3427</v>
      </c>
      <c r="E5" s="644" t="s">
        <v>3410</v>
      </c>
      <c r="F5" s="644" t="s">
        <v>3411</v>
      </c>
      <c r="G5" s="644" t="s">
        <v>3427</v>
      </c>
      <c r="H5" s="644" t="s">
        <v>3410</v>
      </c>
      <c r="I5" s="644" t="s">
        <v>3411</v>
      </c>
      <c r="J5" s="644" t="s">
        <v>3427</v>
      </c>
      <c r="K5" s="644" t="s">
        <v>3410</v>
      </c>
      <c r="L5" s="644" t="s">
        <v>3411</v>
      </c>
      <c r="M5" s="644" t="s">
        <v>3427</v>
      </c>
      <c r="N5" s="644" t="s">
        <v>3410</v>
      </c>
      <c r="O5" s="644" t="s">
        <v>3411</v>
      </c>
      <c r="P5" s="644" t="s">
        <v>3427</v>
      </c>
      <c r="Q5" s="324"/>
      <c r="R5" s="324"/>
      <c r="S5" s="324"/>
      <c r="T5" s="324"/>
      <c r="U5" s="324"/>
    </row>
    <row r="6" spans="1:21" s="2" customFormat="1" ht="10.199999999999999" x14ac:dyDescent="0.2">
      <c r="A6" s="337" t="s">
        <v>3</v>
      </c>
      <c r="B6" s="1562">
        <f t="shared" ref="B6:P6" si="0">SUM(B7:B15)</f>
        <v>18148</v>
      </c>
      <c r="C6" s="1562">
        <f t="shared" si="0"/>
        <v>17370</v>
      </c>
      <c r="D6" s="1548">
        <f t="shared" si="0"/>
        <v>8122</v>
      </c>
      <c r="E6" s="1548">
        <f t="shared" si="0"/>
        <v>20712</v>
      </c>
      <c r="F6" s="1548">
        <f t="shared" si="0"/>
        <v>19224</v>
      </c>
      <c r="G6" s="1548">
        <f t="shared" si="0"/>
        <v>8222</v>
      </c>
      <c r="H6" s="1548">
        <f t="shared" si="0"/>
        <v>24059</v>
      </c>
      <c r="I6" s="1548">
        <f t="shared" si="0"/>
        <v>21668</v>
      </c>
      <c r="J6" s="1548">
        <f t="shared" si="0"/>
        <v>12388</v>
      </c>
      <c r="K6" s="1548">
        <f t="shared" si="0"/>
        <v>25183</v>
      </c>
      <c r="L6" s="1548">
        <f t="shared" si="0"/>
        <v>24258</v>
      </c>
      <c r="M6" s="1548">
        <f t="shared" si="0"/>
        <v>13842</v>
      </c>
      <c r="N6" s="1548">
        <f t="shared" si="0"/>
        <v>27135</v>
      </c>
      <c r="O6" s="1548">
        <f t="shared" si="0"/>
        <v>26982</v>
      </c>
      <c r="P6" s="1548">
        <f t="shared" si="0"/>
        <v>15482</v>
      </c>
      <c r="Q6" s="324"/>
      <c r="R6" s="324"/>
      <c r="S6" s="324"/>
      <c r="T6" s="324"/>
      <c r="U6" s="324"/>
    </row>
    <row r="7" spans="1:21" s="2" customFormat="1" ht="10.199999999999999" x14ac:dyDescent="0.2">
      <c r="A7" s="997" t="s">
        <v>3403</v>
      </c>
      <c r="B7" s="1034">
        <v>414</v>
      </c>
      <c r="C7" s="1034">
        <v>318</v>
      </c>
      <c r="D7" s="1034">
        <v>161</v>
      </c>
      <c r="E7" s="1034">
        <v>430</v>
      </c>
      <c r="F7" s="1034">
        <v>384</v>
      </c>
      <c r="G7" s="1034">
        <v>166</v>
      </c>
      <c r="H7" s="1034">
        <v>462</v>
      </c>
      <c r="I7" s="1034">
        <v>420</v>
      </c>
      <c r="J7" s="1034">
        <v>215</v>
      </c>
      <c r="K7" s="1034">
        <v>444</v>
      </c>
      <c r="L7" s="1034">
        <v>425</v>
      </c>
      <c r="M7" s="1034">
        <v>253</v>
      </c>
      <c r="N7" s="1034">
        <v>404</v>
      </c>
      <c r="O7" s="1034">
        <v>357</v>
      </c>
      <c r="P7" s="1034">
        <v>257</v>
      </c>
      <c r="Q7" s="324"/>
      <c r="R7" s="324"/>
      <c r="S7" s="324"/>
      <c r="T7" s="324"/>
      <c r="U7" s="324"/>
    </row>
    <row r="8" spans="1:21" s="2" customFormat="1" ht="10.199999999999999" x14ac:dyDescent="0.2">
      <c r="A8" s="997" t="s">
        <v>2743</v>
      </c>
      <c r="B8" s="1034">
        <v>1828</v>
      </c>
      <c r="C8" s="1034">
        <v>1612</v>
      </c>
      <c r="D8" s="1034">
        <v>884</v>
      </c>
      <c r="E8" s="1034">
        <v>2045</v>
      </c>
      <c r="F8" s="1034">
        <v>1771</v>
      </c>
      <c r="G8" s="1034">
        <v>910</v>
      </c>
      <c r="H8" s="1034">
        <v>2366</v>
      </c>
      <c r="I8" s="1034">
        <v>1986</v>
      </c>
      <c r="J8" s="1034">
        <v>1415</v>
      </c>
      <c r="K8" s="1034">
        <v>2407</v>
      </c>
      <c r="L8" s="1034">
        <v>2252</v>
      </c>
      <c r="M8" s="1034">
        <v>1552</v>
      </c>
      <c r="N8" s="1034">
        <v>2486</v>
      </c>
      <c r="O8" s="1034">
        <v>2477</v>
      </c>
      <c r="P8" s="1034">
        <v>1607</v>
      </c>
      <c r="Q8" s="324"/>
      <c r="R8" s="324"/>
      <c r="S8" s="324"/>
      <c r="T8" s="324"/>
      <c r="U8" s="324"/>
    </row>
    <row r="9" spans="1:21" s="2" customFormat="1" ht="10.199999999999999" x14ac:dyDescent="0.2">
      <c r="A9" s="997" t="s">
        <v>3405</v>
      </c>
      <c r="B9" s="1034">
        <v>75</v>
      </c>
      <c r="C9" s="1034">
        <v>87</v>
      </c>
      <c r="D9" s="1034">
        <v>54</v>
      </c>
      <c r="E9" s="1034">
        <v>82</v>
      </c>
      <c r="F9" s="1034">
        <v>101</v>
      </c>
      <c r="G9" s="1034">
        <v>61</v>
      </c>
      <c r="H9" s="1034">
        <v>72</v>
      </c>
      <c r="I9" s="1034">
        <v>111</v>
      </c>
      <c r="J9" s="1034">
        <v>95</v>
      </c>
      <c r="K9" s="1034">
        <v>93</v>
      </c>
      <c r="L9" s="1034">
        <v>126</v>
      </c>
      <c r="M9" s="1034">
        <v>111</v>
      </c>
      <c r="N9" s="1034">
        <v>110</v>
      </c>
      <c r="O9" s="1034">
        <v>156</v>
      </c>
      <c r="P9" s="1034">
        <v>102</v>
      </c>
      <c r="Q9" s="324"/>
      <c r="R9" s="324"/>
      <c r="S9" s="324"/>
      <c r="T9" s="324"/>
      <c r="U9" s="324"/>
    </row>
    <row r="10" spans="1:21" s="2" customFormat="1" ht="10.199999999999999" x14ac:dyDescent="0.2">
      <c r="A10" s="997" t="s">
        <v>3406</v>
      </c>
      <c r="B10" s="1034">
        <v>263</v>
      </c>
      <c r="C10" s="1034">
        <v>282</v>
      </c>
      <c r="D10" s="1034">
        <v>161</v>
      </c>
      <c r="E10" s="1034">
        <v>321</v>
      </c>
      <c r="F10" s="1034">
        <v>345</v>
      </c>
      <c r="G10" s="1034">
        <v>173</v>
      </c>
      <c r="H10" s="1034">
        <v>408</v>
      </c>
      <c r="I10" s="1034">
        <v>410</v>
      </c>
      <c r="J10" s="1034">
        <v>284</v>
      </c>
      <c r="K10" s="1034">
        <v>439</v>
      </c>
      <c r="L10" s="1034">
        <v>511</v>
      </c>
      <c r="M10" s="1034">
        <v>321</v>
      </c>
      <c r="N10" s="1034">
        <v>550</v>
      </c>
      <c r="O10" s="1034">
        <v>649</v>
      </c>
      <c r="P10" s="1034">
        <v>410</v>
      </c>
      <c r="Q10" s="324"/>
      <c r="R10" s="324"/>
      <c r="S10" s="324"/>
      <c r="T10" s="324"/>
      <c r="U10" s="324"/>
    </row>
    <row r="11" spans="1:21" s="2" customFormat="1" ht="10.199999999999999" x14ac:dyDescent="0.2">
      <c r="A11" s="997" t="s">
        <v>3428</v>
      </c>
      <c r="B11" s="1034">
        <v>34</v>
      </c>
      <c r="C11" s="1034">
        <v>11</v>
      </c>
      <c r="D11" s="1034">
        <v>4</v>
      </c>
      <c r="E11" s="1034">
        <v>35</v>
      </c>
      <c r="F11" s="1034">
        <v>13</v>
      </c>
      <c r="G11" s="1034">
        <v>5</v>
      </c>
      <c r="H11" s="1034">
        <v>32</v>
      </c>
      <c r="I11" s="1034">
        <v>17</v>
      </c>
      <c r="J11" s="1034">
        <v>6</v>
      </c>
      <c r="K11" s="1034">
        <v>27</v>
      </c>
      <c r="L11" s="1034">
        <v>18</v>
      </c>
      <c r="M11" s="1034">
        <v>4</v>
      </c>
      <c r="N11" s="1034">
        <v>25</v>
      </c>
      <c r="O11" s="1034">
        <v>13</v>
      </c>
      <c r="P11" s="1034">
        <v>5</v>
      </c>
      <c r="Q11" s="324"/>
      <c r="R11" s="324"/>
      <c r="S11" s="324"/>
      <c r="T11" s="324"/>
      <c r="U11" s="324"/>
    </row>
    <row r="12" spans="1:21" s="2" customFormat="1" ht="10.199999999999999" x14ac:dyDescent="0.2">
      <c r="A12" s="997" t="s">
        <v>3402</v>
      </c>
      <c r="B12" s="1034">
        <v>15411</v>
      </c>
      <c r="C12" s="1034">
        <v>14936</v>
      </c>
      <c r="D12" s="1034">
        <v>6778</v>
      </c>
      <c r="E12" s="1034">
        <v>17640</v>
      </c>
      <c r="F12" s="1034">
        <v>16492</v>
      </c>
      <c r="G12" s="1034">
        <v>6832</v>
      </c>
      <c r="H12" s="1034">
        <v>20542</v>
      </c>
      <c r="I12" s="1034">
        <v>18592</v>
      </c>
      <c r="J12" s="1034">
        <v>10256</v>
      </c>
      <c r="K12" s="1034">
        <v>21579</v>
      </c>
      <c r="L12" s="1034">
        <v>20750</v>
      </c>
      <c r="M12" s="1034">
        <v>11420</v>
      </c>
      <c r="N12" s="1034">
        <v>23360</v>
      </c>
      <c r="O12" s="1034">
        <v>23108</v>
      </c>
      <c r="P12" s="1034">
        <v>12945</v>
      </c>
      <c r="Q12" s="324"/>
      <c r="R12" s="324"/>
      <c r="S12" s="324"/>
      <c r="T12" s="324"/>
      <c r="U12" s="324"/>
    </row>
    <row r="13" spans="1:21" s="2" customFormat="1" ht="10.199999999999999" x14ac:dyDescent="0.2">
      <c r="A13" s="997" t="s">
        <v>3404</v>
      </c>
      <c r="B13" s="1034">
        <v>89</v>
      </c>
      <c r="C13" s="1034">
        <v>81</v>
      </c>
      <c r="D13" s="1034">
        <v>47</v>
      </c>
      <c r="E13" s="1034">
        <v>106</v>
      </c>
      <c r="F13" s="1034">
        <v>66</v>
      </c>
      <c r="G13" s="1034">
        <v>36</v>
      </c>
      <c r="H13" s="1034">
        <v>127</v>
      </c>
      <c r="I13" s="1034">
        <v>84</v>
      </c>
      <c r="J13" s="1034">
        <v>68</v>
      </c>
      <c r="K13" s="1034">
        <v>142</v>
      </c>
      <c r="L13" s="1034">
        <v>114</v>
      </c>
      <c r="M13" s="1034">
        <v>84</v>
      </c>
      <c r="N13" s="1034">
        <v>127</v>
      </c>
      <c r="O13" s="1034">
        <v>111</v>
      </c>
      <c r="P13" s="1034">
        <v>78</v>
      </c>
      <c r="Q13" s="324"/>
      <c r="R13" s="324"/>
      <c r="S13" s="324"/>
      <c r="T13" s="324"/>
      <c r="U13" s="324"/>
    </row>
    <row r="14" spans="1:21" s="2" customFormat="1" ht="10.199999999999999" x14ac:dyDescent="0.2">
      <c r="A14" s="997" t="s">
        <v>1449</v>
      </c>
      <c r="B14" s="1034">
        <v>18</v>
      </c>
      <c r="C14" s="1034">
        <v>38</v>
      </c>
      <c r="D14" s="1034">
        <v>31</v>
      </c>
      <c r="E14" s="1034">
        <v>39</v>
      </c>
      <c r="F14" s="1034">
        <v>47</v>
      </c>
      <c r="G14" s="1034">
        <v>35</v>
      </c>
      <c r="H14" s="1034">
        <v>35</v>
      </c>
      <c r="I14" s="1034">
        <v>37</v>
      </c>
      <c r="J14" s="1034">
        <v>48</v>
      </c>
      <c r="K14" s="1034">
        <v>37</v>
      </c>
      <c r="L14" s="1034">
        <v>55</v>
      </c>
      <c r="M14" s="1034">
        <v>94</v>
      </c>
      <c r="N14" s="1034">
        <v>59</v>
      </c>
      <c r="O14" s="1034">
        <v>105</v>
      </c>
      <c r="P14" s="1034">
        <v>75</v>
      </c>
      <c r="Q14" s="324"/>
      <c r="R14" s="324"/>
      <c r="S14" s="324"/>
      <c r="T14" s="324"/>
      <c r="U14" s="324"/>
    </row>
    <row r="15" spans="1:21" s="2" customFormat="1" ht="10.199999999999999" x14ac:dyDescent="0.2">
      <c r="A15" s="997" t="s">
        <v>3429</v>
      </c>
      <c r="B15" s="1034">
        <v>16</v>
      </c>
      <c r="C15" s="1034">
        <v>5</v>
      </c>
      <c r="D15" s="1034">
        <v>2</v>
      </c>
      <c r="E15" s="1034">
        <v>14</v>
      </c>
      <c r="F15" s="1034">
        <v>5</v>
      </c>
      <c r="G15" s="1034">
        <v>4</v>
      </c>
      <c r="H15" s="1034">
        <v>15</v>
      </c>
      <c r="I15" s="1034">
        <v>11</v>
      </c>
      <c r="J15" s="1034">
        <v>1</v>
      </c>
      <c r="K15" s="1034">
        <v>15</v>
      </c>
      <c r="L15" s="1034">
        <v>7</v>
      </c>
      <c r="M15" s="1034">
        <v>3</v>
      </c>
      <c r="N15" s="1034">
        <v>14</v>
      </c>
      <c r="O15" s="1034">
        <v>6</v>
      </c>
      <c r="P15" s="1034">
        <v>3</v>
      </c>
      <c r="Q15" s="324"/>
      <c r="R15" s="324"/>
      <c r="S15" s="324"/>
      <c r="T15" s="324"/>
      <c r="U15" s="324"/>
    </row>
    <row r="16" spans="1:21" s="2" customFormat="1" ht="7.5" customHeight="1" x14ac:dyDescent="0.2">
      <c r="A16" s="997"/>
      <c r="B16" s="1034"/>
      <c r="C16" s="1034"/>
      <c r="D16" s="1034"/>
      <c r="E16" s="1034"/>
      <c r="F16" s="1034"/>
      <c r="G16" s="1034"/>
      <c r="H16" s="1034"/>
      <c r="I16" s="1034"/>
      <c r="J16" s="1034"/>
      <c r="K16" s="1034"/>
      <c r="L16" s="1034"/>
      <c r="M16" s="1034"/>
      <c r="N16" s="1034"/>
      <c r="O16" s="1034"/>
      <c r="P16" s="1034"/>
      <c r="Q16" s="324"/>
      <c r="R16" s="324"/>
      <c r="S16" s="324"/>
      <c r="T16" s="324"/>
      <c r="U16" s="324"/>
    </row>
    <row r="17" spans="1:21" s="2" customFormat="1" ht="10.199999999999999" x14ac:dyDescent="0.2">
      <c r="A17" s="324" t="s">
        <v>3419</v>
      </c>
      <c r="B17" s="324"/>
      <c r="C17" s="324"/>
      <c r="D17" s="324"/>
      <c r="E17" s="324"/>
      <c r="F17" s="324"/>
      <c r="G17" s="324"/>
      <c r="H17" s="324"/>
      <c r="I17" s="288"/>
      <c r="J17" s="324"/>
      <c r="K17" s="324"/>
      <c r="L17" s="324"/>
      <c r="M17" s="324"/>
      <c r="N17" s="324"/>
      <c r="O17" s="324"/>
      <c r="P17" s="324"/>
      <c r="Q17" s="324"/>
      <c r="R17" s="324"/>
      <c r="S17" s="324"/>
      <c r="T17" s="324"/>
      <c r="U17" s="324"/>
    </row>
    <row r="18" spans="1:21" s="2" customFormat="1" ht="10.199999999999999" x14ac:dyDescent="0.2">
      <c r="A18" s="324"/>
      <c r="B18" s="324"/>
      <c r="C18" s="324"/>
      <c r="D18" s="324"/>
      <c r="E18" s="324"/>
      <c r="F18" s="24"/>
      <c r="G18" s="24"/>
      <c r="H18" s="24"/>
      <c r="I18" s="655"/>
      <c r="J18" s="324"/>
      <c r="K18" s="324"/>
      <c r="L18" s="324"/>
      <c r="M18" s="324"/>
      <c r="N18" s="324"/>
      <c r="O18" s="324"/>
      <c r="P18" s="324"/>
      <c r="Q18" s="324"/>
      <c r="R18" s="324"/>
      <c r="S18" s="324"/>
      <c r="T18" s="324"/>
      <c r="U18" s="324"/>
    </row>
    <row r="19" spans="1:21" s="2" customFormat="1" ht="10.199999999999999" x14ac:dyDescent="0.2"/>
  </sheetData>
  <mergeCells count="6">
    <mergeCell ref="A4:A5"/>
    <mergeCell ref="B4:D4"/>
    <mergeCell ref="E4:G4"/>
    <mergeCell ref="H4:J4"/>
    <mergeCell ref="K4:M4"/>
    <mergeCell ref="N4:P4"/>
  </mergeCells>
  <pageMargins left="0.7" right="0.7" top="0.75" bottom="0.75" header="0.3" footer="0.3"/>
  <pageSetup paperSize="14" scale="77" orientation="landscape" r:id="rId1"/>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9BAA6-AF51-4154-8B41-C362E6146291}">
  <sheetPr codeName="Hoja297"/>
  <dimension ref="A2:L25"/>
  <sheetViews>
    <sheetView workbookViewId="0">
      <selection activeCell="A2" sqref="A2"/>
    </sheetView>
  </sheetViews>
  <sheetFormatPr baseColWidth="10" defaultRowHeight="13.2" x14ac:dyDescent="0.25"/>
  <cols>
    <col min="1" max="1" width="21.109375" customWidth="1"/>
  </cols>
  <sheetData>
    <row r="2" spans="1:12" x14ac:dyDescent="0.25">
      <c r="A2" s="337" t="s">
        <v>3373</v>
      </c>
    </row>
    <row r="3" spans="1:12" s="2" customFormat="1" ht="10.199999999999999" x14ac:dyDescent="0.2">
      <c r="A3" s="337"/>
      <c r="B3" s="324"/>
      <c r="C3" s="324"/>
      <c r="D3" s="324"/>
      <c r="E3" s="324"/>
      <c r="F3" s="324"/>
      <c r="G3" s="324"/>
      <c r="H3" s="324"/>
      <c r="I3" s="324"/>
    </row>
    <row r="4" spans="1:12" s="2" customFormat="1" ht="12.75" customHeight="1" x14ac:dyDescent="0.2">
      <c r="A4" s="323" t="s">
        <v>0</v>
      </c>
      <c r="B4" s="621" t="s">
        <v>3430</v>
      </c>
      <c r="C4" s="621" t="s">
        <v>3431</v>
      </c>
      <c r="D4" s="298">
        <v>2011</v>
      </c>
      <c r="E4" s="298"/>
      <c r="F4" s="298"/>
      <c r="G4" s="323">
        <v>2012</v>
      </c>
      <c r="H4" s="323"/>
      <c r="I4" s="323"/>
      <c r="J4" s="323">
        <v>2013</v>
      </c>
      <c r="K4" s="323"/>
      <c r="L4" s="323"/>
    </row>
    <row r="5" spans="1:12" s="2" customFormat="1" ht="10.199999999999999" x14ac:dyDescent="0.2">
      <c r="A5" s="323"/>
      <c r="B5" s="1033" t="s">
        <v>42</v>
      </c>
      <c r="C5" s="1033" t="s">
        <v>42</v>
      </c>
      <c r="D5" s="1033" t="s">
        <v>42</v>
      </c>
      <c r="E5" s="621" t="s">
        <v>122</v>
      </c>
      <c r="F5" s="621" t="s">
        <v>123</v>
      </c>
      <c r="G5" s="1033" t="s">
        <v>42</v>
      </c>
      <c r="H5" s="621" t="s">
        <v>122</v>
      </c>
      <c r="I5" s="621" t="s">
        <v>123</v>
      </c>
      <c r="J5" s="1033" t="s">
        <v>42</v>
      </c>
      <c r="K5" s="621" t="s">
        <v>122</v>
      </c>
      <c r="L5" s="621" t="s">
        <v>123</v>
      </c>
    </row>
    <row r="6" spans="1:12" s="2" customFormat="1" ht="10.199999999999999" x14ac:dyDescent="0.2">
      <c r="A6" s="337" t="s">
        <v>3</v>
      </c>
      <c r="B6" s="1563">
        <f t="shared" ref="B6:L6" si="0">SUM(B7:B21)</f>
        <v>28</v>
      </c>
      <c r="C6" s="1563">
        <f t="shared" si="0"/>
        <v>32</v>
      </c>
      <c r="D6" s="1563">
        <f t="shared" si="0"/>
        <v>43</v>
      </c>
      <c r="E6" s="1563">
        <f t="shared" si="0"/>
        <v>19</v>
      </c>
      <c r="F6" s="1563">
        <f t="shared" si="0"/>
        <v>24</v>
      </c>
      <c r="G6" s="1563">
        <f t="shared" si="0"/>
        <v>72</v>
      </c>
      <c r="H6" s="1563">
        <f t="shared" si="0"/>
        <v>23</v>
      </c>
      <c r="I6" s="1563">
        <f t="shared" si="0"/>
        <v>49</v>
      </c>
      <c r="J6" s="1563">
        <f t="shared" si="0"/>
        <v>71</v>
      </c>
      <c r="K6" s="1563">
        <f t="shared" si="0"/>
        <v>21</v>
      </c>
      <c r="L6" s="1563">
        <f t="shared" si="0"/>
        <v>50</v>
      </c>
    </row>
    <row r="7" spans="1:12" s="2" customFormat="1" ht="10.199999999999999" x14ac:dyDescent="0.2">
      <c r="A7" s="1549" t="s">
        <v>4</v>
      </c>
      <c r="B7" s="314">
        <v>0</v>
      </c>
      <c r="C7" s="314">
        <v>0</v>
      </c>
      <c r="D7" s="315">
        <f t="shared" ref="D7:D21" si="1">SUM(E7:F7)</f>
        <v>0</v>
      </c>
      <c r="E7" s="314">
        <v>0</v>
      </c>
      <c r="F7" s="314">
        <v>0</v>
      </c>
      <c r="G7" s="315">
        <f t="shared" ref="G7:G21" si="2">SUM(H7:I7)</f>
        <v>5</v>
      </c>
      <c r="H7" s="314">
        <v>1</v>
      </c>
      <c r="I7" s="314">
        <v>4</v>
      </c>
      <c r="J7" s="315">
        <f t="shared" ref="J7:J21" si="3">SUM(K7:L7)</f>
        <v>2</v>
      </c>
      <c r="K7" s="314">
        <v>2</v>
      </c>
      <c r="L7" s="314">
        <v>0</v>
      </c>
    </row>
    <row r="8" spans="1:12" s="2" customFormat="1" ht="10.199999999999999" x14ac:dyDescent="0.2">
      <c r="A8" s="1549" t="s">
        <v>5</v>
      </c>
      <c r="B8" s="314">
        <v>0</v>
      </c>
      <c r="C8" s="314">
        <v>0</v>
      </c>
      <c r="D8" s="315">
        <f t="shared" si="1"/>
        <v>11</v>
      </c>
      <c r="E8" s="314">
        <v>4</v>
      </c>
      <c r="F8" s="314">
        <v>7</v>
      </c>
      <c r="G8" s="315">
        <f t="shared" si="2"/>
        <v>3</v>
      </c>
      <c r="H8" s="314">
        <v>2</v>
      </c>
      <c r="I8" s="314">
        <v>1</v>
      </c>
      <c r="J8" s="315">
        <f t="shared" si="3"/>
        <v>4</v>
      </c>
      <c r="K8" s="314">
        <v>1</v>
      </c>
      <c r="L8" s="314">
        <v>3</v>
      </c>
    </row>
    <row r="9" spans="1:12" s="2" customFormat="1" ht="10.199999999999999" x14ac:dyDescent="0.2">
      <c r="A9" s="1549" t="s">
        <v>6</v>
      </c>
      <c r="B9" s="314">
        <v>0</v>
      </c>
      <c r="C9" s="314">
        <v>0</v>
      </c>
      <c r="D9" s="315">
        <f t="shared" si="1"/>
        <v>0</v>
      </c>
      <c r="E9" s="314">
        <v>0</v>
      </c>
      <c r="F9" s="314">
        <v>0</v>
      </c>
      <c r="G9" s="315">
        <f t="shared" si="2"/>
        <v>3</v>
      </c>
      <c r="H9" s="314">
        <v>0</v>
      </c>
      <c r="I9" s="314">
        <v>3</v>
      </c>
      <c r="J9" s="315">
        <f t="shared" si="3"/>
        <v>1</v>
      </c>
      <c r="K9" s="314">
        <v>0</v>
      </c>
      <c r="L9" s="314">
        <v>1</v>
      </c>
    </row>
    <row r="10" spans="1:12" s="2" customFormat="1" ht="10.199999999999999" x14ac:dyDescent="0.2">
      <c r="A10" s="1549" t="s">
        <v>7</v>
      </c>
      <c r="B10" s="314">
        <v>0</v>
      </c>
      <c r="C10" s="314">
        <v>0</v>
      </c>
      <c r="D10" s="315">
        <f t="shared" si="1"/>
        <v>0</v>
      </c>
      <c r="E10" s="314">
        <v>0</v>
      </c>
      <c r="F10" s="314">
        <v>0</v>
      </c>
      <c r="G10" s="315">
        <f t="shared" si="2"/>
        <v>0</v>
      </c>
      <c r="H10" s="314">
        <v>0</v>
      </c>
      <c r="I10" s="314">
        <v>0</v>
      </c>
      <c r="J10" s="315">
        <f t="shared" si="3"/>
        <v>0</v>
      </c>
      <c r="K10" s="314">
        <v>0</v>
      </c>
      <c r="L10" s="314">
        <v>0</v>
      </c>
    </row>
    <row r="11" spans="1:12" s="2" customFormat="1" ht="10.199999999999999" x14ac:dyDescent="0.2">
      <c r="A11" s="1549" t="s">
        <v>8</v>
      </c>
      <c r="B11" s="314">
        <v>0</v>
      </c>
      <c r="C11" s="314">
        <v>0</v>
      </c>
      <c r="D11" s="315">
        <f t="shared" si="1"/>
        <v>0</v>
      </c>
      <c r="E11" s="314">
        <v>0</v>
      </c>
      <c r="F11" s="314">
        <v>0</v>
      </c>
      <c r="G11" s="315">
        <f t="shared" si="2"/>
        <v>0</v>
      </c>
      <c r="H11" s="314">
        <v>0</v>
      </c>
      <c r="I11" s="314">
        <v>0</v>
      </c>
      <c r="J11" s="315">
        <f t="shared" si="3"/>
        <v>0</v>
      </c>
      <c r="K11" s="314">
        <v>0</v>
      </c>
      <c r="L11" s="314">
        <v>0</v>
      </c>
    </row>
    <row r="12" spans="1:12" s="2" customFormat="1" ht="10.199999999999999" x14ac:dyDescent="0.2">
      <c r="A12" s="1549" t="s">
        <v>9</v>
      </c>
      <c r="B12" s="314">
        <v>0</v>
      </c>
      <c r="C12" s="314">
        <v>0</v>
      </c>
      <c r="D12" s="315">
        <f t="shared" si="1"/>
        <v>0</v>
      </c>
      <c r="E12" s="314">
        <v>0</v>
      </c>
      <c r="F12" s="314">
        <v>0</v>
      </c>
      <c r="G12" s="315">
        <f t="shared" si="2"/>
        <v>1</v>
      </c>
      <c r="H12" s="314">
        <v>0</v>
      </c>
      <c r="I12" s="314">
        <v>1</v>
      </c>
      <c r="J12" s="315">
        <f t="shared" si="3"/>
        <v>2</v>
      </c>
      <c r="K12" s="314">
        <v>1</v>
      </c>
      <c r="L12" s="314">
        <v>1</v>
      </c>
    </row>
    <row r="13" spans="1:12" s="2" customFormat="1" ht="10.199999999999999" x14ac:dyDescent="0.2">
      <c r="A13" s="1549" t="s">
        <v>10</v>
      </c>
      <c r="B13" s="314">
        <v>28</v>
      </c>
      <c r="C13" s="314">
        <v>32</v>
      </c>
      <c r="D13" s="315">
        <f t="shared" si="1"/>
        <v>16</v>
      </c>
      <c r="E13" s="314">
        <v>8</v>
      </c>
      <c r="F13" s="314">
        <v>8</v>
      </c>
      <c r="G13" s="315">
        <f t="shared" si="2"/>
        <v>21</v>
      </c>
      <c r="H13" s="314">
        <v>9</v>
      </c>
      <c r="I13" s="314">
        <v>12</v>
      </c>
      <c r="J13" s="315">
        <f t="shared" si="3"/>
        <v>13</v>
      </c>
      <c r="K13" s="314">
        <v>7</v>
      </c>
      <c r="L13" s="314">
        <v>6</v>
      </c>
    </row>
    <row r="14" spans="1:12" s="2" customFormat="1" ht="10.199999999999999" x14ac:dyDescent="0.2">
      <c r="A14" s="1549" t="s">
        <v>134</v>
      </c>
      <c r="B14" s="314">
        <v>0</v>
      </c>
      <c r="C14" s="314">
        <v>0</v>
      </c>
      <c r="D14" s="315">
        <f t="shared" si="1"/>
        <v>0</v>
      </c>
      <c r="E14" s="314">
        <v>0</v>
      </c>
      <c r="F14" s="314">
        <v>0</v>
      </c>
      <c r="G14" s="315">
        <f t="shared" si="2"/>
        <v>0</v>
      </c>
      <c r="H14" s="314">
        <v>0</v>
      </c>
      <c r="I14" s="314">
        <v>0</v>
      </c>
      <c r="J14" s="315">
        <f t="shared" si="3"/>
        <v>0</v>
      </c>
      <c r="K14" s="314">
        <v>0</v>
      </c>
      <c r="L14" s="314">
        <v>0</v>
      </c>
    </row>
    <row r="15" spans="1:12" s="2" customFormat="1" ht="10.199999999999999" x14ac:dyDescent="0.2">
      <c r="A15" s="1549" t="s">
        <v>12</v>
      </c>
      <c r="B15" s="314">
        <v>0</v>
      </c>
      <c r="C15" s="314">
        <v>0</v>
      </c>
      <c r="D15" s="315">
        <f t="shared" si="1"/>
        <v>0</v>
      </c>
      <c r="E15" s="314">
        <v>0</v>
      </c>
      <c r="F15" s="314">
        <v>0</v>
      </c>
      <c r="G15" s="315">
        <f t="shared" si="2"/>
        <v>0</v>
      </c>
      <c r="H15" s="314">
        <v>0</v>
      </c>
      <c r="I15" s="314">
        <v>0</v>
      </c>
      <c r="J15" s="315">
        <f t="shared" si="3"/>
        <v>0</v>
      </c>
      <c r="K15" s="314">
        <v>0</v>
      </c>
      <c r="L15" s="314">
        <v>0</v>
      </c>
    </row>
    <row r="16" spans="1:12" s="2" customFormat="1" ht="10.199999999999999" x14ac:dyDescent="0.2">
      <c r="A16" s="1549" t="s">
        <v>13</v>
      </c>
      <c r="B16" s="314">
        <v>0</v>
      </c>
      <c r="C16" s="314">
        <v>0</v>
      </c>
      <c r="D16" s="315">
        <f t="shared" si="1"/>
        <v>0</v>
      </c>
      <c r="E16" s="314">
        <v>0</v>
      </c>
      <c r="F16" s="314">
        <v>0</v>
      </c>
      <c r="G16" s="315">
        <f t="shared" si="2"/>
        <v>4</v>
      </c>
      <c r="H16" s="314">
        <v>2</v>
      </c>
      <c r="I16" s="314">
        <v>2</v>
      </c>
      <c r="J16" s="315">
        <f t="shared" si="3"/>
        <v>5</v>
      </c>
      <c r="K16" s="314">
        <v>1</v>
      </c>
      <c r="L16" s="314">
        <v>4</v>
      </c>
    </row>
    <row r="17" spans="1:12" s="2" customFormat="1" ht="10.199999999999999" x14ac:dyDescent="0.2">
      <c r="A17" s="1549" t="s">
        <v>47</v>
      </c>
      <c r="B17" s="314">
        <v>0</v>
      </c>
      <c r="C17" s="314">
        <v>0</v>
      </c>
      <c r="D17" s="315">
        <f t="shared" si="1"/>
        <v>16</v>
      </c>
      <c r="E17" s="314">
        <v>7</v>
      </c>
      <c r="F17" s="314">
        <v>9</v>
      </c>
      <c r="G17" s="315">
        <f t="shared" si="2"/>
        <v>29</v>
      </c>
      <c r="H17" s="314">
        <v>8</v>
      </c>
      <c r="I17" s="314">
        <v>21</v>
      </c>
      <c r="J17" s="315">
        <f t="shared" si="3"/>
        <v>41</v>
      </c>
      <c r="K17" s="314">
        <v>8</v>
      </c>
      <c r="L17" s="314">
        <v>33</v>
      </c>
    </row>
    <row r="18" spans="1:12" s="2" customFormat="1" ht="10.199999999999999" x14ac:dyDescent="0.2">
      <c r="A18" s="1549" t="s">
        <v>135</v>
      </c>
      <c r="B18" s="314">
        <v>0</v>
      </c>
      <c r="C18" s="314">
        <v>0</v>
      </c>
      <c r="D18" s="315">
        <f t="shared" si="1"/>
        <v>0</v>
      </c>
      <c r="E18" s="314">
        <v>0</v>
      </c>
      <c r="F18" s="314">
        <v>0</v>
      </c>
      <c r="G18" s="315">
        <f t="shared" si="2"/>
        <v>2</v>
      </c>
      <c r="H18" s="314">
        <v>0</v>
      </c>
      <c r="I18" s="314">
        <v>2</v>
      </c>
      <c r="J18" s="315">
        <f t="shared" si="3"/>
        <v>1</v>
      </c>
      <c r="K18" s="314">
        <v>0</v>
      </c>
      <c r="L18" s="314">
        <v>1</v>
      </c>
    </row>
    <row r="19" spans="1:12" s="2" customFormat="1" ht="10.199999999999999" x14ac:dyDescent="0.2">
      <c r="A19" s="1549" t="s">
        <v>136</v>
      </c>
      <c r="B19" s="314">
        <v>0</v>
      </c>
      <c r="C19" s="314">
        <v>0</v>
      </c>
      <c r="D19" s="315">
        <f t="shared" si="1"/>
        <v>0</v>
      </c>
      <c r="E19" s="314">
        <v>0</v>
      </c>
      <c r="F19" s="314">
        <v>0</v>
      </c>
      <c r="G19" s="315">
        <f t="shared" si="2"/>
        <v>4</v>
      </c>
      <c r="H19" s="314">
        <v>1</v>
      </c>
      <c r="I19" s="314">
        <v>3</v>
      </c>
      <c r="J19" s="315">
        <f t="shared" si="3"/>
        <v>2</v>
      </c>
      <c r="K19" s="314">
        <v>1</v>
      </c>
      <c r="L19" s="314">
        <v>1</v>
      </c>
    </row>
    <row r="20" spans="1:12" s="2" customFormat="1" ht="10.199999999999999" x14ac:dyDescent="0.2">
      <c r="A20" s="1549" t="s">
        <v>17</v>
      </c>
      <c r="B20" s="314">
        <v>0</v>
      </c>
      <c r="C20" s="314">
        <v>0</v>
      </c>
      <c r="D20" s="315">
        <f t="shared" si="1"/>
        <v>0</v>
      </c>
      <c r="E20" s="314">
        <v>0</v>
      </c>
      <c r="F20" s="314">
        <v>0</v>
      </c>
      <c r="G20" s="315">
        <f t="shared" si="2"/>
        <v>0</v>
      </c>
      <c r="H20" s="314">
        <v>0</v>
      </c>
      <c r="I20" s="314">
        <v>0</v>
      </c>
      <c r="J20" s="315">
        <f t="shared" si="3"/>
        <v>0</v>
      </c>
      <c r="K20" s="314">
        <v>0</v>
      </c>
      <c r="L20" s="314">
        <v>0</v>
      </c>
    </row>
    <row r="21" spans="1:12" s="2" customFormat="1" ht="10.199999999999999" x14ac:dyDescent="0.2">
      <c r="A21" s="1549" t="s">
        <v>18</v>
      </c>
      <c r="B21" s="314">
        <v>0</v>
      </c>
      <c r="C21" s="314">
        <v>0</v>
      </c>
      <c r="D21" s="315">
        <f t="shared" si="1"/>
        <v>0</v>
      </c>
      <c r="E21" s="314">
        <v>0</v>
      </c>
      <c r="F21" s="314">
        <v>0</v>
      </c>
      <c r="G21" s="315">
        <f t="shared" si="2"/>
        <v>0</v>
      </c>
      <c r="H21" s="314">
        <v>0</v>
      </c>
      <c r="I21" s="314">
        <v>0</v>
      </c>
      <c r="J21" s="315">
        <f t="shared" si="3"/>
        <v>0</v>
      </c>
      <c r="K21" s="314">
        <v>0</v>
      </c>
      <c r="L21" s="314">
        <v>0</v>
      </c>
    </row>
    <row r="22" spans="1:12" s="2" customFormat="1" ht="10.199999999999999" x14ac:dyDescent="0.2">
      <c r="A22" s="1549"/>
      <c r="B22" s="314"/>
      <c r="C22" s="314"/>
      <c r="D22" s="315"/>
      <c r="E22" s="314"/>
      <c r="F22" s="314"/>
      <c r="G22" s="315"/>
      <c r="H22" s="314"/>
      <c r="I22" s="314"/>
      <c r="J22" s="315"/>
      <c r="K22" s="314"/>
      <c r="L22" s="314"/>
    </row>
    <row r="23" spans="1:12" s="2" customFormat="1" ht="9.75" customHeight="1" x14ac:dyDescent="0.2">
      <c r="A23" s="2" t="s">
        <v>197</v>
      </c>
      <c r="B23" s="324"/>
      <c r="C23" s="324"/>
      <c r="E23" s="324"/>
      <c r="F23" s="324"/>
      <c r="H23" s="324"/>
      <c r="I23" s="324"/>
      <c r="K23" s="324"/>
      <c r="L23" s="324"/>
    </row>
    <row r="24" spans="1:12" s="2" customFormat="1" ht="10.199999999999999" x14ac:dyDescent="0.2">
      <c r="A24" s="745" t="s">
        <v>3432</v>
      </c>
      <c r="B24" s="745"/>
      <c r="C24" s="745"/>
      <c r="D24" s="745"/>
      <c r="E24" s="745"/>
      <c r="F24" s="324"/>
      <c r="G24" s="324"/>
      <c r="H24" s="324"/>
      <c r="I24" s="324"/>
    </row>
    <row r="25" spans="1:12" s="2" customFormat="1" ht="10.199999999999999" x14ac:dyDescent="0.2">
      <c r="A25" s="324" t="s">
        <v>3433</v>
      </c>
      <c r="B25" s="324"/>
      <c r="C25" s="324"/>
      <c r="D25" s="324"/>
      <c r="E25" s="324"/>
    </row>
  </sheetData>
  <mergeCells count="5">
    <mergeCell ref="A4:A5"/>
    <mergeCell ref="D4:F4"/>
    <mergeCell ref="G4:I4"/>
    <mergeCell ref="J4:L4"/>
    <mergeCell ref="A24:E24"/>
  </mergeCells>
  <pageMargins left="0.7" right="0.7" top="0.75" bottom="0.75" header="0.3" footer="0.3"/>
  <pageSetup paperSize="14" orientation="landscape" r:id="rId1"/>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5DFA61-C900-400F-9BFD-D2B37004080F}">
  <sheetPr codeName="Hoja298"/>
  <dimension ref="A2:U151"/>
  <sheetViews>
    <sheetView topLeftCell="A16" zoomScaleNormal="100" zoomScaleSheetLayoutView="50" workbookViewId="0">
      <selection activeCell="A2" sqref="A2"/>
    </sheetView>
  </sheetViews>
  <sheetFormatPr baseColWidth="10" defaultRowHeight="10.199999999999999" x14ac:dyDescent="0.2"/>
  <cols>
    <col min="1" max="1" width="17.88671875" style="442" customWidth="1"/>
    <col min="2" max="2" width="17.33203125" style="442" customWidth="1"/>
    <col min="3" max="3" width="10.6640625" style="442" customWidth="1"/>
    <col min="4" max="4" width="14.109375" style="442" customWidth="1"/>
    <col min="5" max="5" width="13" style="442" bestFit="1" customWidth="1"/>
    <col min="6" max="6" width="14.109375" style="442" customWidth="1"/>
    <col min="7" max="7" width="9.5546875" style="442" bestFit="1" customWidth="1"/>
    <col min="8" max="8" width="15.33203125" style="442" customWidth="1"/>
    <col min="9" max="9" width="13" style="442" bestFit="1" customWidth="1"/>
    <col min="10" max="10" width="15.88671875" style="442" customWidth="1"/>
    <col min="11" max="11" width="9.44140625" style="442" customWidth="1"/>
    <col min="12" max="12" width="14.109375" style="442" customWidth="1"/>
    <col min="13" max="13" width="13" style="442" bestFit="1" customWidth="1"/>
    <col min="14" max="14" width="15.33203125" style="442" customWidth="1"/>
    <col min="15" max="15" width="13.109375" style="442" customWidth="1"/>
    <col min="16" max="16" width="14.109375" style="442" bestFit="1" customWidth="1"/>
    <col min="17" max="17" width="13" style="442" bestFit="1" customWidth="1"/>
    <col min="18" max="18" width="15.33203125" style="442" bestFit="1" customWidth="1"/>
    <col min="19" max="19" width="10.5546875" style="442" customWidth="1"/>
    <col min="20" max="20" width="9.33203125" style="442" customWidth="1"/>
    <col min="21" max="21" width="13" style="442" bestFit="1" customWidth="1"/>
    <col min="22" max="256" width="11.5546875" style="442"/>
    <col min="257" max="257" width="21.5546875" style="442" customWidth="1"/>
    <col min="258" max="258" width="17.33203125" style="442" customWidth="1"/>
    <col min="259" max="259" width="11.44140625" style="442" customWidth="1"/>
    <col min="260" max="260" width="14.109375" style="442" customWidth="1"/>
    <col min="261" max="261" width="13" style="442" bestFit="1" customWidth="1"/>
    <col min="262" max="262" width="14.109375" style="442" customWidth="1"/>
    <col min="263" max="263" width="11.44140625" style="442" customWidth="1"/>
    <col min="264" max="264" width="15.33203125" style="442" customWidth="1"/>
    <col min="265" max="265" width="13" style="442" bestFit="1" customWidth="1"/>
    <col min="266" max="266" width="15.88671875" style="442" customWidth="1"/>
    <col min="267" max="267" width="11.44140625" style="442" customWidth="1"/>
    <col min="268" max="268" width="14.109375" style="442" customWidth="1"/>
    <col min="269" max="269" width="13" style="442" bestFit="1" customWidth="1"/>
    <col min="270" max="270" width="15.33203125" style="442" customWidth="1"/>
    <col min="271" max="271" width="11.5546875" style="442"/>
    <col min="272" max="272" width="14.109375" style="442" bestFit="1" customWidth="1"/>
    <col min="273" max="273" width="13" style="442" bestFit="1" customWidth="1"/>
    <col min="274" max="274" width="15.33203125" style="442" bestFit="1" customWidth="1"/>
    <col min="275" max="276" width="11.5546875" style="442"/>
    <col min="277" max="277" width="13" style="442" bestFit="1" customWidth="1"/>
    <col min="278" max="512" width="11.5546875" style="442"/>
    <col min="513" max="513" width="21.5546875" style="442" customWidth="1"/>
    <col min="514" max="514" width="17.33203125" style="442" customWidth="1"/>
    <col min="515" max="515" width="11.44140625" style="442" customWidth="1"/>
    <col min="516" max="516" width="14.109375" style="442" customWidth="1"/>
    <col min="517" max="517" width="13" style="442" bestFit="1" customWidth="1"/>
    <col min="518" max="518" width="14.109375" style="442" customWidth="1"/>
    <col min="519" max="519" width="11.44140625" style="442" customWidth="1"/>
    <col min="520" max="520" width="15.33203125" style="442" customWidth="1"/>
    <col min="521" max="521" width="13" style="442" bestFit="1" customWidth="1"/>
    <col min="522" max="522" width="15.88671875" style="442" customWidth="1"/>
    <col min="523" max="523" width="11.44140625" style="442" customWidth="1"/>
    <col min="524" max="524" width="14.109375" style="442" customWidth="1"/>
    <col min="525" max="525" width="13" style="442" bestFit="1" customWidth="1"/>
    <col min="526" max="526" width="15.33203125" style="442" customWidth="1"/>
    <col min="527" max="527" width="11.5546875" style="442"/>
    <col min="528" max="528" width="14.109375" style="442" bestFit="1" customWidth="1"/>
    <col min="529" max="529" width="13" style="442" bestFit="1" customWidth="1"/>
    <col min="530" max="530" width="15.33203125" style="442" bestFit="1" customWidth="1"/>
    <col min="531" max="532" width="11.5546875" style="442"/>
    <col min="533" max="533" width="13" style="442" bestFit="1" customWidth="1"/>
    <col min="534" max="768" width="11.5546875" style="442"/>
    <col min="769" max="769" width="21.5546875" style="442" customWidth="1"/>
    <col min="770" max="770" width="17.33203125" style="442" customWidth="1"/>
    <col min="771" max="771" width="11.44140625" style="442" customWidth="1"/>
    <col min="772" max="772" width="14.109375" style="442" customWidth="1"/>
    <col min="773" max="773" width="13" style="442" bestFit="1" customWidth="1"/>
    <col min="774" max="774" width="14.109375" style="442" customWidth="1"/>
    <col min="775" max="775" width="11.44140625" style="442" customWidth="1"/>
    <col min="776" max="776" width="15.33203125" style="442" customWidth="1"/>
    <col min="777" max="777" width="13" style="442" bestFit="1" customWidth="1"/>
    <col min="778" max="778" width="15.88671875" style="442" customWidth="1"/>
    <col min="779" max="779" width="11.44140625" style="442" customWidth="1"/>
    <col min="780" max="780" width="14.109375" style="442" customWidth="1"/>
    <col min="781" max="781" width="13" style="442" bestFit="1" customWidth="1"/>
    <col min="782" max="782" width="15.33203125" style="442" customWidth="1"/>
    <col min="783" max="783" width="11.5546875" style="442"/>
    <col min="784" max="784" width="14.109375" style="442" bestFit="1" customWidth="1"/>
    <col min="785" max="785" width="13" style="442" bestFit="1" customWidth="1"/>
    <col min="786" max="786" width="15.33203125" style="442" bestFit="1" customWidth="1"/>
    <col min="787" max="788" width="11.5546875" style="442"/>
    <col min="789" max="789" width="13" style="442" bestFit="1" customWidth="1"/>
    <col min="790" max="1024" width="11.5546875" style="442"/>
    <col min="1025" max="1025" width="21.5546875" style="442" customWidth="1"/>
    <col min="1026" max="1026" width="17.33203125" style="442" customWidth="1"/>
    <col min="1027" max="1027" width="11.44140625" style="442" customWidth="1"/>
    <col min="1028" max="1028" width="14.109375" style="442" customWidth="1"/>
    <col min="1029" max="1029" width="13" style="442" bestFit="1" customWidth="1"/>
    <col min="1030" max="1030" width="14.109375" style="442" customWidth="1"/>
    <col min="1031" max="1031" width="11.44140625" style="442" customWidth="1"/>
    <col min="1032" max="1032" width="15.33203125" style="442" customWidth="1"/>
    <col min="1033" max="1033" width="13" style="442" bestFit="1" customWidth="1"/>
    <col min="1034" max="1034" width="15.88671875" style="442" customWidth="1"/>
    <col min="1035" max="1035" width="11.44140625" style="442" customWidth="1"/>
    <col min="1036" max="1036" width="14.109375" style="442" customWidth="1"/>
    <col min="1037" max="1037" width="13" style="442" bestFit="1" customWidth="1"/>
    <col min="1038" max="1038" width="15.33203125" style="442" customWidth="1"/>
    <col min="1039" max="1039" width="11.5546875" style="442"/>
    <col min="1040" max="1040" width="14.109375" style="442" bestFit="1" customWidth="1"/>
    <col min="1041" max="1041" width="13" style="442" bestFit="1" customWidth="1"/>
    <col min="1042" max="1042" width="15.33203125" style="442" bestFit="1" customWidth="1"/>
    <col min="1043" max="1044" width="11.5546875" style="442"/>
    <col min="1045" max="1045" width="13" style="442" bestFit="1" customWidth="1"/>
    <col min="1046" max="1280" width="11.5546875" style="442"/>
    <col min="1281" max="1281" width="21.5546875" style="442" customWidth="1"/>
    <col min="1282" max="1282" width="17.33203125" style="442" customWidth="1"/>
    <col min="1283" max="1283" width="11.44140625" style="442" customWidth="1"/>
    <col min="1284" max="1284" width="14.109375" style="442" customWidth="1"/>
    <col min="1285" max="1285" width="13" style="442" bestFit="1" customWidth="1"/>
    <col min="1286" max="1286" width="14.109375" style="442" customWidth="1"/>
    <col min="1287" max="1287" width="11.44140625" style="442" customWidth="1"/>
    <col min="1288" max="1288" width="15.33203125" style="442" customWidth="1"/>
    <col min="1289" max="1289" width="13" style="442" bestFit="1" customWidth="1"/>
    <col min="1290" max="1290" width="15.88671875" style="442" customWidth="1"/>
    <col min="1291" max="1291" width="11.44140625" style="442" customWidth="1"/>
    <col min="1292" max="1292" width="14.109375" style="442" customWidth="1"/>
    <col min="1293" max="1293" width="13" style="442" bestFit="1" customWidth="1"/>
    <col min="1294" max="1294" width="15.33203125" style="442" customWidth="1"/>
    <col min="1295" max="1295" width="11.5546875" style="442"/>
    <col min="1296" max="1296" width="14.109375" style="442" bestFit="1" customWidth="1"/>
    <col min="1297" max="1297" width="13" style="442" bestFit="1" customWidth="1"/>
    <col min="1298" max="1298" width="15.33203125" style="442" bestFit="1" customWidth="1"/>
    <col min="1299" max="1300" width="11.5546875" style="442"/>
    <col min="1301" max="1301" width="13" style="442" bestFit="1" customWidth="1"/>
    <col min="1302" max="1536" width="11.5546875" style="442"/>
    <col min="1537" max="1537" width="21.5546875" style="442" customWidth="1"/>
    <col min="1538" max="1538" width="17.33203125" style="442" customWidth="1"/>
    <col min="1539" max="1539" width="11.44140625" style="442" customWidth="1"/>
    <col min="1540" max="1540" width="14.109375" style="442" customWidth="1"/>
    <col min="1541" max="1541" width="13" style="442" bestFit="1" customWidth="1"/>
    <col min="1542" max="1542" width="14.109375" style="442" customWidth="1"/>
    <col min="1543" max="1543" width="11.44140625" style="442" customWidth="1"/>
    <col min="1544" max="1544" width="15.33203125" style="442" customWidth="1"/>
    <col min="1545" max="1545" width="13" style="442" bestFit="1" customWidth="1"/>
    <col min="1546" max="1546" width="15.88671875" style="442" customWidth="1"/>
    <col min="1547" max="1547" width="11.44140625" style="442" customWidth="1"/>
    <col min="1548" max="1548" width="14.109375" style="442" customWidth="1"/>
    <col min="1549" max="1549" width="13" style="442" bestFit="1" customWidth="1"/>
    <col min="1550" max="1550" width="15.33203125" style="442" customWidth="1"/>
    <col min="1551" max="1551" width="11.5546875" style="442"/>
    <col min="1552" max="1552" width="14.109375" style="442" bestFit="1" customWidth="1"/>
    <col min="1553" max="1553" width="13" style="442" bestFit="1" customWidth="1"/>
    <col min="1554" max="1554" width="15.33203125" style="442" bestFit="1" customWidth="1"/>
    <col min="1555" max="1556" width="11.5546875" style="442"/>
    <col min="1557" max="1557" width="13" style="442" bestFit="1" customWidth="1"/>
    <col min="1558" max="1792" width="11.5546875" style="442"/>
    <col min="1793" max="1793" width="21.5546875" style="442" customWidth="1"/>
    <col min="1794" max="1794" width="17.33203125" style="442" customWidth="1"/>
    <col min="1795" max="1795" width="11.44140625" style="442" customWidth="1"/>
    <col min="1796" max="1796" width="14.109375" style="442" customWidth="1"/>
    <col min="1797" max="1797" width="13" style="442" bestFit="1" customWidth="1"/>
    <col min="1798" max="1798" width="14.109375" style="442" customWidth="1"/>
    <col min="1799" max="1799" width="11.44140625" style="442" customWidth="1"/>
    <col min="1800" max="1800" width="15.33203125" style="442" customWidth="1"/>
    <col min="1801" max="1801" width="13" style="442" bestFit="1" customWidth="1"/>
    <col min="1802" max="1802" width="15.88671875" style="442" customWidth="1"/>
    <col min="1803" max="1803" width="11.44140625" style="442" customWidth="1"/>
    <col min="1804" max="1804" width="14.109375" style="442" customWidth="1"/>
    <col min="1805" max="1805" width="13" style="442" bestFit="1" customWidth="1"/>
    <col min="1806" max="1806" width="15.33203125" style="442" customWidth="1"/>
    <col min="1807" max="1807" width="11.5546875" style="442"/>
    <col min="1808" max="1808" width="14.109375" style="442" bestFit="1" customWidth="1"/>
    <col min="1809" max="1809" width="13" style="442" bestFit="1" customWidth="1"/>
    <col min="1810" max="1810" width="15.33203125" style="442" bestFit="1" customWidth="1"/>
    <col min="1811" max="1812" width="11.5546875" style="442"/>
    <col min="1813" max="1813" width="13" style="442" bestFit="1" customWidth="1"/>
    <col min="1814" max="2048" width="11.5546875" style="442"/>
    <col min="2049" max="2049" width="21.5546875" style="442" customWidth="1"/>
    <col min="2050" max="2050" width="17.33203125" style="442" customWidth="1"/>
    <col min="2051" max="2051" width="11.44140625" style="442" customWidth="1"/>
    <col min="2052" max="2052" width="14.109375" style="442" customWidth="1"/>
    <col min="2053" max="2053" width="13" style="442" bestFit="1" customWidth="1"/>
    <col min="2054" max="2054" width="14.109375" style="442" customWidth="1"/>
    <col min="2055" max="2055" width="11.44140625" style="442" customWidth="1"/>
    <col min="2056" max="2056" width="15.33203125" style="442" customWidth="1"/>
    <col min="2057" max="2057" width="13" style="442" bestFit="1" customWidth="1"/>
    <col min="2058" max="2058" width="15.88671875" style="442" customWidth="1"/>
    <col min="2059" max="2059" width="11.44140625" style="442" customWidth="1"/>
    <col min="2060" max="2060" width="14.109375" style="442" customWidth="1"/>
    <col min="2061" max="2061" width="13" style="442" bestFit="1" customWidth="1"/>
    <col min="2062" max="2062" width="15.33203125" style="442" customWidth="1"/>
    <col min="2063" max="2063" width="11.5546875" style="442"/>
    <col min="2064" max="2064" width="14.109375" style="442" bestFit="1" customWidth="1"/>
    <col min="2065" max="2065" width="13" style="442" bestFit="1" customWidth="1"/>
    <col min="2066" max="2066" width="15.33203125" style="442" bestFit="1" customWidth="1"/>
    <col min="2067" max="2068" width="11.5546875" style="442"/>
    <col min="2069" max="2069" width="13" style="442" bestFit="1" customWidth="1"/>
    <col min="2070" max="2304" width="11.5546875" style="442"/>
    <col min="2305" max="2305" width="21.5546875" style="442" customWidth="1"/>
    <col min="2306" max="2306" width="17.33203125" style="442" customWidth="1"/>
    <col min="2307" max="2307" width="11.44140625" style="442" customWidth="1"/>
    <col min="2308" max="2308" width="14.109375" style="442" customWidth="1"/>
    <col min="2309" max="2309" width="13" style="442" bestFit="1" customWidth="1"/>
    <col min="2310" max="2310" width="14.109375" style="442" customWidth="1"/>
    <col min="2311" max="2311" width="11.44140625" style="442" customWidth="1"/>
    <col min="2312" max="2312" width="15.33203125" style="442" customWidth="1"/>
    <col min="2313" max="2313" width="13" style="442" bestFit="1" customWidth="1"/>
    <col min="2314" max="2314" width="15.88671875" style="442" customWidth="1"/>
    <col min="2315" max="2315" width="11.44140625" style="442" customWidth="1"/>
    <col min="2316" max="2316" width="14.109375" style="442" customWidth="1"/>
    <col min="2317" max="2317" width="13" style="442" bestFit="1" customWidth="1"/>
    <col min="2318" max="2318" width="15.33203125" style="442" customWidth="1"/>
    <col min="2319" max="2319" width="11.5546875" style="442"/>
    <col min="2320" max="2320" width="14.109375" style="442" bestFit="1" customWidth="1"/>
    <col min="2321" max="2321" width="13" style="442" bestFit="1" customWidth="1"/>
    <col min="2322" max="2322" width="15.33203125" style="442" bestFit="1" customWidth="1"/>
    <col min="2323" max="2324" width="11.5546875" style="442"/>
    <col min="2325" max="2325" width="13" style="442" bestFit="1" customWidth="1"/>
    <col min="2326" max="2560" width="11.5546875" style="442"/>
    <col min="2561" max="2561" width="21.5546875" style="442" customWidth="1"/>
    <col min="2562" max="2562" width="17.33203125" style="442" customWidth="1"/>
    <col min="2563" max="2563" width="11.44140625" style="442" customWidth="1"/>
    <col min="2564" max="2564" width="14.109375" style="442" customWidth="1"/>
    <col min="2565" max="2565" width="13" style="442" bestFit="1" customWidth="1"/>
    <col min="2566" max="2566" width="14.109375" style="442" customWidth="1"/>
    <col min="2567" max="2567" width="11.44140625" style="442" customWidth="1"/>
    <col min="2568" max="2568" width="15.33203125" style="442" customWidth="1"/>
    <col min="2569" max="2569" width="13" style="442" bestFit="1" customWidth="1"/>
    <col min="2570" max="2570" width="15.88671875" style="442" customWidth="1"/>
    <col min="2571" max="2571" width="11.44140625" style="442" customWidth="1"/>
    <col min="2572" max="2572" width="14.109375" style="442" customWidth="1"/>
    <col min="2573" max="2573" width="13" style="442" bestFit="1" customWidth="1"/>
    <col min="2574" max="2574" width="15.33203125" style="442" customWidth="1"/>
    <col min="2575" max="2575" width="11.5546875" style="442"/>
    <col min="2576" max="2576" width="14.109375" style="442" bestFit="1" customWidth="1"/>
    <col min="2577" max="2577" width="13" style="442" bestFit="1" customWidth="1"/>
    <col min="2578" max="2578" width="15.33203125" style="442" bestFit="1" customWidth="1"/>
    <col min="2579" max="2580" width="11.5546875" style="442"/>
    <col min="2581" max="2581" width="13" style="442" bestFit="1" customWidth="1"/>
    <col min="2582" max="2816" width="11.5546875" style="442"/>
    <col min="2817" max="2817" width="21.5546875" style="442" customWidth="1"/>
    <col min="2818" max="2818" width="17.33203125" style="442" customWidth="1"/>
    <col min="2819" max="2819" width="11.44140625" style="442" customWidth="1"/>
    <col min="2820" max="2820" width="14.109375" style="442" customWidth="1"/>
    <col min="2821" max="2821" width="13" style="442" bestFit="1" customWidth="1"/>
    <col min="2822" max="2822" width="14.109375" style="442" customWidth="1"/>
    <col min="2823" max="2823" width="11.44140625" style="442" customWidth="1"/>
    <col min="2824" max="2824" width="15.33203125" style="442" customWidth="1"/>
    <col min="2825" max="2825" width="13" style="442" bestFit="1" customWidth="1"/>
    <col min="2826" max="2826" width="15.88671875" style="442" customWidth="1"/>
    <col min="2827" max="2827" width="11.44140625" style="442" customWidth="1"/>
    <col min="2828" max="2828" width="14.109375" style="442" customWidth="1"/>
    <col min="2829" max="2829" width="13" style="442" bestFit="1" customWidth="1"/>
    <col min="2830" max="2830" width="15.33203125" style="442" customWidth="1"/>
    <col min="2831" max="2831" width="11.5546875" style="442"/>
    <col min="2832" max="2832" width="14.109375" style="442" bestFit="1" customWidth="1"/>
    <col min="2833" max="2833" width="13" style="442" bestFit="1" customWidth="1"/>
    <col min="2834" max="2834" width="15.33203125" style="442" bestFit="1" customWidth="1"/>
    <col min="2835" max="2836" width="11.5546875" style="442"/>
    <col min="2837" max="2837" width="13" style="442" bestFit="1" customWidth="1"/>
    <col min="2838" max="3072" width="11.5546875" style="442"/>
    <col min="3073" max="3073" width="21.5546875" style="442" customWidth="1"/>
    <col min="3074" max="3074" width="17.33203125" style="442" customWidth="1"/>
    <col min="3075" max="3075" width="11.44140625" style="442" customWidth="1"/>
    <col min="3076" max="3076" width="14.109375" style="442" customWidth="1"/>
    <col min="3077" max="3077" width="13" style="442" bestFit="1" customWidth="1"/>
    <col min="3078" max="3078" width="14.109375" style="442" customWidth="1"/>
    <col min="3079" max="3079" width="11.44140625" style="442" customWidth="1"/>
    <col min="3080" max="3080" width="15.33203125" style="442" customWidth="1"/>
    <col min="3081" max="3081" width="13" style="442" bestFit="1" customWidth="1"/>
    <col min="3082" max="3082" width="15.88671875" style="442" customWidth="1"/>
    <col min="3083" max="3083" width="11.44140625" style="442" customWidth="1"/>
    <col min="3084" max="3084" width="14.109375" style="442" customWidth="1"/>
    <col min="3085" max="3085" width="13" style="442" bestFit="1" customWidth="1"/>
    <col min="3086" max="3086" width="15.33203125" style="442" customWidth="1"/>
    <col min="3087" max="3087" width="11.5546875" style="442"/>
    <col min="3088" max="3088" width="14.109375" style="442" bestFit="1" customWidth="1"/>
    <col min="3089" max="3089" width="13" style="442" bestFit="1" customWidth="1"/>
    <col min="3090" max="3090" width="15.33203125" style="442" bestFit="1" customWidth="1"/>
    <col min="3091" max="3092" width="11.5546875" style="442"/>
    <col min="3093" max="3093" width="13" style="442" bestFit="1" customWidth="1"/>
    <col min="3094" max="3328" width="11.5546875" style="442"/>
    <col min="3329" max="3329" width="21.5546875" style="442" customWidth="1"/>
    <col min="3330" max="3330" width="17.33203125" style="442" customWidth="1"/>
    <col min="3331" max="3331" width="11.44140625" style="442" customWidth="1"/>
    <col min="3332" max="3332" width="14.109375" style="442" customWidth="1"/>
    <col min="3333" max="3333" width="13" style="442" bestFit="1" customWidth="1"/>
    <col min="3334" max="3334" width="14.109375" style="442" customWidth="1"/>
    <col min="3335" max="3335" width="11.44140625" style="442" customWidth="1"/>
    <col min="3336" max="3336" width="15.33203125" style="442" customWidth="1"/>
    <col min="3337" max="3337" width="13" style="442" bestFit="1" customWidth="1"/>
    <col min="3338" max="3338" width="15.88671875" style="442" customWidth="1"/>
    <col min="3339" max="3339" width="11.44140625" style="442" customWidth="1"/>
    <col min="3340" max="3340" width="14.109375" style="442" customWidth="1"/>
    <col min="3341" max="3341" width="13" style="442" bestFit="1" customWidth="1"/>
    <col min="3342" max="3342" width="15.33203125" style="442" customWidth="1"/>
    <col min="3343" max="3343" width="11.5546875" style="442"/>
    <col min="3344" max="3344" width="14.109375" style="442" bestFit="1" customWidth="1"/>
    <col min="3345" max="3345" width="13" style="442" bestFit="1" customWidth="1"/>
    <col min="3346" max="3346" width="15.33203125" style="442" bestFit="1" customWidth="1"/>
    <col min="3347" max="3348" width="11.5546875" style="442"/>
    <col min="3349" max="3349" width="13" style="442" bestFit="1" customWidth="1"/>
    <col min="3350" max="3584" width="11.5546875" style="442"/>
    <col min="3585" max="3585" width="21.5546875" style="442" customWidth="1"/>
    <col min="3586" max="3586" width="17.33203125" style="442" customWidth="1"/>
    <col min="3587" max="3587" width="11.44140625" style="442" customWidth="1"/>
    <col min="3588" max="3588" width="14.109375" style="442" customWidth="1"/>
    <col min="3589" max="3589" width="13" style="442" bestFit="1" customWidth="1"/>
    <col min="3590" max="3590" width="14.109375" style="442" customWidth="1"/>
    <col min="3591" max="3591" width="11.44140625" style="442" customWidth="1"/>
    <col min="3592" max="3592" width="15.33203125" style="442" customWidth="1"/>
    <col min="3593" max="3593" width="13" style="442" bestFit="1" customWidth="1"/>
    <col min="3594" max="3594" width="15.88671875" style="442" customWidth="1"/>
    <col min="3595" max="3595" width="11.44140625" style="442" customWidth="1"/>
    <col min="3596" max="3596" width="14.109375" style="442" customWidth="1"/>
    <col min="3597" max="3597" width="13" style="442" bestFit="1" customWidth="1"/>
    <col min="3598" max="3598" width="15.33203125" style="442" customWidth="1"/>
    <col min="3599" max="3599" width="11.5546875" style="442"/>
    <col min="3600" max="3600" width="14.109375" style="442" bestFit="1" customWidth="1"/>
    <col min="3601" max="3601" width="13" style="442" bestFit="1" customWidth="1"/>
    <col min="3602" max="3602" width="15.33203125" style="442" bestFit="1" customWidth="1"/>
    <col min="3603" max="3604" width="11.5546875" style="442"/>
    <col min="3605" max="3605" width="13" style="442" bestFit="1" customWidth="1"/>
    <col min="3606" max="3840" width="11.5546875" style="442"/>
    <col min="3841" max="3841" width="21.5546875" style="442" customWidth="1"/>
    <col min="3842" max="3842" width="17.33203125" style="442" customWidth="1"/>
    <col min="3843" max="3843" width="11.44140625" style="442" customWidth="1"/>
    <col min="3844" max="3844" width="14.109375" style="442" customWidth="1"/>
    <col min="3845" max="3845" width="13" style="442" bestFit="1" customWidth="1"/>
    <col min="3846" max="3846" width="14.109375" style="442" customWidth="1"/>
    <col min="3847" max="3847" width="11.44140625" style="442" customWidth="1"/>
    <col min="3848" max="3848" width="15.33203125" style="442" customWidth="1"/>
    <col min="3849" max="3849" width="13" style="442" bestFit="1" customWidth="1"/>
    <col min="3850" max="3850" width="15.88671875" style="442" customWidth="1"/>
    <col min="3851" max="3851" width="11.44140625" style="442" customWidth="1"/>
    <col min="3852" max="3852" width="14.109375" style="442" customWidth="1"/>
    <col min="3853" max="3853" width="13" style="442" bestFit="1" customWidth="1"/>
    <col min="3854" max="3854" width="15.33203125" style="442" customWidth="1"/>
    <col min="3855" max="3855" width="11.5546875" style="442"/>
    <col min="3856" max="3856" width="14.109375" style="442" bestFit="1" customWidth="1"/>
    <col min="3857" max="3857" width="13" style="442" bestFit="1" customWidth="1"/>
    <col min="3858" max="3858" width="15.33203125" style="442" bestFit="1" customWidth="1"/>
    <col min="3859" max="3860" width="11.5546875" style="442"/>
    <col min="3861" max="3861" width="13" style="442" bestFit="1" customWidth="1"/>
    <col min="3862" max="4096" width="11.5546875" style="442"/>
    <col min="4097" max="4097" width="21.5546875" style="442" customWidth="1"/>
    <col min="4098" max="4098" width="17.33203125" style="442" customWidth="1"/>
    <col min="4099" max="4099" width="11.44140625" style="442" customWidth="1"/>
    <col min="4100" max="4100" width="14.109375" style="442" customWidth="1"/>
    <col min="4101" max="4101" width="13" style="442" bestFit="1" customWidth="1"/>
    <col min="4102" max="4102" width="14.109375" style="442" customWidth="1"/>
    <col min="4103" max="4103" width="11.44140625" style="442" customWidth="1"/>
    <col min="4104" max="4104" width="15.33203125" style="442" customWidth="1"/>
    <col min="4105" max="4105" width="13" style="442" bestFit="1" customWidth="1"/>
    <col min="4106" max="4106" width="15.88671875" style="442" customWidth="1"/>
    <col min="4107" max="4107" width="11.44140625" style="442" customWidth="1"/>
    <col min="4108" max="4108" width="14.109375" style="442" customWidth="1"/>
    <col min="4109" max="4109" width="13" style="442" bestFit="1" customWidth="1"/>
    <col min="4110" max="4110" width="15.33203125" style="442" customWidth="1"/>
    <col min="4111" max="4111" width="11.5546875" style="442"/>
    <col min="4112" max="4112" width="14.109375" style="442" bestFit="1" customWidth="1"/>
    <col min="4113" max="4113" width="13" style="442" bestFit="1" customWidth="1"/>
    <col min="4114" max="4114" width="15.33203125" style="442" bestFit="1" customWidth="1"/>
    <col min="4115" max="4116" width="11.5546875" style="442"/>
    <col min="4117" max="4117" width="13" style="442" bestFit="1" customWidth="1"/>
    <col min="4118" max="4352" width="11.5546875" style="442"/>
    <col min="4353" max="4353" width="21.5546875" style="442" customWidth="1"/>
    <col min="4354" max="4354" width="17.33203125" style="442" customWidth="1"/>
    <col min="4355" max="4355" width="11.44140625" style="442" customWidth="1"/>
    <col min="4356" max="4356" width="14.109375" style="442" customWidth="1"/>
    <col min="4357" max="4357" width="13" style="442" bestFit="1" customWidth="1"/>
    <col min="4358" max="4358" width="14.109375" style="442" customWidth="1"/>
    <col min="4359" max="4359" width="11.44140625" style="442" customWidth="1"/>
    <col min="4360" max="4360" width="15.33203125" style="442" customWidth="1"/>
    <col min="4361" max="4361" width="13" style="442" bestFit="1" customWidth="1"/>
    <col min="4362" max="4362" width="15.88671875" style="442" customWidth="1"/>
    <col min="4363" max="4363" width="11.44140625" style="442" customWidth="1"/>
    <col min="4364" max="4364" width="14.109375" style="442" customWidth="1"/>
    <col min="4365" max="4365" width="13" style="442" bestFit="1" customWidth="1"/>
    <col min="4366" max="4366" width="15.33203125" style="442" customWidth="1"/>
    <col min="4367" max="4367" width="11.5546875" style="442"/>
    <col min="4368" max="4368" width="14.109375" style="442" bestFit="1" customWidth="1"/>
    <col min="4369" max="4369" width="13" style="442" bestFit="1" customWidth="1"/>
    <col min="4370" max="4370" width="15.33203125" style="442" bestFit="1" customWidth="1"/>
    <col min="4371" max="4372" width="11.5546875" style="442"/>
    <col min="4373" max="4373" width="13" style="442" bestFit="1" customWidth="1"/>
    <col min="4374" max="4608" width="11.5546875" style="442"/>
    <col min="4609" max="4609" width="21.5546875" style="442" customWidth="1"/>
    <col min="4610" max="4610" width="17.33203125" style="442" customWidth="1"/>
    <col min="4611" max="4611" width="11.44140625" style="442" customWidth="1"/>
    <col min="4612" max="4612" width="14.109375" style="442" customWidth="1"/>
    <col min="4613" max="4613" width="13" style="442" bestFit="1" customWidth="1"/>
    <col min="4614" max="4614" width="14.109375" style="442" customWidth="1"/>
    <col min="4615" max="4615" width="11.44140625" style="442" customWidth="1"/>
    <col min="4616" max="4616" width="15.33203125" style="442" customWidth="1"/>
    <col min="4617" max="4617" width="13" style="442" bestFit="1" customWidth="1"/>
    <col min="4618" max="4618" width="15.88671875" style="442" customWidth="1"/>
    <col min="4619" max="4619" width="11.44140625" style="442" customWidth="1"/>
    <col min="4620" max="4620" width="14.109375" style="442" customWidth="1"/>
    <col min="4621" max="4621" width="13" style="442" bestFit="1" customWidth="1"/>
    <col min="4622" max="4622" width="15.33203125" style="442" customWidth="1"/>
    <col min="4623" max="4623" width="11.5546875" style="442"/>
    <col min="4624" max="4624" width="14.109375" style="442" bestFit="1" customWidth="1"/>
    <col min="4625" max="4625" width="13" style="442" bestFit="1" customWidth="1"/>
    <col min="4626" max="4626" width="15.33203125" style="442" bestFit="1" customWidth="1"/>
    <col min="4627" max="4628" width="11.5546875" style="442"/>
    <col min="4629" max="4629" width="13" style="442" bestFit="1" customWidth="1"/>
    <col min="4630" max="4864" width="11.5546875" style="442"/>
    <col min="4865" max="4865" width="21.5546875" style="442" customWidth="1"/>
    <col min="4866" max="4866" width="17.33203125" style="442" customWidth="1"/>
    <col min="4867" max="4867" width="11.44140625" style="442" customWidth="1"/>
    <col min="4868" max="4868" width="14.109375" style="442" customWidth="1"/>
    <col min="4869" max="4869" width="13" style="442" bestFit="1" customWidth="1"/>
    <col min="4870" max="4870" width="14.109375" style="442" customWidth="1"/>
    <col min="4871" max="4871" width="11.44140625" style="442" customWidth="1"/>
    <col min="4872" max="4872" width="15.33203125" style="442" customWidth="1"/>
    <col min="4873" max="4873" width="13" style="442" bestFit="1" customWidth="1"/>
    <col min="4874" max="4874" width="15.88671875" style="442" customWidth="1"/>
    <col min="4875" max="4875" width="11.44140625" style="442" customWidth="1"/>
    <col min="4876" max="4876" width="14.109375" style="442" customWidth="1"/>
    <col min="4877" max="4877" width="13" style="442" bestFit="1" customWidth="1"/>
    <col min="4878" max="4878" width="15.33203125" style="442" customWidth="1"/>
    <col min="4879" max="4879" width="11.5546875" style="442"/>
    <col min="4880" max="4880" width="14.109375" style="442" bestFit="1" customWidth="1"/>
    <col min="4881" max="4881" width="13" style="442" bestFit="1" customWidth="1"/>
    <col min="4882" max="4882" width="15.33203125" style="442" bestFit="1" customWidth="1"/>
    <col min="4883" max="4884" width="11.5546875" style="442"/>
    <col min="4885" max="4885" width="13" style="442" bestFit="1" customWidth="1"/>
    <col min="4886" max="5120" width="11.5546875" style="442"/>
    <col min="5121" max="5121" width="21.5546875" style="442" customWidth="1"/>
    <col min="5122" max="5122" width="17.33203125" style="442" customWidth="1"/>
    <col min="5123" max="5123" width="11.44140625" style="442" customWidth="1"/>
    <col min="5124" max="5124" width="14.109375" style="442" customWidth="1"/>
    <col min="5125" max="5125" width="13" style="442" bestFit="1" customWidth="1"/>
    <col min="5126" max="5126" width="14.109375" style="442" customWidth="1"/>
    <col min="5127" max="5127" width="11.44140625" style="442" customWidth="1"/>
    <col min="5128" max="5128" width="15.33203125" style="442" customWidth="1"/>
    <col min="5129" max="5129" width="13" style="442" bestFit="1" customWidth="1"/>
    <col min="5130" max="5130" width="15.88671875" style="442" customWidth="1"/>
    <col min="5131" max="5131" width="11.44140625" style="442" customWidth="1"/>
    <col min="5132" max="5132" width="14.109375" style="442" customWidth="1"/>
    <col min="5133" max="5133" width="13" style="442" bestFit="1" customWidth="1"/>
    <col min="5134" max="5134" width="15.33203125" style="442" customWidth="1"/>
    <col min="5135" max="5135" width="11.5546875" style="442"/>
    <col min="5136" max="5136" width="14.109375" style="442" bestFit="1" customWidth="1"/>
    <col min="5137" max="5137" width="13" style="442" bestFit="1" customWidth="1"/>
    <col min="5138" max="5138" width="15.33203125" style="442" bestFit="1" customWidth="1"/>
    <col min="5139" max="5140" width="11.5546875" style="442"/>
    <col min="5141" max="5141" width="13" style="442" bestFit="1" customWidth="1"/>
    <col min="5142" max="5376" width="11.5546875" style="442"/>
    <col min="5377" max="5377" width="21.5546875" style="442" customWidth="1"/>
    <col min="5378" max="5378" width="17.33203125" style="442" customWidth="1"/>
    <col min="5379" max="5379" width="11.44140625" style="442" customWidth="1"/>
    <col min="5380" max="5380" width="14.109375" style="442" customWidth="1"/>
    <col min="5381" max="5381" width="13" style="442" bestFit="1" customWidth="1"/>
    <col min="5382" max="5382" width="14.109375" style="442" customWidth="1"/>
    <col min="5383" max="5383" width="11.44140625" style="442" customWidth="1"/>
    <col min="5384" max="5384" width="15.33203125" style="442" customWidth="1"/>
    <col min="5385" max="5385" width="13" style="442" bestFit="1" customWidth="1"/>
    <col min="5386" max="5386" width="15.88671875" style="442" customWidth="1"/>
    <col min="5387" max="5387" width="11.44140625" style="442" customWidth="1"/>
    <col min="5388" max="5388" width="14.109375" style="442" customWidth="1"/>
    <col min="5389" max="5389" width="13" style="442" bestFit="1" customWidth="1"/>
    <col min="5390" max="5390" width="15.33203125" style="442" customWidth="1"/>
    <col min="5391" max="5391" width="11.5546875" style="442"/>
    <col min="5392" max="5392" width="14.109375" style="442" bestFit="1" customWidth="1"/>
    <col min="5393" max="5393" width="13" style="442" bestFit="1" customWidth="1"/>
    <col min="5394" max="5394" width="15.33203125" style="442" bestFit="1" customWidth="1"/>
    <col min="5395" max="5396" width="11.5546875" style="442"/>
    <col min="5397" max="5397" width="13" style="442" bestFit="1" customWidth="1"/>
    <col min="5398" max="5632" width="11.5546875" style="442"/>
    <col min="5633" max="5633" width="21.5546875" style="442" customWidth="1"/>
    <col min="5634" max="5634" width="17.33203125" style="442" customWidth="1"/>
    <col min="5635" max="5635" width="11.44140625" style="442" customWidth="1"/>
    <col min="5636" max="5636" width="14.109375" style="442" customWidth="1"/>
    <col min="5637" max="5637" width="13" style="442" bestFit="1" customWidth="1"/>
    <col min="5638" max="5638" width="14.109375" style="442" customWidth="1"/>
    <col min="5639" max="5639" width="11.44140625" style="442" customWidth="1"/>
    <col min="5640" max="5640" width="15.33203125" style="442" customWidth="1"/>
    <col min="5641" max="5641" width="13" style="442" bestFit="1" customWidth="1"/>
    <col min="5642" max="5642" width="15.88671875" style="442" customWidth="1"/>
    <col min="5643" max="5643" width="11.44140625" style="442" customWidth="1"/>
    <col min="5644" max="5644" width="14.109375" style="442" customWidth="1"/>
    <col min="5645" max="5645" width="13" style="442" bestFit="1" customWidth="1"/>
    <col min="5646" max="5646" width="15.33203125" style="442" customWidth="1"/>
    <col min="5647" max="5647" width="11.5546875" style="442"/>
    <col min="5648" max="5648" width="14.109375" style="442" bestFit="1" customWidth="1"/>
    <col min="5649" max="5649" width="13" style="442" bestFit="1" customWidth="1"/>
    <col min="5650" max="5650" width="15.33203125" style="442" bestFit="1" customWidth="1"/>
    <col min="5651" max="5652" width="11.5546875" style="442"/>
    <col min="5653" max="5653" width="13" style="442" bestFit="1" customWidth="1"/>
    <col min="5654" max="5888" width="11.5546875" style="442"/>
    <col min="5889" max="5889" width="21.5546875" style="442" customWidth="1"/>
    <col min="5890" max="5890" width="17.33203125" style="442" customWidth="1"/>
    <col min="5891" max="5891" width="11.44140625" style="442" customWidth="1"/>
    <col min="5892" max="5892" width="14.109375" style="442" customWidth="1"/>
    <col min="5893" max="5893" width="13" style="442" bestFit="1" customWidth="1"/>
    <col min="5894" max="5894" width="14.109375" style="442" customWidth="1"/>
    <col min="5895" max="5895" width="11.44140625" style="442" customWidth="1"/>
    <col min="5896" max="5896" width="15.33203125" style="442" customWidth="1"/>
    <col min="5897" max="5897" width="13" style="442" bestFit="1" customWidth="1"/>
    <col min="5898" max="5898" width="15.88671875" style="442" customWidth="1"/>
    <col min="5899" max="5899" width="11.44140625" style="442" customWidth="1"/>
    <col min="5900" max="5900" width="14.109375" style="442" customWidth="1"/>
    <col min="5901" max="5901" width="13" style="442" bestFit="1" customWidth="1"/>
    <col min="5902" max="5902" width="15.33203125" style="442" customWidth="1"/>
    <col min="5903" max="5903" width="11.5546875" style="442"/>
    <col min="5904" max="5904" width="14.109375" style="442" bestFit="1" customWidth="1"/>
    <col min="5905" max="5905" width="13" style="442" bestFit="1" customWidth="1"/>
    <col min="5906" max="5906" width="15.33203125" style="442" bestFit="1" customWidth="1"/>
    <col min="5907" max="5908" width="11.5546875" style="442"/>
    <col min="5909" max="5909" width="13" style="442" bestFit="1" customWidth="1"/>
    <col min="5910" max="6144" width="11.5546875" style="442"/>
    <col min="6145" max="6145" width="21.5546875" style="442" customWidth="1"/>
    <col min="6146" max="6146" width="17.33203125" style="442" customWidth="1"/>
    <col min="6147" max="6147" width="11.44140625" style="442" customWidth="1"/>
    <col min="6148" max="6148" width="14.109375" style="442" customWidth="1"/>
    <col min="6149" max="6149" width="13" style="442" bestFit="1" customWidth="1"/>
    <col min="6150" max="6150" width="14.109375" style="442" customWidth="1"/>
    <col min="6151" max="6151" width="11.44140625" style="442" customWidth="1"/>
    <col min="6152" max="6152" width="15.33203125" style="442" customWidth="1"/>
    <col min="6153" max="6153" width="13" style="442" bestFit="1" customWidth="1"/>
    <col min="6154" max="6154" width="15.88671875" style="442" customWidth="1"/>
    <col min="6155" max="6155" width="11.44140625" style="442" customWidth="1"/>
    <col min="6156" max="6156" width="14.109375" style="442" customWidth="1"/>
    <col min="6157" max="6157" width="13" style="442" bestFit="1" customWidth="1"/>
    <col min="6158" max="6158" width="15.33203125" style="442" customWidth="1"/>
    <col min="6159" max="6159" width="11.5546875" style="442"/>
    <col min="6160" max="6160" width="14.109375" style="442" bestFit="1" customWidth="1"/>
    <col min="6161" max="6161" width="13" style="442" bestFit="1" customWidth="1"/>
    <col min="6162" max="6162" width="15.33203125" style="442" bestFit="1" customWidth="1"/>
    <col min="6163" max="6164" width="11.5546875" style="442"/>
    <col min="6165" max="6165" width="13" style="442" bestFit="1" customWidth="1"/>
    <col min="6166" max="6400" width="11.5546875" style="442"/>
    <col min="6401" max="6401" width="21.5546875" style="442" customWidth="1"/>
    <col min="6402" max="6402" width="17.33203125" style="442" customWidth="1"/>
    <col min="6403" max="6403" width="11.44140625" style="442" customWidth="1"/>
    <col min="6404" max="6404" width="14.109375" style="442" customWidth="1"/>
    <col min="6405" max="6405" width="13" style="442" bestFit="1" customWidth="1"/>
    <col min="6406" max="6406" width="14.109375" style="442" customWidth="1"/>
    <col min="6407" max="6407" width="11.44140625" style="442" customWidth="1"/>
    <col min="6408" max="6408" width="15.33203125" style="442" customWidth="1"/>
    <col min="6409" max="6409" width="13" style="442" bestFit="1" customWidth="1"/>
    <col min="6410" max="6410" width="15.88671875" style="442" customWidth="1"/>
    <col min="6411" max="6411" width="11.44140625" style="442" customWidth="1"/>
    <col min="6412" max="6412" width="14.109375" style="442" customWidth="1"/>
    <col min="6413" max="6413" width="13" style="442" bestFit="1" customWidth="1"/>
    <col min="6414" max="6414" width="15.33203125" style="442" customWidth="1"/>
    <col min="6415" max="6415" width="11.5546875" style="442"/>
    <col min="6416" max="6416" width="14.109375" style="442" bestFit="1" customWidth="1"/>
    <col min="6417" max="6417" width="13" style="442" bestFit="1" customWidth="1"/>
    <col min="6418" max="6418" width="15.33203125" style="442" bestFit="1" customWidth="1"/>
    <col min="6419" max="6420" width="11.5546875" style="442"/>
    <col min="6421" max="6421" width="13" style="442" bestFit="1" customWidth="1"/>
    <col min="6422" max="6656" width="11.5546875" style="442"/>
    <col min="6657" max="6657" width="21.5546875" style="442" customWidth="1"/>
    <col min="6658" max="6658" width="17.33203125" style="442" customWidth="1"/>
    <col min="6659" max="6659" width="11.44140625" style="442" customWidth="1"/>
    <col min="6660" max="6660" width="14.109375" style="442" customWidth="1"/>
    <col min="6661" max="6661" width="13" style="442" bestFit="1" customWidth="1"/>
    <col min="6662" max="6662" width="14.109375" style="442" customWidth="1"/>
    <col min="6663" max="6663" width="11.44140625" style="442" customWidth="1"/>
    <col min="6664" max="6664" width="15.33203125" style="442" customWidth="1"/>
    <col min="6665" max="6665" width="13" style="442" bestFit="1" customWidth="1"/>
    <col min="6666" max="6666" width="15.88671875" style="442" customWidth="1"/>
    <col min="6667" max="6667" width="11.44140625" style="442" customWidth="1"/>
    <col min="6668" max="6668" width="14.109375" style="442" customWidth="1"/>
    <col min="6669" max="6669" width="13" style="442" bestFit="1" customWidth="1"/>
    <col min="6670" max="6670" width="15.33203125" style="442" customWidth="1"/>
    <col min="6671" max="6671" width="11.5546875" style="442"/>
    <col min="6672" max="6672" width="14.109375" style="442" bestFit="1" customWidth="1"/>
    <col min="6673" max="6673" width="13" style="442" bestFit="1" customWidth="1"/>
    <col min="6674" max="6674" width="15.33203125" style="442" bestFit="1" customWidth="1"/>
    <col min="6675" max="6676" width="11.5546875" style="442"/>
    <col min="6677" max="6677" width="13" style="442" bestFit="1" customWidth="1"/>
    <col min="6678" max="6912" width="11.5546875" style="442"/>
    <col min="6913" max="6913" width="21.5546875" style="442" customWidth="1"/>
    <col min="6914" max="6914" width="17.33203125" style="442" customWidth="1"/>
    <col min="6915" max="6915" width="11.44140625" style="442" customWidth="1"/>
    <col min="6916" max="6916" width="14.109375" style="442" customWidth="1"/>
    <col min="6917" max="6917" width="13" style="442" bestFit="1" customWidth="1"/>
    <col min="6918" max="6918" width="14.109375" style="442" customWidth="1"/>
    <col min="6919" max="6919" width="11.44140625" style="442" customWidth="1"/>
    <col min="6920" max="6920" width="15.33203125" style="442" customWidth="1"/>
    <col min="6921" max="6921" width="13" style="442" bestFit="1" customWidth="1"/>
    <col min="6922" max="6922" width="15.88671875" style="442" customWidth="1"/>
    <col min="6923" max="6923" width="11.44140625" style="442" customWidth="1"/>
    <col min="6924" max="6924" width="14.109375" style="442" customWidth="1"/>
    <col min="6925" max="6925" width="13" style="442" bestFit="1" customWidth="1"/>
    <col min="6926" max="6926" width="15.33203125" style="442" customWidth="1"/>
    <col min="6927" max="6927" width="11.5546875" style="442"/>
    <col min="6928" max="6928" width="14.109375" style="442" bestFit="1" customWidth="1"/>
    <col min="6929" max="6929" width="13" style="442" bestFit="1" customWidth="1"/>
    <col min="6930" max="6930" width="15.33203125" style="442" bestFit="1" customWidth="1"/>
    <col min="6931" max="6932" width="11.5546875" style="442"/>
    <col min="6933" max="6933" width="13" style="442" bestFit="1" customWidth="1"/>
    <col min="6934" max="7168" width="11.5546875" style="442"/>
    <col min="7169" max="7169" width="21.5546875" style="442" customWidth="1"/>
    <col min="7170" max="7170" width="17.33203125" style="442" customWidth="1"/>
    <col min="7171" max="7171" width="11.44140625" style="442" customWidth="1"/>
    <col min="7172" max="7172" width="14.109375" style="442" customWidth="1"/>
    <col min="7173" max="7173" width="13" style="442" bestFit="1" customWidth="1"/>
    <col min="7174" max="7174" width="14.109375" style="442" customWidth="1"/>
    <col min="7175" max="7175" width="11.44140625" style="442" customWidth="1"/>
    <col min="7176" max="7176" width="15.33203125" style="442" customWidth="1"/>
    <col min="7177" max="7177" width="13" style="442" bestFit="1" customWidth="1"/>
    <col min="7178" max="7178" width="15.88671875" style="442" customWidth="1"/>
    <col min="7179" max="7179" width="11.44140625" style="442" customWidth="1"/>
    <col min="7180" max="7180" width="14.109375" style="442" customWidth="1"/>
    <col min="7181" max="7181" width="13" style="442" bestFit="1" customWidth="1"/>
    <col min="7182" max="7182" width="15.33203125" style="442" customWidth="1"/>
    <col min="7183" max="7183" width="11.5546875" style="442"/>
    <col min="7184" max="7184" width="14.109375" style="442" bestFit="1" customWidth="1"/>
    <col min="7185" max="7185" width="13" style="442" bestFit="1" customWidth="1"/>
    <col min="7186" max="7186" width="15.33203125" style="442" bestFit="1" customWidth="1"/>
    <col min="7187" max="7188" width="11.5546875" style="442"/>
    <col min="7189" max="7189" width="13" style="442" bestFit="1" customWidth="1"/>
    <col min="7190" max="7424" width="11.5546875" style="442"/>
    <col min="7425" max="7425" width="21.5546875" style="442" customWidth="1"/>
    <col min="7426" max="7426" width="17.33203125" style="442" customWidth="1"/>
    <col min="7427" max="7427" width="11.44140625" style="442" customWidth="1"/>
    <col min="7428" max="7428" width="14.109375" style="442" customWidth="1"/>
    <col min="7429" max="7429" width="13" style="442" bestFit="1" customWidth="1"/>
    <col min="7430" max="7430" width="14.109375" style="442" customWidth="1"/>
    <col min="7431" max="7431" width="11.44140625" style="442" customWidth="1"/>
    <col min="7432" max="7432" width="15.33203125" style="442" customWidth="1"/>
    <col min="7433" max="7433" width="13" style="442" bestFit="1" customWidth="1"/>
    <col min="7434" max="7434" width="15.88671875" style="442" customWidth="1"/>
    <col min="7435" max="7435" width="11.44140625" style="442" customWidth="1"/>
    <col min="7436" max="7436" width="14.109375" style="442" customWidth="1"/>
    <col min="7437" max="7437" width="13" style="442" bestFit="1" customWidth="1"/>
    <col min="7438" max="7438" width="15.33203125" style="442" customWidth="1"/>
    <col min="7439" max="7439" width="11.5546875" style="442"/>
    <col min="7440" max="7440" width="14.109375" style="442" bestFit="1" customWidth="1"/>
    <col min="7441" max="7441" width="13" style="442" bestFit="1" customWidth="1"/>
    <col min="7442" max="7442" width="15.33203125" style="442" bestFit="1" customWidth="1"/>
    <col min="7443" max="7444" width="11.5546875" style="442"/>
    <col min="7445" max="7445" width="13" style="442" bestFit="1" customWidth="1"/>
    <col min="7446" max="7680" width="11.5546875" style="442"/>
    <col min="7681" max="7681" width="21.5546875" style="442" customWidth="1"/>
    <col min="7682" max="7682" width="17.33203125" style="442" customWidth="1"/>
    <col min="7683" max="7683" width="11.44140625" style="442" customWidth="1"/>
    <col min="7684" max="7684" width="14.109375" style="442" customWidth="1"/>
    <col min="7685" max="7685" width="13" style="442" bestFit="1" customWidth="1"/>
    <col min="7686" max="7686" width="14.109375" style="442" customWidth="1"/>
    <col min="7687" max="7687" width="11.44140625" style="442" customWidth="1"/>
    <col min="7688" max="7688" width="15.33203125" style="442" customWidth="1"/>
    <col min="7689" max="7689" width="13" style="442" bestFit="1" customWidth="1"/>
    <col min="7690" max="7690" width="15.88671875" style="442" customWidth="1"/>
    <col min="7691" max="7691" width="11.44140625" style="442" customWidth="1"/>
    <col min="7692" max="7692" width="14.109375" style="442" customWidth="1"/>
    <col min="7693" max="7693" width="13" style="442" bestFit="1" customWidth="1"/>
    <col min="7694" max="7694" width="15.33203125" style="442" customWidth="1"/>
    <col min="7695" max="7695" width="11.5546875" style="442"/>
    <col min="7696" max="7696" width="14.109375" style="442" bestFit="1" customWidth="1"/>
    <col min="7697" max="7697" width="13" style="442" bestFit="1" customWidth="1"/>
    <col min="7698" max="7698" width="15.33203125" style="442" bestFit="1" customWidth="1"/>
    <col min="7699" max="7700" width="11.5546875" style="442"/>
    <col min="7701" max="7701" width="13" style="442" bestFit="1" customWidth="1"/>
    <col min="7702" max="7936" width="11.5546875" style="442"/>
    <col min="7937" max="7937" width="21.5546875" style="442" customWidth="1"/>
    <col min="7938" max="7938" width="17.33203125" style="442" customWidth="1"/>
    <col min="7939" max="7939" width="11.44140625" style="442" customWidth="1"/>
    <col min="7940" max="7940" width="14.109375" style="442" customWidth="1"/>
    <col min="7941" max="7941" width="13" style="442" bestFit="1" customWidth="1"/>
    <col min="7942" max="7942" width="14.109375" style="442" customWidth="1"/>
    <col min="7943" max="7943" width="11.44140625" style="442" customWidth="1"/>
    <col min="7944" max="7944" width="15.33203125" style="442" customWidth="1"/>
    <col min="7945" max="7945" width="13" style="442" bestFit="1" customWidth="1"/>
    <col min="7946" max="7946" width="15.88671875" style="442" customWidth="1"/>
    <col min="7947" max="7947" width="11.44140625" style="442" customWidth="1"/>
    <col min="7948" max="7948" width="14.109375" style="442" customWidth="1"/>
    <col min="7949" max="7949" width="13" style="442" bestFit="1" customWidth="1"/>
    <col min="7950" max="7950" width="15.33203125" style="442" customWidth="1"/>
    <col min="7951" max="7951" width="11.5546875" style="442"/>
    <col min="7952" max="7952" width="14.109375" style="442" bestFit="1" customWidth="1"/>
    <col min="7953" max="7953" width="13" style="442" bestFit="1" customWidth="1"/>
    <col min="7954" max="7954" width="15.33203125" style="442" bestFit="1" customWidth="1"/>
    <col min="7955" max="7956" width="11.5546875" style="442"/>
    <col min="7957" max="7957" width="13" style="442" bestFit="1" customWidth="1"/>
    <col min="7958" max="8192" width="11.5546875" style="442"/>
    <col min="8193" max="8193" width="21.5546875" style="442" customWidth="1"/>
    <col min="8194" max="8194" width="17.33203125" style="442" customWidth="1"/>
    <col min="8195" max="8195" width="11.44140625" style="442" customWidth="1"/>
    <col min="8196" max="8196" width="14.109375" style="442" customWidth="1"/>
    <col min="8197" max="8197" width="13" style="442" bestFit="1" customWidth="1"/>
    <col min="8198" max="8198" width="14.109375" style="442" customWidth="1"/>
    <col min="8199" max="8199" width="11.44140625" style="442" customWidth="1"/>
    <col min="8200" max="8200" width="15.33203125" style="442" customWidth="1"/>
    <col min="8201" max="8201" width="13" style="442" bestFit="1" customWidth="1"/>
    <col min="8202" max="8202" width="15.88671875" style="442" customWidth="1"/>
    <col min="8203" max="8203" width="11.44140625" style="442" customWidth="1"/>
    <col min="8204" max="8204" width="14.109375" style="442" customWidth="1"/>
    <col min="8205" max="8205" width="13" style="442" bestFit="1" customWidth="1"/>
    <col min="8206" max="8206" width="15.33203125" style="442" customWidth="1"/>
    <col min="8207" max="8207" width="11.5546875" style="442"/>
    <col min="8208" max="8208" width="14.109375" style="442" bestFit="1" customWidth="1"/>
    <col min="8209" max="8209" width="13" style="442" bestFit="1" customWidth="1"/>
    <col min="8210" max="8210" width="15.33203125" style="442" bestFit="1" customWidth="1"/>
    <col min="8211" max="8212" width="11.5546875" style="442"/>
    <col min="8213" max="8213" width="13" style="442" bestFit="1" customWidth="1"/>
    <col min="8214" max="8448" width="11.5546875" style="442"/>
    <col min="8449" max="8449" width="21.5546875" style="442" customWidth="1"/>
    <col min="8450" max="8450" width="17.33203125" style="442" customWidth="1"/>
    <col min="8451" max="8451" width="11.44140625" style="442" customWidth="1"/>
    <col min="8452" max="8452" width="14.109375" style="442" customWidth="1"/>
    <col min="8453" max="8453" width="13" style="442" bestFit="1" customWidth="1"/>
    <col min="8454" max="8454" width="14.109375" style="442" customWidth="1"/>
    <col min="8455" max="8455" width="11.44140625" style="442" customWidth="1"/>
    <col min="8456" max="8456" width="15.33203125" style="442" customWidth="1"/>
    <col min="8457" max="8457" width="13" style="442" bestFit="1" customWidth="1"/>
    <col min="8458" max="8458" width="15.88671875" style="442" customWidth="1"/>
    <col min="8459" max="8459" width="11.44140625" style="442" customWidth="1"/>
    <col min="8460" max="8460" width="14.109375" style="442" customWidth="1"/>
    <col min="8461" max="8461" width="13" style="442" bestFit="1" customWidth="1"/>
    <col min="8462" max="8462" width="15.33203125" style="442" customWidth="1"/>
    <col min="8463" max="8463" width="11.5546875" style="442"/>
    <col min="8464" max="8464" width="14.109375" style="442" bestFit="1" customWidth="1"/>
    <col min="8465" max="8465" width="13" style="442" bestFit="1" customWidth="1"/>
    <col min="8466" max="8466" width="15.33203125" style="442" bestFit="1" customWidth="1"/>
    <col min="8467" max="8468" width="11.5546875" style="442"/>
    <col min="8469" max="8469" width="13" style="442" bestFit="1" customWidth="1"/>
    <col min="8470" max="8704" width="11.5546875" style="442"/>
    <col min="8705" max="8705" width="21.5546875" style="442" customWidth="1"/>
    <col min="8706" max="8706" width="17.33203125" style="442" customWidth="1"/>
    <col min="8707" max="8707" width="11.44140625" style="442" customWidth="1"/>
    <col min="8708" max="8708" width="14.109375" style="442" customWidth="1"/>
    <col min="8709" max="8709" width="13" style="442" bestFit="1" customWidth="1"/>
    <col min="8710" max="8710" width="14.109375" style="442" customWidth="1"/>
    <col min="8711" max="8711" width="11.44140625" style="442" customWidth="1"/>
    <col min="8712" max="8712" width="15.33203125" style="442" customWidth="1"/>
    <col min="8713" max="8713" width="13" style="442" bestFit="1" customWidth="1"/>
    <col min="8714" max="8714" width="15.88671875" style="442" customWidth="1"/>
    <col min="8715" max="8715" width="11.44140625" style="442" customWidth="1"/>
    <col min="8716" max="8716" width="14.109375" style="442" customWidth="1"/>
    <col min="8717" max="8717" width="13" style="442" bestFit="1" customWidth="1"/>
    <col min="8718" max="8718" width="15.33203125" style="442" customWidth="1"/>
    <col min="8719" max="8719" width="11.5546875" style="442"/>
    <col min="8720" max="8720" width="14.109375" style="442" bestFit="1" customWidth="1"/>
    <col min="8721" max="8721" width="13" style="442" bestFit="1" customWidth="1"/>
    <col min="8722" max="8722" width="15.33203125" style="442" bestFit="1" customWidth="1"/>
    <col min="8723" max="8724" width="11.5546875" style="442"/>
    <col min="8725" max="8725" width="13" style="442" bestFit="1" customWidth="1"/>
    <col min="8726" max="8960" width="11.5546875" style="442"/>
    <col min="8961" max="8961" width="21.5546875" style="442" customWidth="1"/>
    <col min="8962" max="8962" width="17.33203125" style="442" customWidth="1"/>
    <col min="8963" max="8963" width="11.44140625" style="442" customWidth="1"/>
    <col min="8964" max="8964" width="14.109375" style="442" customWidth="1"/>
    <col min="8965" max="8965" width="13" style="442" bestFit="1" customWidth="1"/>
    <col min="8966" max="8966" width="14.109375" style="442" customWidth="1"/>
    <col min="8967" max="8967" width="11.44140625" style="442" customWidth="1"/>
    <col min="8968" max="8968" width="15.33203125" style="442" customWidth="1"/>
    <col min="8969" max="8969" width="13" style="442" bestFit="1" customWidth="1"/>
    <col min="8970" max="8970" width="15.88671875" style="442" customWidth="1"/>
    <col min="8971" max="8971" width="11.44140625" style="442" customWidth="1"/>
    <col min="8972" max="8972" width="14.109375" style="442" customWidth="1"/>
    <col min="8973" max="8973" width="13" style="442" bestFit="1" customWidth="1"/>
    <col min="8974" max="8974" width="15.33203125" style="442" customWidth="1"/>
    <col min="8975" max="8975" width="11.5546875" style="442"/>
    <col min="8976" max="8976" width="14.109375" style="442" bestFit="1" customWidth="1"/>
    <col min="8977" max="8977" width="13" style="442" bestFit="1" customWidth="1"/>
    <col min="8978" max="8978" width="15.33203125" style="442" bestFit="1" customWidth="1"/>
    <col min="8979" max="8980" width="11.5546875" style="442"/>
    <col min="8981" max="8981" width="13" style="442" bestFit="1" customWidth="1"/>
    <col min="8982" max="9216" width="11.5546875" style="442"/>
    <col min="9217" max="9217" width="21.5546875" style="442" customWidth="1"/>
    <col min="9218" max="9218" width="17.33203125" style="442" customWidth="1"/>
    <col min="9219" max="9219" width="11.44140625" style="442" customWidth="1"/>
    <col min="9220" max="9220" width="14.109375" style="442" customWidth="1"/>
    <col min="9221" max="9221" width="13" style="442" bestFit="1" customWidth="1"/>
    <col min="9222" max="9222" width="14.109375" style="442" customWidth="1"/>
    <col min="9223" max="9223" width="11.44140625" style="442" customWidth="1"/>
    <col min="9224" max="9224" width="15.33203125" style="442" customWidth="1"/>
    <col min="9225" max="9225" width="13" style="442" bestFit="1" customWidth="1"/>
    <col min="9226" max="9226" width="15.88671875" style="442" customWidth="1"/>
    <col min="9227" max="9227" width="11.44140625" style="442" customWidth="1"/>
    <col min="9228" max="9228" width="14.109375" style="442" customWidth="1"/>
    <col min="9229" max="9229" width="13" style="442" bestFit="1" customWidth="1"/>
    <col min="9230" max="9230" width="15.33203125" style="442" customWidth="1"/>
    <col min="9231" max="9231" width="11.5546875" style="442"/>
    <col min="9232" max="9232" width="14.109375" style="442" bestFit="1" customWidth="1"/>
    <col min="9233" max="9233" width="13" style="442" bestFit="1" customWidth="1"/>
    <col min="9234" max="9234" width="15.33203125" style="442" bestFit="1" customWidth="1"/>
    <col min="9235" max="9236" width="11.5546875" style="442"/>
    <col min="9237" max="9237" width="13" style="442" bestFit="1" customWidth="1"/>
    <col min="9238" max="9472" width="11.5546875" style="442"/>
    <col min="9473" max="9473" width="21.5546875" style="442" customWidth="1"/>
    <col min="9474" max="9474" width="17.33203125" style="442" customWidth="1"/>
    <col min="9475" max="9475" width="11.44140625" style="442" customWidth="1"/>
    <col min="9476" max="9476" width="14.109375" style="442" customWidth="1"/>
    <col min="9477" max="9477" width="13" style="442" bestFit="1" customWidth="1"/>
    <col min="9478" max="9478" width="14.109375" style="442" customWidth="1"/>
    <col min="9479" max="9479" width="11.44140625" style="442" customWidth="1"/>
    <col min="9480" max="9480" width="15.33203125" style="442" customWidth="1"/>
    <col min="9481" max="9481" width="13" style="442" bestFit="1" customWidth="1"/>
    <col min="9482" max="9482" width="15.88671875" style="442" customWidth="1"/>
    <col min="9483" max="9483" width="11.44140625" style="442" customWidth="1"/>
    <col min="9484" max="9484" width="14.109375" style="442" customWidth="1"/>
    <col min="9485" max="9485" width="13" style="442" bestFit="1" customWidth="1"/>
    <col min="9486" max="9486" width="15.33203125" style="442" customWidth="1"/>
    <col min="9487" max="9487" width="11.5546875" style="442"/>
    <col min="9488" max="9488" width="14.109375" style="442" bestFit="1" customWidth="1"/>
    <col min="9489" max="9489" width="13" style="442" bestFit="1" customWidth="1"/>
    <col min="9490" max="9490" width="15.33203125" style="442" bestFit="1" customWidth="1"/>
    <col min="9491" max="9492" width="11.5546875" style="442"/>
    <col min="9493" max="9493" width="13" style="442" bestFit="1" customWidth="1"/>
    <col min="9494" max="9728" width="11.5546875" style="442"/>
    <col min="9729" max="9729" width="21.5546875" style="442" customWidth="1"/>
    <col min="9730" max="9730" width="17.33203125" style="442" customWidth="1"/>
    <col min="9731" max="9731" width="11.44140625" style="442" customWidth="1"/>
    <col min="9732" max="9732" width="14.109375" style="442" customWidth="1"/>
    <col min="9733" max="9733" width="13" style="442" bestFit="1" customWidth="1"/>
    <col min="9734" max="9734" width="14.109375" style="442" customWidth="1"/>
    <col min="9735" max="9735" width="11.44140625" style="442" customWidth="1"/>
    <col min="9736" max="9736" width="15.33203125" style="442" customWidth="1"/>
    <col min="9737" max="9737" width="13" style="442" bestFit="1" customWidth="1"/>
    <col min="9738" max="9738" width="15.88671875" style="442" customWidth="1"/>
    <col min="9739" max="9739" width="11.44140625" style="442" customWidth="1"/>
    <col min="9740" max="9740" width="14.109375" style="442" customWidth="1"/>
    <col min="9741" max="9741" width="13" style="442" bestFit="1" customWidth="1"/>
    <col min="9742" max="9742" width="15.33203125" style="442" customWidth="1"/>
    <col min="9743" max="9743" width="11.5546875" style="442"/>
    <col min="9744" max="9744" width="14.109375" style="442" bestFit="1" customWidth="1"/>
    <col min="9745" max="9745" width="13" style="442" bestFit="1" customWidth="1"/>
    <col min="9746" max="9746" width="15.33203125" style="442" bestFit="1" customWidth="1"/>
    <col min="9747" max="9748" width="11.5546875" style="442"/>
    <col min="9749" max="9749" width="13" style="442" bestFit="1" customWidth="1"/>
    <col min="9750" max="9984" width="11.5546875" style="442"/>
    <col min="9985" max="9985" width="21.5546875" style="442" customWidth="1"/>
    <col min="9986" max="9986" width="17.33203125" style="442" customWidth="1"/>
    <col min="9987" max="9987" width="11.44140625" style="442" customWidth="1"/>
    <col min="9988" max="9988" width="14.109375" style="442" customWidth="1"/>
    <col min="9989" max="9989" width="13" style="442" bestFit="1" customWidth="1"/>
    <col min="9990" max="9990" width="14.109375" style="442" customWidth="1"/>
    <col min="9991" max="9991" width="11.44140625" style="442" customWidth="1"/>
    <col min="9992" max="9992" width="15.33203125" style="442" customWidth="1"/>
    <col min="9993" max="9993" width="13" style="442" bestFit="1" customWidth="1"/>
    <col min="9994" max="9994" width="15.88671875" style="442" customWidth="1"/>
    <col min="9995" max="9995" width="11.44140625" style="442" customWidth="1"/>
    <col min="9996" max="9996" width="14.109375" style="442" customWidth="1"/>
    <col min="9997" max="9997" width="13" style="442" bestFit="1" customWidth="1"/>
    <col min="9998" max="9998" width="15.33203125" style="442" customWidth="1"/>
    <col min="9999" max="9999" width="11.5546875" style="442"/>
    <col min="10000" max="10000" width="14.109375" style="442" bestFit="1" customWidth="1"/>
    <col min="10001" max="10001" width="13" style="442" bestFit="1" customWidth="1"/>
    <col min="10002" max="10002" width="15.33203125" style="442" bestFit="1" customWidth="1"/>
    <col min="10003" max="10004" width="11.5546875" style="442"/>
    <col min="10005" max="10005" width="13" style="442" bestFit="1" customWidth="1"/>
    <col min="10006" max="10240" width="11.5546875" style="442"/>
    <col min="10241" max="10241" width="21.5546875" style="442" customWidth="1"/>
    <col min="10242" max="10242" width="17.33203125" style="442" customWidth="1"/>
    <col min="10243" max="10243" width="11.44140625" style="442" customWidth="1"/>
    <col min="10244" max="10244" width="14.109375" style="442" customWidth="1"/>
    <col min="10245" max="10245" width="13" style="442" bestFit="1" customWidth="1"/>
    <col min="10246" max="10246" width="14.109375" style="442" customWidth="1"/>
    <col min="10247" max="10247" width="11.44140625" style="442" customWidth="1"/>
    <col min="10248" max="10248" width="15.33203125" style="442" customWidth="1"/>
    <col min="10249" max="10249" width="13" style="442" bestFit="1" customWidth="1"/>
    <col min="10250" max="10250" width="15.88671875" style="442" customWidth="1"/>
    <col min="10251" max="10251" width="11.44140625" style="442" customWidth="1"/>
    <col min="10252" max="10252" width="14.109375" style="442" customWidth="1"/>
    <col min="10253" max="10253" width="13" style="442" bestFit="1" customWidth="1"/>
    <col min="10254" max="10254" width="15.33203125" style="442" customWidth="1"/>
    <col min="10255" max="10255" width="11.5546875" style="442"/>
    <col min="10256" max="10256" width="14.109375" style="442" bestFit="1" customWidth="1"/>
    <col min="10257" max="10257" width="13" style="442" bestFit="1" customWidth="1"/>
    <col min="10258" max="10258" width="15.33203125" style="442" bestFit="1" customWidth="1"/>
    <col min="10259" max="10260" width="11.5546875" style="442"/>
    <col min="10261" max="10261" width="13" style="442" bestFit="1" customWidth="1"/>
    <col min="10262" max="10496" width="11.5546875" style="442"/>
    <col min="10497" max="10497" width="21.5546875" style="442" customWidth="1"/>
    <col min="10498" max="10498" width="17.33203125" style="442" customWidth="1"/>
    <col min="10499" max="10499" width="11.44140625" style="442" customWidth="1"/>
    <col min="10500" max="10500" width="14.109375" style="442" customWidth="1"/>
    <col min="10501" max="10501" width="13" style="442" bestFit="1" customWidth="1"/>
    <col min="10502" max="10502" width="14.109375" style="442" customWidth="1"/>
    <col min="10503" max="10503" width="11.44140625" style="442" customWidth="1"/>
    <col min="10504" max="10504" width="15.33203125" style="442" customWidth="1"/>
    <col min="10505" max="10505" width="13" style="442" bestFit="1" customWidth="1"/>
    <col min="10506" max="10506" width="15.88671875" style="442" customWidth="1"/>
    <col min="10507" max="10507" width="11.44140625" style="442" customWidth="1"/>
    <col min="10508" max="10508" width="14.109375" style="442" customWidth="1"/>
    <col min="10509" max="10509" width="13" style="442" bestFit="1" customWidth="1"/>
    <col min="10510" max="10510" width="15.33203125" style="442" customWidth="1"/>
    <col min="10511" max="10511" width="11.5546875" style="442"/>
    <col min="10512" max="10512" width="14.109375" style="442" bestFit="1" customWidth="1"/>
    <col min="10513" max="10513" width="13" style="442" bestFit="1" customWidth="1"/>
    <col min="10514" max="10514" width="15.33203125" style="442" bestFit="1" customWidth="1"/>
    <col min="10515" max="10516" width="11.5546875" style="442"/>
    <col min="10517" max="10517" width="13" style="442" bestFit="1" customWidth="1"/>
    <col min="10518" max="10752" width="11.5546875" style="442"/>
    <col min="10753" max="10753" width="21.5546875" style="442" customWidth="1"/>
    <col min="10754" max="10754" width="17.33203125" style="442" customWidth="1"/>
    <col min="10755" max="10755" width="11.44140625" style="442" customWidth="1"/>
    <col min="10756" max="10756" width="14.109375" style="442" customWidth="1"/>
    <col min="10757" max="10757" width="13" style="442" bestFit="1" customWidth="1"/>
    <col min="10758" max="10758" width="14.109375" style="442" customWidth="1"/>
    <col min="10759" max="10759" width="11.44140625" style="442" customWidth="1"/>
    <col min="10760" max="10760" width="15.33203125" style="442" customWidth="1"/>
    <col min="10761" max="10761" width="13" style="442" bestFit="1" customWidth="1"/>
    <col min="10762" max="10762" width="15.88671875" style="442" customWidth="1"/>
    <col min="10763" max="10763" width="11.44140625" style="442" customWidth="1"/>
    <col min="10764" max="10764" width="14.109375" style="442" customWidth="1"/>
    <col min="10765" max="10765" width="13" style="442" bestFit="1" customWidth="1"/>
    <col min="10766" max="10766" width="15.33203125" style="442" customWidth="1"/>
    <col min="10767" max="10767" width="11.5546875" style="442"/>
    <col min="10768" max="10768" width="14.109375" style="442" bestFit="1" customWidth="1"/>
    <col min="10769" max="10769" width="13" style="442" bestFit="1" customWidth="1"/>
    <col min="10770" max="10770" width="15.33203125" style="442" bestFit="1" customWidth="1"/>
    <col min="10771" max="10772" width="11.5546875" style="442"/>
    <col min="10773" max="10773" width="13" style="442" bestFit="1" customWidth="1"/>
    <col min="10774" max="11008" width="11.5546875" style="442"/>
    <col min="11009" max="11009" width="21.5546875" style="442" customWidth="1"/>
    <col min="11010" max="11010" width="17.33203125" style="442" customWidth="1"/>
    <col min="11011" max="11011" width="11.44140625" style="442" customWidth="1"/>
    <col min="11012" max="11012" width="14.109375" style="442" customWidth="1"/>
    <col min="11013" max="11013" width="13" style="442" bestFit="1" customWidth="1"/>
    <col min="11014" max="11014" width="14.109375" style="442" customWidth="1"/>
    <col min="11015" max="11015" width="11.44140625" style="442" customWidth="1"/>
    <col min="11016" max="11016" width="15.33203125" style="442" customWidth="1"/>
    <col min="11017" max="11017" width="13" style="442" bestFit="1" customWidth="1"/>
    <col min="11018" max="11018" width="15.88671875" style="442" customWidth="1"/>
    <col min="11019" max="11019" width="11.44140625" style="442" customWidth="1"/>
    <col min="11020" max="11020" width="14.109375" style="442" customWidth="1"/>
    <col min="11021" max="11021" width="13" style="442" bestFit="1" customWidth="1"/>
    <col min="11022" max="11022" width="15.33203125" style="442" customWidth="1"/>
    <col min="11023" max="11023" width="11.5546875" style="442"/>
    <col min="11024" max="11024" width="14.109375" style="442" bestFit="1" customWidth="1"/>
    <col min="11025" max="11025" width="13" style="442" bestFit="1" customWidth="1"/>
    <col min="11026" max="11026" width="15.33203125" style="442" bestFit="1" customWidth="1"/>
    <col min="11027" max="11028" width="11.5546875" style="442"/>
    <col min="11029" max="11029" width="13" style="442" bestFit="1" customWidth="1"/>
    <col min="11030" max="11264" width="11.5546875" style="442"/>
    <col min="11265" max="11265" width="21.5546875" style="442" customWidth="1"/>
    <col min="11266" max="11266" width="17.33203125" style="442" customWidth="1"/>
    <col min="11267" max="11267" width="11.44140625" style="442" customWidth="1"/>
    <col min="11268" max="11268" width="14.109375" style="442" customWidth="1"/>
    <col min="11269" max="11269" width="13" style="442" bestFit="1" customWidth="1"/>
    <col min="11270" max="11270" width="14.109375" style="442" customWidth="1"/>
    <col min="11271" max="11271" width="11.44140625" style="442" customWidth="1"/>
    <col min="11272" max="11272" width="15.33203125" style="442" customWidth="1"/>
    <col min="11273" max="11273" width="13" style="442" bestFit="1" customWidth="1"/>
    <col min="11274" max="11274" width="15.88671875" style="442" customWidth="1"/>
    <col min="11275" max="11275" width="11.44140625" style="442" customWidth="1"/>
    <col min="11276" max="11276" width="14.109375" style="442" customWidth="1"/>
    <col min="11277" max="11277" width="13" style="442" bestFit="1" customWidth="1"/>
    <col min="11278" max="11278" width="15.33203125" style="442" customWidth="1"/>
    <col min="11279" max="11279" width="11.5546875" style="442"/>
    <col min="11280" max="11280" width="14.109375" style="442" bestFit="1" customWidth="1"/>
    <col min="11281" max="11281" width="13" style="442" bestFit="1" customWidth="1"/>
    <col min="11282" max="11282" width="15.33203125" style="442" bestFit="1" customWidth="1"/>
    <col min="11283" max="11284" width="11.5546875" style="442"/>
    <col min="11285" max="11285" width="13" style="442" bestFit="1" customWidth="1"/>
    <col min="11286" max="11520" width="11.5546875" style="442"/>
    <col min="11521" max="11521" width="21.5546875" style="442" customWidth="1"/>
    <col min="11522" max="11522" width="17.33203125" style="442" customWidth="1"/>
    <col min="11523" max="11523" width="11.44140625" style="442" customWidth="1"/>
    <col min="11524" max="11524" width="14.109375" style="442" customWidth="1"/>
    <col min="11525" max="11525" width="13" style="442" bestFit="1" customWidth="1"/>
    <col min="11526" max="11526" width="14.109375" style="442" customWidth="1"/>
    <col min="11527" max="11527" width="11.44140625" style="442" customWidth="1"/>
    <col min="11528" max="11528" width="15.33203125" style="442" customWidth="1"/>
    <col min="11529" max="11529" width="13" style="442" bestFit="1" customWidth="1"/>
    <col min="11530" max="11530" width="15.88671875" style="442" customWidth="1"/>
    <col min="11531" max="11531" width="11.44140625" style="442" customWidth="1"/>
    <col min="11532" max="11532" width="14.109375" style="442" customWidth="1"/>
    <col min="11533" max="11533" width="13" style="442" bestFit="1" customWidth="1"/>
    <col min="11534" max="11534" width="15.33203125" style="442" customWidth="1"/>
    <col min="11535" max="11535" width="11.5546875" style="442"/>
    <col min="11536" max="11536" width="14.109375" style="442" bestFit="1" customWidth="1"/>
    <col min="11537" max="11537" width="13" style="442" bestFit="1" customWidth="1"/>
    <col min="11538" max="11538" width="15.33203125" style="442" bestFit="1" customWidth="1"/>
    <col min="11539" max="11540" width="11.5546875" style="442"/>
    <col min="11541" max="11541" width="13" style="442" bestFit="1" customWidth="1"/>
    <col min="11542" max="11776" width="11.5546875" style="442"/>
    <col min="11777" max="11777" width="21.5546875" style="442" customWidth="1"/>
    <col min="11778" max="11778" width="17.33203125" style="442" customWidth="1"/>
    <col min="11779" max="11779" width="11.44140625" style="442" customWidth="1"/>
    <col min="11780" max="11780" width="14.109375" style="442" customWidth="1"/>
    <col min="11781" max="11781" width="13" style="442" bestFit="1" customWidth="1"/>
    <col min="11782" max="11782" width="14.109375" style="442" customWidth="1"/>
    <col min="11783" max="11783" width="11.44140625" style="442" customWidth="1"/>
    <col min="11784" max="11784" width="15.33203125" style="442" customWidth="1"/>
    <col min="11785" max="11785" width="13" style="442" bestFit="1" customWidth="1"/>
    <col min="11786" max="11786" width="15.88671875" style="442" customWidth="1"/>
    <col min="11787" max="11787" width="11.44140625" style="442" customWidth="1"/>
    <col min="11788" max="11788" width="14.109375" style="442" customWidth="1"/>
    <col min="11789" max="11789" width="13" style="442" bestFit="1" customWidth="1"/>
    <col min="11790" max="11790" width="15.33203125" style="442" customWidth="1"/>
    <col min="11791" max="11791" width="11.5546875" style="442"/>
    <col min="11792" max="11792" width="14.109375" style="442" bestFit="1" customWidth="1"/>
    <col min="11793" max="11793" width="13" style="442" bestFit="1" customWidth="1"/>
    <col min="11794" max="11794" width="15.33203125" style="442" bestFit="1" customWidth="1"/>
    <col min="11795" max="11796" width="11.5546875" style="442"/>
    <col min="11797" max="11797" width="13" style="442" bestFit="1" customWidth="1"/>
    <col min="11798" max="12032" width="11.5546875" style="442"/>
    <col min="12033" max="12033" width="21.5546875" style="442" customWidth="1"/>
    <col min="12034" max="12034" width="17.33203125" style="442" customWidth="1"/>
    <col min="12035" max="12035" width="11.44140625" style="442" customWidth="1"/>
    <col min="12036" max="12036" width="14.109375" style="442" customWidth="1"/>
    <col min="12037" max="12037" width="13" style="442" bestFit="1" customWidth="1"/>
    <col min="12038" max="12038" width="14.109375" style="442" customWidth="1"/>
    <col min="12039" max="12039" width="11.44140625" style="442" customWidth="1"/>
    <col min="12040" max="12040" width="15.33203125" style="442" customWidth="1"/>
    <col min="12041" max="12041" width="13" style="442" bestFit="1" customWidth="1"/>
    <col min="12042" max="12042" width="15.88671875" style="442" customWidth="1"/>
    <col min="12043" max="12043" width="11.44140625" style="442" customWidth="1"/>
    <col min="12044" max="12044" width="14.109375" style="442" customWidth="1"/>
    <col min="12045" max="12045" width="13" style="442" bestFit="1" customWidth="1"/>
    <col min="12046" max="12046" width="15.33203125" style="442" customWidth="1"/>
    <col min="12047" max="12047" width="11.5546875" style="442"/>
    <col min="12048" max="12048" width="14.109375" style="442" bestFit="1" customWidth="1"/>
    <col min="12049" max="12049" width="13" style="442" bestFit="1" customWidth="1"/>
    <col min="12050" max="12050" width="15.33203125" style="442" bestFit="1" customWidth="1"/>
    <col min="12051" max="12052" width="11.5546875" style="442"/>
    <col min="12053" max="12053" width="13" style="442" bestFit="1" customWidth="1"/>
    <col min="12054" max="12288" width="11.5546875" style="442"/>
    <col min="12289" max="12289" width="21.5546875" style="442" customWidth="1"/>
    <col min="12290" max="12290" width="17.33203125" style="442" customWidth="1"/>
    <col min="12291" max="12291" width="11.44140625" style="442" customWidth="1"/>
    <col min="12292" max="12292" width="14.109375" style="442" customWidth="1"/>
    <col min="12293" max="12293" width="13" style="442" bestFit="1" customWidth="1"/>
    <col min="12294" max="12294" width="14.109375" style="442" customWidth="1"/>
    <col min="12295" max="12295" width="11.44140625" style="442" customWidth="1"/>
    <col min="12296" max="12296" width="15.33203125" style="442" customWidth="1"/>
    <col min="12297" max="12297" width="13" style="442" bestFit="1" customWidth="1"/>
    <col min="12298" max="12298" width="15.88671875" style="442" customWidth="1"/>
    <col min="12299" max="12299" width="11.44140625" style="442" customWidth="1"/>
    <col min="12300" max="12300" width="14.109375" style="442" customWidth="1"/>
    <col min="12301" max="12301" width="13" style="442" bestFit="1" customWidth="1"/>
    <col min="12302" max="12302" width="15.33203125" style="442" customWidth="1"/>
    <col min="12303" max="12303" width="11.5546875" style="442"/>
    <col min="12304" max="12304" width="14.109375" style="442" bestFit="1" customWidth="1"/>
    <col min="12305" max="12305" width="13" style="442" bestFit="1" customWidth="1"/>
    <col min="12306" max="12306" width="15.33203125" style="442" bestFit="1" customWidth="1"/>
    <col min="12307" max="12308" width="11.5546875" style="442"/>
    <col min="12309" max="12309" width="13" style="442" bestFit="1" customWidth="1"/>
    <col min="12310" max="12544" width="11.5546875" style="442"/>
    <col min="12545" max="12545" width="21.5546875" style="442" customWidth="1"/>
    <col min="12546" max="12546" width="17.33203125" style="442" customWidth="1"/>
    <col min="12547" max="12547" width="11.44140625" style="442" customWidth="1"/>
    <col min="12548" max="12548" width="14.109375" style="442" customWidth="1"/>
    <col min="12549" max="12549" width="13" style="442" bestFit="1" customWidth="1"/>
    <col min="12550" max="12550" width="14.109375" style="442" customWidth="1"/>
    <col min="12551" max="12551" width="11.44140625" style="442" customWidth="1"/>
    <col min="12552" max="12552" width="15.33203125" style="442" customWidth="1"/>
    <col min="12553" max="12553" width="13" style="442" bestFit="1" customWidth="1"/>
    <col min="12554" max="12554" width="15.88671875" style="442" customWidth="1"/>
    <col min="12555" max="12555" width="11.44140625" style="442" customWidth="1"/>
    <col min="12556" max="12556" width="14.109375" style="442" customWidth="1"/>
    <col min="12557" max="12557" width="13" style="442" bestFit="1" customWidth="1"/>
    <col min="12558" max="12558" width="15.33203125" style="442" customWidth="1"/>
    <col min="12559" max="12559" width="11.5546875" style="442"/>
    <col min="12560" max="12560" width="14.109375" style="442" bestFit="1" customWidth="1"/>
    <col min="12561" max="12561" width="13" style="442" bestFit="1" customWidth="1"/>
    <col min="12562" max="12562" width="15.33203125" style="442" bestFit="1" customWidth="1"/>
    <col min="12563" max="12564" width="11.5546875" style="442"/>
    <col min="12565" max="12565" width="13" style="442" bestFit="1" customWidth="1"/>
    <col min="12566" max="12800" width="11.5546875" style="442"/>
    <col min="12801" max="12801" width="21.5546875" style="442" customWidth="1"/>
    <col min="12802" max="12802" width="17.33203125" style="442" customWidth="1"/>
    <col min="12803" max="12803" width="11.44140625" style="442" customWidth="1"/>
    <col min="12804" max="12804" width="14.109375" style="442" customWidth="1"/>
    <col min="12805" max="12805" width="13" style="442" bestFit="1" customWidth="1"/>
    <col min="12806" max="12806" width="14.109375" style="442" customWidth="1"/>
    <col min="12807" max="12807" width="11.44140625" style="442" customWidth="1"/>
    <col min="12808" max="12808" width="15.33203125" style="442" customWidth="1"/>
    <col min="12809" max="12809" width="13" style="442" bestFit="1" customWidth="1"/>
    <col min="12810" max="12810" width="15.88671875" style="442" customWidth="1"/>
    <col min="12811" max="12811" width="11.44140625" style="442" customWidth="1"/>
    <col min="12812" max="12812" width="14.109375" style="442" customWidth="1"/>
    <col min="12813" max="12813" width="13" style="442" bestFit="1" customWidth="1"/>
    <col min="12814" max="12814" width="15.33203125" style="442" customWidth="1"/>
    <col min="12815" max="12815" width="11.5546875" style="442"/>
    <col min="12816" max="12816" width="14.109375" style="442" bestFit="1" customWidth="1"/>
    <col min="12817" max="12817" width="13" style="442" bestFit="1" customWidth="1"/>
    <col min="12818" max="12818" width="15.33203125" style="442" bestFit="1" customWidth="1"/>
    <col min="12819" max="12820" width="11.5546875" style="442"/>
    <col min="12821" max="12821" width="13" style="442" bestFit="1" customWidth="1"/>
    <col min="12822" max="13056" width="11.5546875" style="442"/>
    <col min="13057" max="13057" width="21.5546875" style="442" customWidth="1"/>
    <col min="13058" max="13058" width="17.33203125" style="442" customWidth="1"/>
    <col min="13059" max="13059" width="11.44140625" style="442" customWidth="1"/>
    <col min="13060" max="13060" width="14.109375" style="442" customWidth="1"/>
    <col min="13061" max="13061" width="13" style="442" bestFit="1" customWidth="1"/>
    <col min="13062" max="13062" width="14.109375" style="442" customWidth="1"/>
    <col min="13063" max="13063" width="11.44140625" style="442" customWidth="1"/>
    <col min="13064" max="13064" width="15.33203125" style="442" customWidth="1"/>
    <col min="13065" max="13065" width="13" style="442" bestFit="1" customWidth="1"/>
    <col min="13066" max="13066" width="15.88671875" style="442" customWidth="1"/>
    <col min="13067" max="13067" width="11.44140625" style="442" customWidth="1"/>
    <col min="13068" max="13068" width="14.109375" style="442" customWidth="1"/>
    <col min="13069" max="13069" width="13" style="442" bestFit="1" customWidth="1"/>
    <col min="13070" max="13070" width="15.33203125" style="442" customWidth="1"/>
    <col min="13071" max="13071" width="11.5546875" style="442"/>
    <col min="13072" max="13072" width="14.109375" style="442" bestFit="1" customWidth="1"/>
    <col min="13073" max="13073" width="13" style="442" bestFit="1" customWidth="1"/>
    <col min="13074" max="13074" width="15.33203125" style="442" bestFit="1" customWidth="1"/>
    <col min="13075" max="13076" width="11.5546875" style="442"/>
    <col min="13077" max="13077" width="13" style="442" bestFit="1" customWidth="1"/>
    <col min="13078" max="13312" width="11.5546875" style="442"/>
    <col min="13313" max="13313" width="21.5546875" style="442" customWidth="1"/>
    <col min="13314" max="13314" width="17.33203125" style="442" customWidth="1"/>
    <col min="13315" max="13315" width="11.44140625" style="442" customWidth="1"/>
    <col min="13316" max="13316" width="14.109375" style="442" customWidth="1"/>
    <col min="13317" max="13317" width="13" style="442" bestFit="1" customWidth="1"/>
    <col min="13318" max="13318" width="14.109375" style="442" customWidth="1"/>
    <col min="13319" max="13319" width="11.44140625" style="442" customWidth="1"/>
    <col min="13320" max="13320" width="15.33203125" style="442" customWidth="1"/>
    <col min="13321" max="13321" width="13" style="442" bestFit="1" customWidth="1"/>
    <col min="13322" max="13322" width="15.88671875" style="442" customWidth="1"/>
    <col min="13323" max="13323" width="11.44140625" style="442" customWidth="1"/>
    <col min="13324" max="13324" width="14.109375" style="442" customWidth="1"/>
    <col min="13325" max="13325" width="13" style="442" bestFit="1" customWidth="1"/>
    <col min="13326" max="13326" width="15.33203125" style="442" customWidth="1"/>
    <col min="13327" max="13327" width="11.5546875" style="442"/>
    <col min="13328" max="13328" width="14.109375" style="442" bestFit="1" customWidth="1"/>
    <col min="13329" max="13329" width="13" style="442" bestFit="1" customWidth="1"/>
    <col min="13330" max="13330" width="15.33203125" style="442" bestFit="1" customWidth="1"/>
    <col min="13331" max="13332" width="11.5546875" style="442"/>
    <col min="13333" max="13333" width="13" style="442" bestFit="1" customWidth="1"/>
    <col min="13334" max="13568" width="11.5546875" style="442"/>
    <col min="13569" max="13569" width="21.5546875" style="442" customWidth="1"/>
    <col min="13570" max="13570" width="17.33203125" style="442" customWidth="1"/>
    <col min="13571" max="13571" width="11.44140625" style="442" customWidth="1"/>
    <col min="13572" max="13572" width="14.109375" style="442" customWidth="1"/>
    <col min="13573" max="13573" width="13" style="442" bestFit="1" customWidth="1"/>
    <col min="13574" max="13574" width="14.109375" style="442" customWidth="1"/>
    <col min="13575" max="13575" width="11.44140625" style="442" customWidth="1"/>
    <col min="13576" max="13576" width="15.33203125" style="442" customWidth="1"/>
    <col min="13577" max="13577" width="13" style="442" bestFit="1" customWidth="1"/>
    <col min="13578" max="13578" width="15.88671875" style="442" customWidth="1"/>
    <col min="13579" max="13579" width="11.44140625" style="442" customWidth="1"/>
    <col min="13580" max="13580" width="14.109375" style="442" customWidth="1"/>
    <col min="13581" max="13581" width="13" style="442" bestFit="1" customWidth="1"/>
    <col min="13582" max="13582" width="15.33203125" style="442" customWidth="1"/>
    <col min="13583" max="13583" width="11.5546875" style="442"/>
    <col min="13584" max="13584" width="14.109375" style="442" bestFit="1" customWidth="1"/>
    <col min="13585" max="13585" width="13" style="442" bestFit="1" customWidth="1"/>
    <col min="13586" max="13586" width="15.33203125" style="442" bestFit="1" customWidth="1"/>
    <col min="13587" max="13588" width="11.5546875" style="442"/>
    <col min="13589" max="13589" width="13" style="442" bestFit="1" customWidth="1"/>
    <col min="13590" max="13824" width="11.5546875" style="442"/>
    <col min="13825" max="13825" width="21.5546875" style="442" customWidth="1"/>
    <col min="13826" max="13826" width="17.33203125" style="442" customWidth="1"/>
    <col min="13827" max="13827" width="11.44140625" style="442" customWidth="1"/>
    <col min="13828" max="13828" width="14.109375" style="442" customWidth="1"/>
    <col min="13829" max="13829" width="13" style="442" bestFit="1" customWidth="1"/>
    <col min="13830" max="13830" width="14.109375" style="442" customWidth="1"/>
    <col min="13831" max="13831" width="11.44140625" style="442" customWidth="1"/>
    <col min="13832" max="13832" width="15.33203125" style="442" customWidth="1"/>
    <col min="13833" max="13833" width="13" style="442" bestFit="1" customWidth="1"/>
    <col min="13834" max="13834" width="15.88671875" style="442" customWidth="1"/>
    <col min="13835" max="13835" width="11.44140625" style="442" customWidth="1"/>
    <col min="13836" max="13836" width="14.109375" style="442" customWidth="1"/>
    <col min="13837" max="13837" width="13" style="442" bestFit="1" customWidth="1"/>
    <col min="13838" max="13838" width="15.33203125" style="442" customWidth="1"/>
    <col min="13839" max="13839" width="11.5546875" style="442"/>
    <col min="13840" max="13840" width="14.109375" style="442" bestFit="1" customWidth="1"/>
    <col min="13841" max="13841" width="13" style="442" bestFit="1" customWidth="1"/>
    <col min="13842" max="13842" width="15.33203125" style="442" bestFit="1" customWidth="1"/>
    <col min="13843" max="13844" width="11.5546875" style="442"/>
    <col min="13845" max="13845" width="13" style="442" bestFit="1" customWidth="1"/>
    <col min="13846" max="14080" width="11.5546875" style="442"/>
    <col min="14081" max="14081" width="21.5546875" style="442" customWidth="1"/>
    <col min="14082" max="14082" width="17.33203125" style="442" customWidth="1"/>
    <col min="14083" max="14083" width="11.44140625" style="442" customWidth="1"/>
    <col min="14084" max="14084" width="14.109375" style="442" customWidth="1"/>
    <col min="14085" max="14085" width="13" style="442" bestFit="1" customWidth="1"/>
    <col min="14086" max="14086" width="14.109375" style="442" customWidth="1"/>
    <col min="14087" max="14087" width="11.44140625" style="442" customWidth="1"/>
    <col min="14088" max="14088" width="15.33203125" style="442" customWidth="1"/>
    <col min="14089" max="14089" width="13" style="442" bestFit="1" customWidth="1"/>
    <col min="14090" max="14090" width="15.88671875" style="442" customWidth="1"/>
    <col min="14091" max="14091" width="11.44140625" style="442" customWidth="1"/>
    <col min="14092" max="14092" width="14.109375" style="442" customWidth="1"/>
    <col min="14093" max="14093" width="13" style="442" bestFit="1" customWidth="1"/>
    <col min="14094" max="14094" width="15.33203125" style="442" customWidth="1"/>
    <col min="14095" max="14095" width="11.5546875" style="442"/>
    <col min="14096" max="14096" width="14.109375" style="442" bestFit="1" customWidth="1"/>
    <col min="14097" max="14097" width="13" style="442" bestFit="1" customWidth="1"/>
    <col min="14098" max="14098" width="15.33203125" style="442" bestFit="1" customWidth="1"/>
    <col min="14099" max="14100" width="11.5546875" style="442"/>
    <col min="14101" max="14101" width="13" style="442" bestFit="1" customWidth="1"/>
    <col min="14102" max="14336" width="11.5546875" style="442"/>
    <col min="14337" max="14337" width="21.5546875" style="442" customWidth="1"/>
    <col min="14338" max="14338" width="17.33203125" style="442" customWidth="1"/>
    <col min="14339" max="14339" width="11.44140625" style="442" customWidth="1"/>
    <col min="14340" max="14340" width="14.109375" style="442" customWidth="1"/>
    <col min="14341" max="14341" width="13" style="442" bestFit="1" customWidth="1"/>
    <col min="14342" max="14342" width="14.109375" style="442" customWidth="1"/>
    <col min="14343" max="14343" width="11.44140625" style="442" customWidth="1"/>
    <col min="14344" max="14344" width="15.33203125" style="442" customWidth="1"/>
    <col min="14345" max="14345" width="13" style="442" bestFit="1" customWidth="1"/>
    <col min="14346" max="14346" width="15.88671875" style="442" customWidth="1"/>
    <col min="14347" max="14347" width="11.44140625" style="442" customWidth="1"/>
    <col min="14348" max="14348" width="14.109375" style="442" customWidth="1"/>
    <col min="14349" max="14349" width="13" style="442" bestFit="1" customWidth="1"/>
    <col min="14350" max="14350" width="15.33203125" style="442" customWidth="1"/>
    <col min="14351" max="14351" width="11.5546875" style="442"/>
    <col min="14352" max="14352" width="14.109375" style="442" bestFit="1" customWidth="1"/>
    <col min="14353" max="14353" width="13" style="442" bestFit="1" customWidth="1"/>
    <col min="14354" max="14354" width="15.33203125" style="442" bestFit="1" customWidth="1"/>
    <col min="14355" max="14356" width="11.5546875" style="442"/>
    <col min="14357" max="14357" width="13" style="442" bestFit="1" customWidth="1"/>
    <col min="14358" max="14592" width="11.5546875" style="442"/>
    <col min="14593" max="14593" width="21.5546875" style="442" customWidth="1"/>
    <col min="14594" max="14594" width="17.33203125" style="442" customWidth="1"/>
    <col min="14595" max="14595" width="11.44140625" style="442" customWidth="1"/>
    <col min="14596" max="14596" width="14.109375" style="442" customWidth="1"/>
    <col min="14597" max="14597" width="13" style="442" bestFit="1" customWidth="1"/>
    <col min="14598" max="14598" width="14.109375" style="442" customWidth="1"/>
    <col min="14599" max="14599" width="11.44140625" style="442" customWidth="1"/>
    <col min="14600" max="14600" width="15.33203125" style="442" customWidth="1"/>
    <col min="14601" max="14601" width="13" style="442" bestFit="1" customWidth="1"/>
    <col min="14602" max="14602" width="15.88671875" style="442" customWidth="1"/>
    <col min="14603" max="14603" width="11.44140625" style="442" customWidth="1"/>
    <col min="14604" max="14604" width="14.109375" style="442" customWidth="1"/>
    <col min="14605" max="14605" width="13" style="442" bestFit="1" customWidth="1"/>
    <col min="14606" max="14606" width="15.33203125" style="442" customWidth="1"/>
    <col min="14607" max="14607" width="11.5546875" style="442"/>
    <col min="14608" max="14608" width="14.109375" style="442" bestFit="1" customWidth="1"/>
    <col min="14609" max="14609" width="13" style="442" bestFit="1" customWidth="1"/>
    <col min="14610" max="14610" width="15.33203125" style="442" bestFit="1" customWidth="1"/>
    <col min="14611" max="14612" width="11.5546875" style="442"/>
    <col min="14613" max="14613" width="13" style="442" bestFit="1" customWidth="1"/>
    <col min="14614" max="14848" width="11.5546875" style="442"/>
    <col min="14849" max="14849" width="21.5546875" style="442" customWidth="1"/>
    <col min="14850" max="14850" width="17.33203125" style="442" customWidth="1"/>
    <col min="14851" max="14851" width="11.44140625" style="442" customWidth="1"/>
    <col min="14852" max="14852" width="14.109375" style="442" customWidth="1"/>
    <col min="14853" max="14853" width="13" style="442" bestFit="1" customWidth="1"/>
    <col min="14854" max="14854" width="14.109375" style="442" customWidth="1"/>
    <col min="14855" max="14855" width="11.44140625" style="442" customWidth="1"/>
    <col min="14856" max="14856" width="15.33203125" style="442" customWidth="1"/>
    <col min="14857" max="14857" width="13" style="442" bestFit="1" customWidth="1"/>
    <col min="14858" max="14858" width="15.88671875" style="442" customWidth="1"/>
    <col min="14859" max="14859" width="11.44140625" style="442" customWidth="1"/>
    <col min="14860" max="14860" width="14.109375" style="442" customWidth="1"/>
    <col min="14861" max="14861" width="13" style="442" bestFit="1" customWidth="1"/>
    <col min="14862" max="14862" width="15.33203125" style="442" customWidth="1"/>
    <col min="14863" max="14863" width="11.5546875" style="442"/>
    <col min="14864" max="14864" width="14.109375" style="442" bestFit="1" customWidth="1"/>
    <col min="14865" max="14865" width="13" style="442" bestFit="1" customWidth="1"/>
    <col min="14866" max="14866" width="15.33203125" style="442" bestFit="1" customWidth="1"/>
    <col min="14867" max="14868" width="11.5546875" style="442"/>
    <col min="14869" max="14869" width="13" style="442" bestFit="1" customWidth="1"/>
    <col min="14870" max="15104" width="11.5546875" style="442"/>
    <col min="15105" max="15105" width="21.5546875" style="442" customWidth="1"/>
    <col min="15106" max="15106" width="17.33203125" style="442" customWidth="1"/>
    <col min="15107" max="15107" width="11.44140625" style="442" customWidth="1"/>
    <col min="15108" max="15108" width="14.109375" style="442" customWidth="1"/>
    <col min="15109" max="15109" width="13" style="442" bestFit="1" customWidth="1"/>
    <col min="15110" max="15110" width="14.109375" style="442" customWidth="1"/>
    <col min="15111" max="15111" width="11.44140625" style="442" customWidth="1"/>
    <col min="15112" max="15112" width="15.33203125" style="442" customWidth="1"/>
    <col min="15113" max="15113" width="13" style="442" bestFit="1" customWidth="1"/>
    <col min="15114" max="15114" width="15.88671875" style="442" customWidth="1"/>
    <col min="15115" max="15115" width="11.44140625" style="442" customWidth="1"/>
    <col min="15116" max="15116" width="14.109375" style="442" customWidth="1"/>
    <col min="15117" max="15117" width="13" style="442" bestFit="1" customWidth="1"/>
    <col min="15118" max="15118" width="15.33203125" style="442" customWidth="1"/>
    <col min="15119" max="15119" width="11.5546875" style="442"/>
    <col min="15120" max="15120" width="14.109375" style="442" bestFit="1" customWidth="1"/>
    <col min="15121" max="15121" width="13" style="442" bestFit="1" customWidth="1"/>
    <col min="15122" max="15122" width="15.33203125" style="442" bestFit="1" customWidth="1"/>
    <col min="15123" max="15124" width="11.5546875" style="442"/>
    <col min="15125" max="15125" width="13" style="442" bestFit="1" customWidth="1"/>
    <col min="15126" max="15360" width="11.5546875" style="442"/>
    <col min="15361" max="15361" width="21.5546875" style="442" customWidth="1"/>
    <col min="15362" max="15362" width="17.33203125" style="442" customWidth="1"/>
    <col min="15363" max="15363" width="11.44140625" style="442" customWidth="1"/>
    <col min="15364" max="15364" width="14.109375" style="442" customWidth="1"/>
    <col min="15365" max="15365" width="13" style="442" bestFit="1" customWidth="1"/>
    <col min="15366" max="15366" width="14.109375" style="442" customWidth="1"/>
    <col min="15367" max="15367" width="11.44140625" style="442" customWidth="1"/>
    <col min="15368" max="15368" width="15.33203125" style="442" customWidth="1"/>
    <col min="15369" max="15369" width="13" style="442" bestFit="1" customWidth="1"/>
    <col min="15370" max="15370" width="15.88671875" style="442" customWidth="1"/>
    <col min="15371" max="15371" width="11.44140625" style="442" customWidth="1"/>
    <col min="15372" max="15372" width="14.109375" style="442" customWidth="1"/>
    <col min="15373" max="15373" width="13" style="442" bestFit="1" customWidth="1"/>
    <col min="15374" max="15374" width="15.33203125" style="442" customWidth="1"/>
    <col min="15375" max="15375" width="11.5546875" style="442"/>
    <col min="15376" max="15376" width="14.109375" style="442" bestFit="1" customWidth="1"/>
    <col min="15377" max="15377" width="13" style="442" bestFit="1" customWidth="1"/>
    <col min="15378" max="15378" width="15.33203125" style="442" bestFit="1" customWidth="1"/>
    <col min="15379" max="15380" width="11.5546875" style="442"/>
    <col min="15381" max="15381" width="13" style="442" bestFit="1" customWidth="1"/>
    <col min="15382" max="15616" width="11.5546875" style="442"/>
    <col min="15617" max="15617" width="21.5546875" style="442" customWidth="1"/>
    <col min="15618" max="15618" width="17.33203125" style="442" customWidth="1"/>
    <col min="15619" max="15619" width="11.44140625" style="442" customWidth="1"/>
    <col min="15620" max="15620" width="14.109375" style="442" customWidth="1"/>
    <col min="15621" max="15621" width="13" style="442" bestFit="1" customWidth="1"/>
    <col min="15622" max="15622" width="14.109375" style="442" customWidth="1"/>
    <col min="15623" max="15623" width="11.44140625" style="442" customWidth="1"/>
    <col min="15624" max="15624" width="15.33203125" style="442" customWidth="1"/>
    <col min="15625" max="15625" width="13" style="442" bestFit="1" customWidth="1"/>
    <col min="15626" max="15626" width="15.88671875" style="442" customWidth="1"/>
    <col min="15627" max="15627" width="11.44140625" style="442" customWidth="1"/>
    <col min="15628" max="15628" width="14.109375" style="442" customWidth="1"/>
    <col min="15629" max="15629" width="13" style="442" bestFit="1" customWidth="1"/>
    <col min="15630" max="15630" width="15.33203125" style="442" customWidth="1"/>
    <col min="15631" max="15631" width="11.5546875" style="442"/>
    <col min="15632" max="15632" width="14.109375" style="442" bestFit="1" customWidth="1"/>
    <col min="15633" max="15633" width="13" style="442" bestFit="1" customWidth="1"/>
    <col min="15634" max="15634" width="15.33203125" style="442" bestFit="1" customWidth="1"/>
    <col min="15635" max="15636" width="11.5546875" style="442"/>
    <col min="15637" max="15637" width="13" style="442" bestFit="1" customWidth="1"/>
    <col min="15638" max="15872" width="11.5546875" style="442"/>
    <col min="15873" max="15873" width="21.5546875" style="442" customWidth="1"/>
    <col min="15874" max="15874" width="17.33203125" style="442" customWidth="1"/>
    <col min="15875" max="15875" width="11.44140625" style="442" customWidth="1"/>
    <col min="15876" max="15876" width="14.109375" style="442" customWidth="1"/>
    <col min="15877" max="15877" width="13" style="442" bestFit="1" customWidth="1"/>
    <col min="15878" max="15878" width="14.109375" style="442" customWidth="1"/>
    <col min="15879" max="15879" width="11.44140625" style="442" customWidth="1"/>
    <col min="15880" max="15880" width="15.33203125" style="442" customWidth="1"/>
    <col min="15881" max="15881" width="13" style="442" bestFit="1" customWidth="1"/>
    <col min="15882" max="15882" width="15.88671875" style="442" customWidth="1"/>
    <col min="15883" max="15883" width="11.44140625" style="442" customWidth="1"/>
    <col min="15884" max="15884" width="14.109375" style="442" customWidth="1"/>
    <col min="15885" max="15885" width="13" style="442" bestFit="1" customWidth="1"/>
    <col min="15886" max="15886" width="15.33203125" style="442" customWidth="1"/>
    <col min="15887" max="15887" width="11.5546875" style="442"/>
    <col min="15888" max="15888" width="14.109375" style="442" bestFit="1" customWidth="1"/>
    <col min="15889" max="15889" width="13" style="442" bestFit="1" customWidth="1"/>
    <col min="15890" max="15890" width="15.33203125" style="442" bestFit="1" customWidth="1"/>
    <col min="15891" max="15892" width="11.5546875" style="442"/>
    <col min="15893" max="15893" width="13" style="442" bestFit="1" customWidth="1"/>
    <col min="15894" max="16128" width="11.5546875" style="442"/>
    <col min="16129" max="16129" width="21.5546875" style="442" customWidth="1"/>
    <col min="16130" max="16130" width="17.33203125" style="442" customWidth="1"/>
    <col min="16131" max="16131" width="11.44140625" style="442" customWidth="1"/>
    <col min="16132" max="16132" width="14.109375" style="442" customWidth="1"/>
    <col min="16133" max="16133" width="13" style="442" bestFit="1" customWidth="1"/>
    <col min="16134" max="16134" width="14.109375" style="442" customWidth="1"/>
    <col min="16135" max="16135" width="11.44140625" style="442" customWidth="1"/>
    <col min="16136" max="16136" width="15.33203125" style="442" customWidth="1"/>
    <col min="16137" max="16137" width="13" style="442" bestFit="1" customWidth="1"/>
    <col min="16138" max="16138" width="15.88671875" style="442" customWidth="1"/>
    <col min="16139" max="16139" width="11.44140625" style="442" customWidth="1"/>
    <col min="16140" max="16140" width="14.109375" style="442" customWidth="1"/>
    <col min="16141" max="16141" width="13" style="442" bestFit="1" customWidth="1"/>
    <col min="16142" max="16142" width="15.33203125" style="442" customWidth="1"/>
    <col min="16143" max="16143" width="11.5546875" style="442"/>
    <col min="16144" max="16144" width="14.109375" style="442" bestFit="1" customWidth="1"/>
    <col min="16145" max="16145" width="13" style="442" bestFit="1" customWidth="1"/>
    <col min="16146" max="16146" width="15.33203125" style="442" bestFit="1" customWidth="1"/>
    <col min="16147" max="16148" width="11.5546875" style="442"/>
    <col min="16149" max="16149" width="13" style="442" bestFit="1" customWidth="1"/>
    <col min="16150" max="16384" width="11.5546875" style="442"/>
  </cols>
  <sheetData>
    <row r="2" spans="1:21" x14ac:dyDescent="0.2">
      <c r="A2" s="337" t="s">
        <v>3374</v>
      </c>
    </row>
    <row r="3" spans="1:21" x14ac:dyDescent="0.2">
      <c r="A3" s="1564"/>
      <c r="B3" s="1564"/>
      <c r="C3" s="1564"/>
      <c r="D3" s="1564"/>
      <c r="E3" s="1564"/>
      <c r="F3" s="1564"/>
      <c r="G3" s="1564"/>
      <c r="H3" s="1564"/>
      <c r="I3" s="1564"/>
      <c r="J3" s="1564"/>
      <c r="K3" s="1564"/>
      <c r="L3" s="1564"/>
      <c r="M3" s="1564"/>
      <c r="N3" s="1564"/>
      <c r="O3" s="1564"/>
      <c r="P3" s="1564"/>
      <c r="Q3" s="1564"/>
      <c r="R3" s="1564"/>
      <c r="S3" s="519"/>
      <c r="T3" s="519"/>
      <c r="U3" s="519"/>
    </row>
    <row r="4" spans="1:21" x14ac:dyDescent="0.2">
      <c r="A4" s="1565" t="s">
        <v>0</v>
      </c>
      <c r="B4" s="1565" t="s">
        <v>3380</v>
      </c>
      <c r="C4" s="1565" t="s">
        <v>3434</v>
      </c>
      <c r="D4" s="1565"/>
      <c r="E4" s="1565"/>
      <c r="F4" s="1565"/>
      <c r="G4" s="1565"/>
      <c r="H4" s="1565"/>
      <c r="I4" s="1565"/>
      <c r="J4" s="1565"/>
      <c r="K4" s="1565" t="s">
        <v>3435</v>
      </c>
      <c r="L4" s="1565"/>
      <c r="M4" s="1565"/>
      <c r="N4" s="1565"/>
      <c r="O4" s="1565"/>
      <c r="P4" s="1565"/>
      <c r="Q4" s="1565"/>
      <c r="R4" s="1565"/>
      <c r="S4" s="519"/>
      <c r="T4" s="519"/>
      <c r="U4" s="519"/>
    </row>
    <row r="5" spans="1:21" ht="12" x14ac:dyDescent="0.2">
      <c r="A5" s="1566"/>
      <c r="B5" s="1566"/>
      <c r="C5" s="1567" t="s">
        <v>3436</v>
      </c>
      <c r="D5" s="1567" t="s">
        <v>3437</v>
      </c>
      <c r="E5" s="1567" t="s">
        <v>3438</v>
      </c>
      <c r="F5" s="1567" t="s">
        <v>3439</v>
      </c>
      <c r="G5" s="1567" t="s">
        <v>3440</v>
      </c>
      <c r="H5" s="1567" t="s">
        <v>3441</v>
      </c>
      <c r="I5" s="1567" t="s">
        <v>3442</v>
      </c>
      <c r="J5" s="1568" t="s">
        <v>3443</v>
      </c>
      <c r="K5" s="1567" t="s">
        <v>3436</v>
      </c>
      <c r="L5" s="1567" t="s">
        <v>3437</v>
      </c>
      <c r="M5" s="1567" t="s">
        <v>3438</v>
      </c>
      <c r="N5" s="1567" t="s">
        <v>3439</v>
      </c>
      <c r="O5" s="1567" t="s">
        <v>3440</v>
      </c>
      <c r="P5" s="1567" t="s">
        <v>3441</v>
      </c>
      <c r="Q5" s="1567" t="s">
        <v>3442</v>
      </c>
      <c r="R5" s="1568" t="s">
        <v>3443</v>
      </c>
      <c r="S5" s="519"/>
      <c r="T5" s="519"/>
      <c r="U5" s="519"/>
    </row>
    <row r="6" spans="1:21" x14ac:dyDescent="0.2">
      <c r="A6" s="1569" t="s">
        <v>3</v>
      </c>
      <c r="B6" s="1569"/>
      <c r="C6" s="1570">
        <f t="shared" ref="C6:R6" si="0">SUM(C7:C17)</f>
        <v>108</v>
      </c>
      <c r="D6" s="1570">
        <f t="shared" si="0"/>
        <v>269154000</v>
      </c>
      <c r="E6" s="1570">
        <f t="shared" si="0"/>
        <v>17</v>
      </c>
      <c r="F6" s="1570">
        <f t="shared" si="0"/>
        <v>343601000</v>
      </c>
      <c r="G6" s="1570">
        <f t="shared" si="0"/>
        <v>48</v>
      </c>
      <c r="H6" s="1570">
        <f t="shared" si="0"/>
        <v>98156000</v>
      </c>
      <c r="I6" s="1570">
        <f t="shared" si="0"/>
        <v>173</v>
      </c>
      <c r="J6" s="1570">
        <f t="shared" si="0"/>
        <v>710911000</v>
      </c>
      <c r="K6" s="1570">
        <f t="shared" si="0"/>
        <v>102</v>
      </c>
      <c r="L6" s="1570">
        <f t="shared" si="0"/>
        <v>273191000</v>
      </c>
      <c r="M6" s="1570">
        <f t="shared" si="0"/>
        <v>15</v>
      </c>
      <c r="N6" s="1570">
        <f t="shared" si="0"/>
        <v>318755000</v>
      </c>
      <c r="O6" s="1571">
        <f t="shared" si="0"/>
        <v>43</v>
      </c>
      <c r="P6" s="1570">
        <f t="shared" si="0"/>
        <v>116057665</v>
      </c>
      <c r="Q6" s="1571">
        <f t="shared" si="0"/>
        <v>160</v>
      </c>
      <c r="R6" s="1570">
        <f t="shared" si="0"/>
        <v>708003665</v>
      </c>
      <c r="S6" s="519"/>
      <c r="T6" s="519"/>
      <c r="U6" s="519"/>
    </row>
    <row r="7" spans="1:21" x14ac:dyDescent="0.2">
      <c r="A7" s="1572" t="s">
        <v>4</v>
      </c>
      <c r="B7" s="1564" t="s">
        <v>871</v>
      </c>
      <c r="C7" s="1573">
        <v>7</v>
      </c>
      <c r="D7" s="1574">
        <v>25000000</v>
      </c>
      <c r="E7" s="1575">
        <v>1</v>
      </c>
      <c r="F7" s="1576">
        <v>20000000</v>
      </c>
      <c r="G7" s="1573">
        <v>1</v>
      </c>
      <c r="H7" s="1574">
        <v>7000000</v>
      </c>
      <c r="I7" s="1573">
        <f t="shared" ref="I7:J17" si="1">C7+E7+G7</f>
        <v>9</v>
      </c>
      <c r="J7" s="1574">
        <f t="shared" si="1"/>
        <v>52000000</v>
      </c>
      <c r="K7" s="1577">
        <v>5</v>
      </c>
      <c r="L7" s="1574">
        <v>28000000</v>
      </c>
      <c r="M7" s="1575">
        <v>2</v>
      </c>
      <c r="N7" s="1576">
        <v>65000000</v>
      </c>
      <c r="O7" s="1573">
        <v>1</v>
      </c>
      <c r="P7" s="1574">
        <v>8000000</v>
      </c>
      <c r="Q7" s="1573">
        <f t="shared" ref="Q7:R17" si="2">K7+M7+O7</f>
        <v>8</v>
      </c>
      <c r="R7" s="1574">
        <f t="shared" si="2"/>
        <v>101000000</v>
      </c>
      <c r="S7" s="519"/>
      <c r="T7" s="519"/>
      <c r="U7" s="519"/>
    </row>
    <row r="8" spans="1:21" x14ac:dyDescent="0.2">
      <c r="A8" s="1572" t="s">
        <v>3444</v>
      </c>
      <c r="B8" s="1564" t="s">
        <v>872</v>
      </c>
      <c r="C8" s="1573">
        <v>12</v>
      </c>
      <c r="D8" s="1574">
        <v>39000000</v>
      </c>
      <c r="E8" s="1575">
        <v>2</v>
      </c>
      <c r="F8" s="1576">
        <v>56934000</v>
      </c>
      <c r="G8" s="1573">
        <v>2</v>
      </c>
      <c r="H8" s="1574">
        <v>15000000</v>
      </c>
      <c r="I8" s="1573">
        <f t="shared" si="1"/>
        <v>16</v>
      </c>
      <c r="J8" s="1574">
        <f t="shared" si="1"/>
        <v>110934000</v>
      </c>
      <c r="K8" s="1577">
        <v>11</v>
      </c>
      <c r="L8" s="1574">
        <v>39000000</v>
      </c>
      <c r="M8" s="1575">
        <v>1</v>
      </c>
      <c r="N8" s="1576">
        <v>20000000</v>
      </c>
      <c r="O8" s="1573">
        <v>2</v>
      </c>
      <c r="P8" s="1574">
        <v>12000000</v>
      </c>
      <c r="Q8" s="1573">
        <f t="shared" si="2"/>
        <v>14</v>
      </c>
      <c r="R8" s="1574">
        <f t="shared" si="2"/>
        <v>71000000</v>
      </c>
      <c r="S8" s="519"/>
      <c r="T8" s="519"/>
      <c r="U8" s="519"/>
    </row>
    <row r="9" spans="1:21" x14ac:dyDescent="0.2">
      <c r="A9" s="1572" t="s">
        <v>6</v>
      </c>
      <c r="B9" s="1564" t="s">
        <v>875</v>
      </c>
      <c r="C9" s="1573">
        <v>7</v>
      </c>
      <c r="D9" s="1574">
        <v>12000000</v>
      </c>
      <c r="E9" s="1575">
        <v>1</v>
      </c>
      <c r="F9" s="1576">
        <v>20000000</v>
      </c>
      <c r="G9" s="1573">
        <v>4</v>
      </c>
      <c r="H9" s="1574">
        <v>8000000</v>
      </c>
      <c r="I9" s="1573">
        <f t="shared" si="1"/>
        <v>12</v>
      </c>
      <c r="J9" s="1574">
        <f t="shared" si="1"/>
        <v>40000000</v>
      </c>
      <c r="K9" s="1577">
        <v>4</v>
      </c>
      <c r="L9" s="1574">
        <v>12000000</v>
      </c>
      <c r="M9" s="1575">
        <v>1</v>
      </c>
      <c r="N9" s="1576">
        <v>20000000</v>
      </c>
      <c r="O9" s="1573">
        <v>3</v>
      </c>
      <c r="P9" s="1574">
        <v>6000000</v>
      </c>
      <c r="Q9" s="1573">
        <f t="shared" si="2"/>
        <v>8</v>
      </c>
      <c r="R9" s="1574">
        <f t="shared" si="2"/>
        <v>38000000</v>
      </c>
      <c r="S9" s="519"/>
      <c r="T9" s="519"/>
      <c r="U9" s="519"/>
    </row>
    <row r="10" spans="1:21" x14ac:dyDescent="0.2">
      <c r="A10" s="1572" t="s">
        <v>9</v>
      </c>
      <c r="B10" s="1564" t="s">
        <v>888</v>
      </c>
      <c r="C10" s="1573">
        <v>4</v>
      </c>
      <c r="D10" s="1574">
        <v>16000000</v>
      </c>
      <c r="E10" s="1575">
        <v>2</v>
      </c>
      <c r="F10" s="1576">
        <v>53333000</v>
      </c>
      <c r="G10" s="1573">
        <v>1</v>
      </c>
      <c r="H10" s="1574">
        <v>8000000</v>
      </c>
      <c r="I10" s="1573">
        <f t="shared" si="1"/>
        <v>7</v>
      </c>
      <c r="J10" s="1574">
        <f t="shared" si="1"/>
        <v>77333000</v>
      </c>
      <c r="K10" s="1577">
        <v>3</v>
      </c>
      <c r="L10" s="1574">
        <v>12000000</v>
      </c>
      <c r="M10" s="1575">
        <v>1</v>
      </c>
      <c r="N10" s="1576">
        <v>10000000</v>
      </c>
      <c r="O10" s="1573">
        <v>1</v>
      </c>
      <c r="P10" s="1574">
        <v>6000000</v>
      </c>
      <c r="Q10" s="1573">
        <f t="shared" si="2"/>
        <v>5</v>
      </c>
      <c r="R10" s="1574">
        <f t="shared" si="2"/>
        <v>28000000</v>
      </c>
      <c r="S10" s="519"/>
      <c r="T10" s="519"/>
      <c r="U10" s="519"/>
    </row>
    <row r="11" spans="1:21" ht="43.5" customHeight="1" x14ac:dyDescent="0.2">
      <c r="A11" s="1572" t="s">
        <v>3445</v>
      </c>
      <c r="B11" s="1564" t="s">
        <v>890</v>
      </c>
      <c r="C11" s="1573">
        <v>16</v>
      </c>
      <c r="D11" s="1574">
        <v>43000000</v>
      </c>
      <c r="E11" s="1575">
        <v>2</v>
      </c>
      <c r="F11" s="1576">
        <v>30000000</v>
      </c>
      <c r="G11" s="1573">
        <v>7</v>
      </c>
      <c r="H11" s="1574">
        <v>16000000</v>
      </c>
      <c r="I11" s="1573">
        <f t="shared" si="1"/>
        <v>25</v>
      </c>
      <c r="J11" s="1574">
        <f t="shared" si="1"/>
        <v>89000000</v>
      </c>
      <c r="K11" s="1577">
        <v>11</v>
      </c>
      <c r="L11" s="1576">
        <v>45000000</v>
      </c>
      <c r="M11" s="1575">
        <v>1</v>
      </c>
      <c r="N11" s="1576">
        <v>15000000</v>
      </c>
      <c r="O11" s="1573">
        <v>2</v>
      </c>
      <c r="P11" s="1574">
        <v>18267000</v>
      </c>
      <c r="Q11" s="1573">
        <f t="shared" si="2"/>
        <v>14</v>
      </c>
      <c r="R11" s="1574">
        <f t="shared" si="2"/>
        <v>78267000</v>
      </c>
      <c r="S11" s="519"/>
      <c r="T11" s="519"/>
      <c r="U11" s="519"/>
    </row>
    <row r="12" spans="1:21" x14ac:dyDescent="0.2">
      <c r="A12" s="1572" t="s">
        <v>3446</v>
      </c>
      <c r="B12" s="1564" t="s">
        <v>2112</v>
      </c>
      <c r="C12" s="1573">
        <v>19</v>
      </c>
      <c r="D12" s="1574">
        <v>22000000</v>
      </c>
      <c r="E12" s="1575">
        <v>1</v>
      </c>
      <c r="F12" s="1576">
        <v>10000000</v>
      </c>
      <c r="G12" s="1573">
        <v>10</v>
      </c>
      <c r="H12" s="1574">
        <v>10000000</v>
      </c>
      <c r="I12" s="1573">
        <f t="shared" si="1"/>
        <v>30</v>
      </c>
      <c r="J12" s="1574">
        <f t="shared" si="1"/>
        <v>42000000</v>
      </c>
      <c r="K12" s="1577">
        <v>22</v>
      </c>
      <c r="L12" s="1574">
        <v>20000000</v>
      </c>
      <c r="M12" s="1575">
        <v>1</v>
      </c>
      <c r="N12" s="1576">
        <v>10000000</v>
      </c>
      <c r="O12" s="1573">
        <v>13</v>
      </c>
      <c r="P12" s="1574">
        <v>12000000</v>
      </c>
      <c r="Q12" s="1573">
        <f t="shared" si="2"/>
        <v>36</v>
      </c>
      <c r="R12" s="1574">
        <f t="shared" si="2"/>
        <v>42000000</v>
      </c>
      <c r="S12" s="519"/>
      <c r="T12" s="519"/>
      <c r="U12" s="519"/>
    </row>
    <row r="13" spans="1:21" x14ac:dyDescent="0.2">
      <c r="A13" s="1572" t="s">
        <v>14</v>
      </c>
      <c r="B13" s="1564" t="s">
        <v>895</v>
      </c>
      <c r="C13" s="1573">
        <v>15</v>
      </c>
      <c r="D13" s="1574">
        <v>43000000</v>
      </c>
      <c r="E13" s="1575">
        <v>2</v>
      </c>
      <c r="F13" s="1576">
        <v>20000000</v>
      </c>
      <c r="G13" s="1573">
        <v>13</v>
      </c>
      <c r="H13" s="1574">
        <v>13156000</v>
      </c>
      <c r="I13" s="1573">
        <f t="shared" si="1"/>
        <v>30</v>
      </c>
      <c r="J13" s="1574">
        <f t="shared" si="1"/>
        <v>76156000</v>
      </c>
      <c r="K13" s="1577">
        <v>18</v>
      </c>
      <c r="L13" s="1574">
        <v>45000000</v>
      </c>
      <c r="M13" s="1575">
        <v>1</v>
      </c>
      <c r="N13" s="1576">
        <v>13755000</v>
      </c>
      <c r="O13" s="1573">
        <v>13</v>
      </c>
      <c r="P13" s="1574">
        <v>18000000</v>
      </c>
      <c r="Q13" s="1573">
        <f t="shared" si="2"/>
        <v>32</v>
      </c>
      <c r="R13" s="1574">
        <f t="shared" si="2"/>
        <v>76755000</v>
      </c>
      <c r="S13" s="519"/>
      <c r="T13" s="519"/>
      <c r="U13" s="519"/>
    </row>
    <row r="14" spans="1:21" x14ac:dyDescent="0.2">
      <c r="A14" s="1572" t="s">
        <v>15</v>
      </c>
      <c r="B14" s="1564" t="s">
        <v>928</v>
      </c>
      <c r="C14" s="1573">
        <v>8</v>
      </c>
      <c r="D14" s="1574">
        <v>17154000</v>
      </c>
      <c r="E14" s="1575">
        <v>1</v>
      </c>
      <c r="F14" s="1576">
        <v>10000000</v>
      </c>
      <c r="G14" s="1573">
        <v>3</v>
      </c>
      <c r="H14" s="1574">
        <v>5000000</v>
      </c>
      <c r="I14" s="1573">
        <f t="shared" si="1"/>
        <v>12</v>
      </c>
      <c r="J14" s="1574">
        <f t="shared" si="1"/>
        <v>32154000</v>
      </c>
      <c r="K14" s="1577">
        <v>9</v>
      </c>
      <c r="L14" s="1574">
        <v>12191000</v>
      </c>
      <c r="M14" s="1575">
        <v>2</v>
      </c>
      <c r="N14" s="1576">
        <v>22000000</v>
      </c>
      <c r="O14" s="1573">
        <v>1</v>
      </c>
      <c r="P14" s="1574">
        <v>8000000</v>
      </c>
      <c r="Q14" s="1573">
        <f t="shared" si="2"/>
        <v>12</v>
      </c>
      <c r="R14" s="1574">
        <f t="shared" si="2"/>
        <v>42191000</v>
      </c>
      <c r="S14" s="519"/>
      <c r="T14" s="519"/>
      <c r="U14" s="519"/>
    </row>
    <row r="15" spans="1:21" x14ac:dyDescent="0.2">
      <c r="A15" s="1572" t="s">
        <v>3447</v>
      </c>
      <c r="B15" s="1564" t="s">
        <v>930</v>
      </c>
      <c r="C15" s="1573">
        <v>14</v>
      </c>
      <c r="D15" s="1574">
        <v>35000000</v>
      </c>
      <c r="E15" s="1575">
        <v>2</v>
      </c>
      <c r="F15" s="1576">
        <v>38000000</v>
      </c>
      <c r="G15" s="1573">
        <v>6</v>
      </c>
      <c r="H15" s="1574">
        <v>9000000</v>
      </c>
      <c r="I15" s="1573">
        <f t="shared" si="1"/>
        <v>22</v>
      </c>
      <c r="J15" s="1574">
        <f t="shared" si="1"/>
        <v>82000000</v>
      </c>
      <c r="K15" s="1577">
        <v>12</v>
      </c>
      <c r="L15" s="1574">
        <v>40000000</v>
      </c>
      <c r="M15" s="1575">
        <v>2</v>
      </c>
      <c r="N15" s="1576">
        <v>25000000</v>
      </c>
      <c r="O15" s="1573">
        <v>6</v>
      </c>
      <c r="P15" s="1574">
        <v>21790665</v>
      </c>
      <c r="Q15" s="1573">
        <f t="shared" si="2"/>
        <v>20</v>
      </c>
      <c r="R15" s="1574">
        <f t="shared" si="2"/>
        <v>86790665</v>
      </c>
      <c r="S15" s="519"/>
      <c r="T15" s="519"/>
      <c r="U15" s="519"/>
    </row>
    <row r="16" spans="1:21" x14ac:dyDescent="0.2">
      <c r="A16" s="1572" t="s">
        <v>18</v>
      </c>
      <c r="B16" s="1564" t="s">
        <v>934</v>
      </c>
      <c r="C16" s="1573">
        <v>6</v>
      </c>
      <c r="D16" s="1574">
        <v>17000000</v>
      </c>
      <c r="E16" s="1575">
        <v>1</v>
      </c>
      <c r="F16" s="1576">
        <v>10000000</v>
      </c>
      <c r="G16" s="1573">
        <v>1</v>
      </c>
      <c r="H16" s="1574">
        <v>7000000</v>
      </c>
      <c r="I16" s="1573">
        <f t="shared" si="1"/>
        <v>8</v>
      </c>
      <c r="J16" s="1574">
        <f t="shared" si="1"/>
        <v>34000000</v>
      </c>
      <c r="K16" s="1577">
        <v>6</v>
      </c>
      <c r="L16" s="1574">
        <v>15000000</v>
      </c>
      <c r="M16" s="1575">
        <v>1</v>
      </c>
      <c r="N16" s="1576">
        <v>15000000</v>
      </c>
      <c r="O16" s="1573">
        <v>1</v>
      </c>
      <c r="P16" s="1574">
        <v>6000000</v>
      </c>
      <c r="Q16" s="1573">
        <f t="shared" si="2"/>
        <v>8</v>
      </c>
      <c r="R16" s="1574">
        <f t="shared" si="2"/>
        <v>36000000</v>
      </c>
      <c r="S16" s="519"/>
      <c r="T16" s="519"/>
      <c r="U16" s="519"/>
    </row>
    <row r="17" spans="1:21" x14ac:dyDescent="0.2">
      <c r="A17" s="1564" t="s">
        <v>3448</v>
      </c>
      <c r="B17" s="1564" t="s">
        <v>3449</v>
      </c>
      <c r="C17" s="1573">
        <v>0</v>
      </c>
      <c r="D17" s="1574">
        <v>0</v>
      </c>
      <c r="E17" s="1575">
        <v>2</v>
      </c>
      <c r="F17" s="1576">
        <v>75334000</v>
      </c>
      <c r="G17" s="1573">
        <v>0</v>
      </c>
      <c r="H17" s="1574">
        <v>0</v>
      </c>
      <c r="I17" s="1573">
        <f t="shared" si="1"/>
        <v>2</v>
      </c>
      <c r="J17" s="1574">
        <f t="shared" si="1"/>
        <v>75334000</v>
      </c>
      <c r="K17" s="1577">
        <v>1</v>
      </c>
      <c r="L17" s="1574">
        <v>5000000</v>
      </c>
      <c r="M17" s="1575">
        <v>2</v>
      </c>
      <c r="N17" s="1576">
        <v>103000000</v>
      </c>
      <c r="O17" s="1573">
        <v>0</v>
      </c>
      <c r="P17" s="1574">
        <v>0</v>
      </c>
      <c r="Q17" s="1573">
        <f t="shared" si="2"/>
        <v>3</v>
      </c>
      <c r="R17" s="1574">
        <f t="shared" si="2"/>
        <v>108000000</v>
      </c>
      <c r="S17" s="519"/>
      <c r="T17" s="519"/>
      <c r="U17" s="519"/>
    </row>
    <row r="18" spans="1:21" ht="6.75" customHeight="1" x14ac:dyDescent="0.2">
      <c r="A18" s="1578"/>
      <c r="B18" s="1578"/>
      <c r="C18" s="1579"/>
      <c r="D18" s="1579"/>
      <c r="E18" s="1580"/>
      <c r="F18" s="1580"/>
      <c r="G18" s="1579"/>
      <c r="H18" s="1579"/>
      <c r="I18" s="1579"/>
      <c r="J18" s="1579"/>
      <c r="K18" s="1579"/>
      <c r="L18" s="1579"/>
      <c r="M18" s="1580"/>
      <c r="N18" s="1580"/>
      <c r="O18" s="1581"/>
      <c r="P18" s="1581"/>
      <c r="Q18" s="1579"/>
      <c r="R18" s="1579"/>
      <c r="S18" s="519"/>
      <c r="T18" s="519"/>
      <c r="U18" s="519"/>
    </row>
    <row r="19" spans="1:21" x14ac:dyDescent="0.2">
      <c r="A19" s="1582" t="s">
        <v>3450</v>
      </c>
      <c r="B19" s="1564"/>
      <c r="C19" s="1564"/>
      <c r="D19" s="1564"/>
      <c r="E19" s="1564"/>
      <c r="F19" s="1564"/>
      <c r="G19" s="1564"/>
      <c r="H19" s="1564"/>
      <c r="I19" s="1564"/>
      <c r="J19" s="1564"/>
      <c r="K19" s="1564"/>
      <c r="L19" s="1564"/>
      <c r="M19" s="1564"/>
      <c r="N19" s="1564"/>
      <c r="O19" s="1564"/>
      <c r="P19" s="1564"/>
      <c r="Q19" s="1564"/>
      <c r="R19" s="1564"/>
      <c r="S19" s="519"/>
      <c r="T19" s="519"/>
      <c r="U19" s="519"/>
    </row>
    <row r="20" spans="1:21" x14ac:dyDescent="0.2">
      <c r="A20" s="1582" t="s">
        <v>3451</v>
      </c>
      <c r="B20" s="1564"/>
      <c r="C20" s="1564"/>
      <c r="D20" s="1564"/>
      <c r="E20" s="1564"/>
      <c r="F20" s="1564"/>
      <c r="G20" s="1564"/>
      <c r="H20" s="1564"/>
      <c r="I20" s="1564"/>
      <c r="J20" s="1564"/>
      <c r="K20" s="1564"/>
      <c r="L20" s="1564"/>
      <c r="M20" s="1564"/>
      <c r="N20" s="1564"/>
      <c r="O20" s="1564"/>
      <c r="P20" s="1564"/>
      <c r="Q20" s="1564"/>
      <c r="R20" s="1564"/>
      <c r="S20" s="519"/>
      <c r="T20" s="519"/>
      <c r="U20" s="519"/>
    </row>
    <row r="21" spans="1:21" x14ac:dyDescent="0.2">
      <c r="A21" s="1582" t="s">
        <v>3452</v>
      </c>
      <c r="B21" s="1564"/>
      <c r="C21" s="1564"/>
      <c r="D21" s="1564"/>
      <c r="E21" s="1564"/>
      <c r="F21" s="1564"/>
      <c r="G21" s="1564"/>
      <c r="H21" s="1564"/>
      <c r="I21" s="1564"/>
      <c r="J21" s="1564"/>
      <c r="K21" s="1564"/>
      <c r="L21" s="1564"/>
      <c r="M21" s="1564"/>
      <c r="N21" s="1564"/>
      <c r="O21" s="1564"/>
      <c r="P21" s="1564"/>
      <c r="Q21" s="1564"/>
      <c r="R21" s="1564"/>
      <c r="S21" s="519"/>
      <c r="T21" s="519"/>
      <c r="U21" s="519"/>
    </row>
    <row r="22" spans="1:21" x14ac:dyDescent="0.2">
      <c r="A22" s="519" t="s">
        <v>3399</v>
      </c>
      <c r="B22" s="1564"/>
      <c r="C22" s="1564"/>
      <c r="D22" s="1564"/>
      <c r="E22" s="1564"/>
      <c r="F22" s="1564"/>
      <c r="G22" s="1564"/>
      <c r="H22" s="1564"/>
      <c r="I22" s="1564"/>
      <c r="J22" s="1564"/>
      <c r="K22" s="1564"/>
      <c r="L22" s="1564"/>
      <c r="M22" s="1564"/>
      <c r="N22" s="1564"/>
      <c r="O22" s="1564"/>
      <c r="P22" s="1564"/>
      <c r="Q22" s="1564"/>
      <c r="R22" s="1564"/>
      <c r="S22" s="519"/>
      <c r="T22" s="519"/>
      <c r="U22" s="519"/>
    </row>
    <row r="23" spans="1:21" x14ac:dyDescent="0.2">
      <c r="A23" s="519"/>
      <c r="B23" s="1564"/>
      <c r="C23" s="1564"/>
      <c r="D23" s="1564"/>
      <c r="E23" s="1564"/>
      <c r="F23" s="1564"/>
      <c r="G23" s="1564"/>
      <c r="H23" s="1564"/>
      <c r="I23" s="1564"/>
      <c r="J23" s="1564"/>
      <c r="K23" s="1564"/>
      <c r="L23" s="1564"/>
      <c r="M23" s="1564"/>
      <c r="N23" s="1564"/>
      <c r="O23" s="1564"/>
      <c r="P23" s="1564"/>
      <c r="Q23" s="1564"/>
      <c r="R23" s="1564"/>
      <c r="S23" s="519"/>
      <c r="T23" s="519"/>
      <c r="U23" s="519"/>
    </row>
    <row r="24" spans="1:21" x14ac:dyDescent="0.2">
      <c r="A24" s="1300" t="s">
        <v>3453</v>
      </c>
      <c r="B24" s="519"/>
      <c r="C24" s="519"/>
      <c r="D24" s="519"/>
      <c r="E24" s="519"/>
      <c r="F24" s="519"/>
      <c r="G24" s="519"/>
      <c r="H24" s="519"/>
      <c r="I24" s="519"/>
      <c r="J24" s="519"/>
      <c r="K24" s="519"/>
      <c r="L24" s="519"/>
      <c r="M24" s="519"/>
      <c r="N24" s="519"/>
      <c r="O24" s="519"/>
      <c r="P24" s="519"/>
      <c r="Q24" s="519"/>
      <c r="R24" s="519"/>
      <c r="S24" s="519"/>
      <c r="T24" s="519"/>
      <c r="U24" s="519"/>
    </row>
    <row r="25" spans="1:21" x14ac:dyDescent="0.2">
      <c r="A25" s="1300"/>
      <c r="B25" s="519"/>
      <c r="C25" s="519"/>
      <c r="D25" s="519"/>
      <c r="E25" s="519"/>
      <c r="F25" s="519"/>
      <c r="G25" s="519"/>
      <c r="H25" s="519"/>
      <c r="I25" s="519"/>
      <c r="J25" s="519"/>
      <c r="K25" s="519"/>
      <c r="L25" s="519"/>
      <c r="M25" s="519"/>
      <c r="N25" s="519"/>
      <c r="O25" s="519"/>
      <c r="P25" s="519"/>
      <c r="Q25" s="519"/>
      <c r="R25" s="519"/>
      <c r="S25" s="519"/>
      <c r="T25" s="519"/>
      <c r="U25" s="519"/>
    </row>
    <row r="26" spans="1:21" x14ac:dyDescent="0.2">
      <c r="A26" s="1565" t="s">
        <v>0</v>
      </c>
      <c r="B26" s="1565" t="s">
        <v>3380</v>
      </c>
      <c r="C26" s="1565" t="s">
        <v>3454</v>
      </c>
      <c r="D26" s="1565"/>
      <c r="E26" s="1565"/>
      <c r="F26" s="1565"/>
      <c r="G26" s="1565"/>
      <c r="H26" s="1565"/>
      <c r="I26" s="1565"/>
      <c r="J26" s="1565"/>
      <c r="K26" s="1565" t="s">
        <v>3455</v>
      </c>
      <c r="L26" s="1565"/>
      <c r="M26" s="1565"/>
      <c r="N26" s="1565"/>
      <c r="O26" s="1565"/>
      <c r="P26" s="1565"/>
      <c r="Q26" s="1565"/>
      <c r="R26" s="1565"/>
      <c r="S26" s="519"/>
      <c r="T26" s="519"/>
      <c r="U26" s="519"/>
    </row>
    <row r="27" spans="1:21" ht="12" x14ac:dyDescent="0.2">
      <c r="A27" s="1566"/>
      <c r="B27" s="1566"/>
      <c r="C27" s="1567" t="s">
        <v>3436</v>
      </c>
      <c r="D27" s="1567" t="s">
        <v>3437</v>
      </c>
      <c r="E27" s="1567" t="s">
        <v>3438</v>
      </c>
      <c r="F27" s="1567" t="s">
        <v>3439</v>
      </c>
      <c r="G27" s="1567" t="s">
        <v>3440</v>
      </c>
      <c r="H27" s="1567" t="s">
        <v>3441</v>
      </c>
      <c r="I27" s="1567" t="s">
        <v>3442</v>
      </c>
      <c r="J27" s="1568" t="s">
        <v>3443</v>
      </c>
      <c r="K27" s="1567" t="s">
        <v>3436</v>
      </c>
      <c r="L27" s="1567" t="s">
        <v>3437</v>
      </c>
      <c r="M27" s="1567" t="s">
        <v>3438</v>
      </c>
      <c r="N27" s="1567" t="s">
        <v>3439</v>
      </c>
      <c r="O27" s="1567" t="s">
        <v>3440</v>
      </c>
      <c r="P27" s="1567" t="s">
        <v>3441</v>
      </c>
      <c r="Q27" s="1567" t="s">
        <v>3442</v>
      </c>
      <c r="R27" s="1568" t="s">
        <v>3443</v>
      </c>
      <c r="S27" s="519"/>
      <c r="T27" s="519"/>
      <c r="U27" s="519"/>
    </row>
    <row r="28" spans="1:21" x14ac:dyDescent="0.2">
      <c r="A28" s="1583" t="s">
        <v>3</v>
      </c>
      <c r="B28" s="1583"/>
      <c r="C28" s="1579">
        <f t="shared" ref="C28:H28" si="3">SUM(C29:C39)</f>
        <v>136</v>
      </c>
      <c r="D28" s="1584">
        <f t="shared" si="3"/>
        <v>240945114</v>
      </c>
      <c r="E28" s="1585">
        <f t="shared" si="3"/>
        <v>18</v>
      </c>
      <c r="F28" s="1586">
        <f t="shared" si="3"/>
        <v>360264250</v>
      </c>
      <c r="G28" s="1585">
        <f t="shared" si="3"/>
        <v>75</v>
      </c>
      <c r="H28" s="1587">
        <f t="shared" si="3"/>
        <v>266273785</v>
      </c>
      <c r="I28" s="1579">
        <f t="shared" ref="I28:J39" si="4">C28+E28+G28</f>
        <v>229</v>
      </c>
      <c r="J28" s="1587">
        <f t="shared" si="4"/>
        <v>867483149</v>
      </c>
      <c r="K28" s="1579">
        <f t="shared" ref="K28:P28" si="5">SUM(K29:K39)</f>
        <v>85</v>
      </c>
      <c r="L28" s="1587">
        <f t="shared" si="5"/>
        <v>223340320</v>
      </c>
      <c r="M28" s="1585">
        <f t="shared" si="5"/>
        <v>378</v>
      </c>
      <c r="N28" s="1586">
        <f t="shared" si="5"/>
        <v>549798000</v>
      </c>
      <c r="O28" s="1579">
        <f t="shared" si="5"/>
        <v>63</v>
      </c>
      <c r="P28" s="1587">
        <f t="shared" si="5"/>
        <v>98210691</v>
      </c>
      <c r="Q28" s="1579">
        <f t="shared" ref="Q28:R39" si="6">K28+M28+O28</f>
        <v>526</v>
      </c>
      <c r="R28" s="1587">
        <f t="shared" si="6"/>
        <v>871349011</v>
      </c>
      <c r="S28" s="519"/>
      <c r="T28" s="519"/>
      <c r="U28" s="519"/>
    </row>
    <row r="29" spans="1:21" x14ac:dyDescent="0.2">
      <c r="A29" s="1572" t="s">
        <v>4</v>
      </c>
      <c r="B29" s="1564" t="s">
        <v>871</v>
      </c>
      <c r="C29" s="1577">
        <v>10</v>
      </c>
      <c r="D29" s="1574">
        <v>17250000</v>
      </c>
      <c r="E29" s="1573">
        <v>1</v>
      </c>
      <c r="F29" s="1576">
        <v>65000000</v>
      </c>
      <c r="G29" s="1573">
        <v>1</v>
      </c>
      <c r="H29" s="1574">
        <v>84000000</v>
      </c>
      <c r="I29" s="1579">
        <f t="shared" si="4"/>
        <v>12</v>
      </c>
      <c r="J29" s="1588">
        <f t="shared" si="4"/>
        <v>166250000</v>
      </c>
      <c r="K29" s="1573">
        <v>11</v>
      </c>
      <c r="L29" s="1574">
        <v>24700000</v>
      </c>
      <c r="M29" s="1573">
        <v>19</v>
      </c>
      <c r="N29" s="1576">
        <v>35000000</v>
      </c>
      <c r="O29" s="1577">
        <v>2</v>
      </c>
      <c r="P29" s="1574">
        <v>5000000</v>
      </c>
      <c r="Q29" s="578">
        <f t="shared" si="6"/>
        <v>32</v>
      </c>
      <c r="R29" s="1588">
        <f t="shared" si="6"/>
        <v>64700000</v>
      </c>
      <c r="S29" s="519"/>
      <c r="T29" s="519"/>
      <c r="U29" s="519"/>
    </row>
    <row r="30" spans="1:21" x14ac:dyDescent="0.2">
      <c r="A30" s="1572" t="s">
        <v>3444</v>
      </c>
      <c r="B30" s="1564" t="s">
        <v>872</v>
      </c>
      <c r="C30" s="1577">
        <v>16</v>
      </c>
      <c r="D30" s="1574">
        <v>23971619</v>
      </c>
      <c r="E30" s="1573">
        <v>2</v>
      </c>
      <c r="F30" s="1576">
        <v>20720000</v>
      </c>
      <c r="G30" s="1573">
        <v>2</v>
      </c>
      <c r="H30" s="1574">
        <v>13490000</v>
      </c>
      <c r="I30" s="1579">
        <f t="shared" si="4"/>
        <v>20</v>
      </c>
      <c r="J30" s="1588">
        <f t="shared" si="4"/>
        <v>58181619</v>
      </c>
      <c r="K30" s="1573">
        <v>11</v>
      </c>
      <c r="L30" s="1574">
        <v>34500000</v>
      </c>
      <c r="M30" s="1573">
        <v>26</v>
      </c>
      <c r="N30" s="1576">
        <v>31000000</v>
      </c>
      <c r="O30" s="1577">
        <v>1</v>
      </c>
      <c r="P30" s="1574">
        <v>4997300</v>
      </c>
      <c r="Q30" s="578">
        <f t="shared" si="6"/>
        <v>38</v>
      </c>
      <c r="R30" s="1588">
        <f t="shared" si="6"/>
        <v>70497300</v>
      </c>
      <c r="S30" s="519"/>
      <c r="T30" s="519"/>
      <c r="U30" s="519"/>
    </row>
    <row r="31" spans="1:21" x14ac:dyDescent="0.2">
      <c r="A31" s="1572" t="s">
        <v>6</v>
      </c>
      <c r="B31" s="1564" t="s">
        <v>875</v>
      </c>
      <c r="C31" s="1577">
        <v>8</v>
      </c>
      <c r="D31" s="1574">
        <v>12918295</v>
      </c>
      <c r="E31" s="1573">
        <v>2</v>
      </c>
      <c r="F31" s="1576">
        <v>30000000</v>
      </c>
      <c r="G31" s="1573">
        <v>4</v>
      </c>
      <c r="H31" s="1574">
        <v>8000000</v>
      </c>
      <c r="I31" s="1579">
        <f t="shared" si="4"/>
        <v>14</v>
      </c>
      <c r="J31" s="1588">
        <f t="shared" si="4"/>
        <v>50918295</v>
      </c>
      <c r="K31" s="1573">
        <v>8</v>
      </c>
      <c r="L31" s="1574">
        <v>8125000</v>
      </c>
      <c r="M31" s="1573">
        <v>2</v>
      </c>
      <c r="N31" s="1576">
        <v>32000000</v>
      </c>
      <c r="O31" s="1577">
        <v>2</v>
      </c>
      <c r="P31" s="1574">
        <v>5000000</v>
      </c>
      <c r="Q31" s="578">
        <f t="shared" si="6"/>
        <v>12</v>
      </c>
      <c r="R31" s="1588">
        <f t="shared" si="6"/>
        <v>45125000</v>
      </c>
      <c r="S31" s="519"/>
      <c r="T31" s="519"/>
      <c r="U31" s="519"/>
    </row>
    <row r="32" spans="1:21" x14ac:dyDescent="0.2">
      <c r="A32" s="1572" t="s">
        <v>9</v>
      </c>
      <c r="B32" s="1564" t="s">
        <v>888</v>
      </c>
      <c r="C32" s="1577">
        <v>3</v>
      </c>
      <c r="D32" s="1574">
        <v>23817000</v>
      </c>
      <c r="E32" s="1573">
        <v>2</v>
      </c>
      <c r="F32" s="1576">
        <v>26280250</v>
      </c>
      <c r="G32" s="1573">
        <v>1</v>
      </c>
      <c r="H32" s="1574">
        <v>10000000</v>
      </c>
      <c r="I32" s="1579">
        <f t="shared" si="4"/>
        <v>6</v>
      </c>
      <c r="J32" s="1588">
        <f t="shared" si="4"/>
        <v>60097250</v>
      </c>
      <c r="K32" s="1573">
        <v>1</v>
      </c>
      <c r="L32" s="1574">
        <v>14317000</v>
      </c>
      <c r="M32" s="1573">
        <v>11</v>
      </c>
      <c r="N32" s="1576">
        <v>29693000</v>
      </c>
      <c r="O32" s="1577">
        <v>6</v>
      </c>
      <c r="P32" s="1574">
        <v>5675031</v>
      </c>
      <c r="Q32" s="578">
        <f t="shared" si="6"/>
        <v>18</v>
      </c>
      <c r="R32" s="1588">
        <f t="shared" si="6"/>
        <v>49685031</v>
      </c>
      <c r="S32" s="519"/>
      <c r="T32" s="519"/>
      <c r="U32" s="519"/>
    </row>
    <row r="33" spans="1:21" ht="30.6" x14ac:dyDescent="0.2">
      <c r="A33" s="1572" t="s">
        <v>3445</v>
      </c>
      <c r="B33" s="1564" t="s">
        <v>890</v>
      </c>
      <c r="C33" s="1577">
        <v>13</v>
      </c>
      <c r="D33" s="1574">
        <v>44000000</v>
      </c>
      <c r="E33" s="1573">
        <v>2</v>
      </c>
      <c r="F33" s="1576">
        <v>30000000</v>
      </c>
      <c r="G33" s="1573">
        <v>13</v>
      </c>
      <c r="H33" s="1574">
        <v>35534000</v>
      </c>
      <c r="I33" s="1579">
        <f t="shared" si="4"/>
        <v>28</v>
      </c>
      <c r="J33" s="1588">
        <f t="shared" si="4"/>
        <v>109534000</v>
      </c>
      <c r="K33" s="1573">
        <v>10</v>
      </c>
      <c r="L33" s="1574">
        <v>26250000</v>
      </c>
      <c r="M33" s="1573">
        <v>46</v>
      </c>
      <c r="N33" s="1576">
        <v>75000000</v>
      </c>
      <c r="O33" s="1577">
        <v>17</v>
      </c>
      <c r="P33" s="1574">
        <v>20000000</v>
      </c>
      <c r="Q33" s="578">
        <f t="shared" si="6"/>
        <v>73</v>
      </c>
      <c r="R33" s="1588">
        <f t="shared" si="6"/>
        <v>121250000</v>
      </c>
      <c r="S33" s="519"/>
      <c r="T33" s="519"/>
      <c r="U33" s="519"/>
    </row>
    <row r="34" spans="1:21" x14ac:dyDescent="0.2">
      <c r="A34" s="1572" t="s">
        <v>3446</v>
      </c>
      <c r="B34" s="1564" t="s">
        <v>2112</v>
      </c>
      <c r="C34" s="1577">
        <v>23</v>
      </c>
      <c r="D34" s="1574">
        <v>22706000</v>
      </c>
      <c r="E34" s="1573">
        <v>1</v>
      </c>
      <c r="F34" s="1576">
        <v>20000000</v>
      </c>
      <c r="G34" s="1573">
        <v>20</v>
      </c>
      <c r="H34" s="1574">
        <v>23500000</v>
      </c>
      <c r="I34" s="1579">
        <f t="shared" si="4"/>
        <v>44</v>
      </c>
      <c r="J34" s="1588">
        <f t="shared" si="4"/>
        <v>66206000</v>
      </c>
      <c r="K34" s="1573">
        <v>17</v>
      </c>
      <c r="L34" s="1574">
        <v>19023320</v>
      </c>
      <c r="M34" s="1573">
        <v>55</v>
      </c>
      <c r="N34" s="1576">
        <v>55000000</v>
      </c>
      <c r="O34" s="1577">
        <v>10</v>
      </c>
      <c r="P34" s="1574">
        <v>9948840</v>
      </c>
      <c r="Q34" s="578">
        <f t="shared" si="6"/>
        <v>82</v>
      </c>
      <c r="R34" s="1588">
        <f t="shared" si="6"/>
        <v>83972160</v>
      </c>
      <c r="S34" s="519"/>
      <c r="T34" s="519"/>
      <c r="U34" s="519"/>
    </row>
    <row r="35" spans="1:21" x14ac:dyDescent="0.2">
      <c r="A35" s="1572" t="s">
        <v>14</v>
      </c>
      <c r="B35" s="1564" t="s">
        <v>895</v>
      </c>
      <c r="C35" s="1577">
        <v>34</v>
      </c>
      <c r="D35" s="1574">
        <v>44500000</v>
      </c>
      <c r="E35" s="1573">
        <v>1</v>
      </c>
      <c r="F35" s="1576">
        <v>55325000</v>
      </c>
      <c r="G35" s="1573">
        <v>21</v>
      </c>
      <c r="H35" s="1574">
        <v>35000000</v>
      </c>
      <c r="I35" s="1579">
        <f t="shared" si="4"/>
        <v>56</v>
      </c>
      <c r="J35" s="1588">
        <f t="shared" si="4"/>
        <v>134825000</v>
      </c>
      <c r="K35" s="1573">
        <v>10</v>
      </c>
      <c r="L35" s="1574">
        <v>38000000</v>
      </c>
      <c r="M35" s="1573">
        <v>129</v>
      </c>
      <c r="N35" s="1576">
        <v>100000000</v>
      </c>
      <c r="O35" s="1577">
        <v>11</v>
      </c>
      <c r="P35" s="1574">
        <v>13214900</v>
      </c>
      <c r="Q35" s="578">
        <f t="shared" si="6"/>
        <v>150</v>
      </c>
      <c r="R35" s="1588">
        <f t="shared" si="6"/>
        <v>151214900</v>
      </c>
      <c r="S35" s="519"/>
      <c r="T35" s="519"/>
      <c r="U35" s="519"/>
    </row>
    <row r="36" spans="1:21" x14ac:dyDescent="0.2">
      <c r="A36" s="1572" t="s">
        <v>15</v>
      </c>
      <c r="B36" s="1564" t="s">
        <v>928</v>
      </c>
      <c r="C36" s="1577">
        <v>12</v>
      </c>
      <c r="D36" s="1574">
        <v>13282200</v>
      </c>
      <c r="E36" s="1573">
        <v>3</v>
      </c>
      <c r="F36" s="1576">
        <v>20000000</v>
      </c>
      <c r="G36" s="1573">
        <v>2</v>
      </c>
      <c r="H36" s="1574">
        <v>21000000</v>
      </c>
      <c r="I36" s="1579">
        <f t="shared" si="4"/>
        <v>17</v>
      </c>
      <c r="J36" s="1588">
        <f t="shared" si="4"/>
        <v>54282200</v>
      </c>
      <c r="K36" s="1573">
        <v>7</v>
      </c>
      <c r="L36" s="1574">
        <v>13840440</v>
      </c>
      <c r="M36" s="1573">
        <v>42</v>
      </c>
      <c r="N36" s="1576">
        <v>42000000</v>
      </c>
      <c r="O36" s="1577">
        <v>6</v>
      </c>
      <c r="P36" s="1574">
        <v>9199620</v>
      </c>
      <c r="Q36" s="578">
        <f t="shared" si="6"/>
        <v>55</v>
      </c>
      <c r="R36" s="1588">
        <f t="shared" si="6"/>
        <v>65040060</v>
      </c>
      <c r="S36" s="519"/>
      <c r="T36" s="519"/>
      <c r="U36" s="519"/>
    </row>
    <row r="37" spans="1:21" x14ac:dyDescent="0.2">
      <c r="A37" s="1572" t="s">
        <v>3447</v>
      </c>
      <c r="B37" s="1564" t="s">
        <v>930</v>
      </c>
      <c r="C37" s="1577">
        <v>12</v>
      </c>
      <c r="D37" s="1574">
        <v>23000000</v>
      </c>
      <c r="E37" s="1573">
        <v>3</v>
      </c>
      <c r="F37" s="1576">
        <v>40000000</v>
      </c>
      <c r="G37" s="1573">
        <v>9</v>
      </c>
      <c r="H37" s="1574">
        <v>18250198</v>
      </c>
      <c r="I37" s="1579">
        <f t="shared" si="4"/>
        <v>24</v>
      </c>
      <c r="J37" s="1588">
        <f t="shared" si="4"/>
        <v>81250198</v>
      </c>
      <c r="K37" s="1573">
        <v>6</v>
      </c>
      <c r="L37" s="1574">
        <v>30000000</v>
      </c>
      <c r="M37" s="1573">
        <v>43</v>
      </c>
      <c r="N37" s="1576">
        <v>45000000</v>
      </c>
      <c r="O37" s="1577">
        <v>5</v>
      </c>
      <c r="P37" s="1574">
        <v>5000000</v>
      </c>
      <c r="Q37" s="578">
        <f t="shared" si="6"/>
        <v>54</v>
      </c>
      <c r="R37" s="1588">
        <f t="shared" si="6"/>
        <v>80000000</v>
      </c>
      <c r="S37" s="519"/>
      <c r="T37" s="519"/>
      <c r="U37" s="519"/>
    </row>
    <row r="38" spans="1:21" x14ac:dyDescent="0.2">
      <c r="A38" s="1572" t="s">
        <v>18</v>
      </c>
      <c r="B38" s="1564" t="s">
        <v>934</v>
      </c>
      <c r="C38" s="1577">
        <v>4</v>
      </c>
      <c r="D38" s="1574">
        <v>13153275</v>
      </c>
      <c r="E38" s="1573">
        <v>0</v>
      </c>
      <c r="F38" s="1576">
        <v>9939000</v>
      </c>
      <c r="G38" s="1573">
        <v>1</v>
      </c>
      <c r="H38" s="1574">
        <v>7500000</v>
      </c>
      <c r="I38" s="1579">
        <f t="shared" si="4"/>
        <v>5</v>
      </c>
      <c r="J38" s="1588">
        <f t="shared" si="4"/>
        <v>30592275</v>
      </c>
      <c r="K38" s="1573">
        <v>4</v>
      </c>
      <c r="L38" s="1574">
        <v>14584560</v>
      </c>
      <c r="M38" s="1573">
        <v>5</v>
      </c>
      <c r="N38" s="1576">
        <v>10000000</v>
      </c>
      <c r="O38" s="1577">
        <v>2</v>
      </c>
      <c r="P38" s="1574">
        <v>6000000</v>
      </c>
      <c r="Q38" s="578">
        <f t="shared" si="6"/>
        <v>11</v>
      </c>
      <c r="R38" s="1588">
        <f t="shared" si="6"/>
        <v>30584560</v>
      </c>
      <c r="S38" s="519"/>
      <c r="T38" s="519"/>
      <c r="U38" s="519"/>
    </row>
    <row r="39" spans="1:21" x14ac:dyDescent="0.2">
      <c r="A39" s="1564" t="s">
        <v>3448</v>
      </c>
      <c r="B39" s="1564" t="s">
        <v>3456</v>
      </c>
      <c r="C39" s="1577">
        <v>1</v>
      </c>
      <c r="D39" s="1574">
        <v>2346725</v>
      </c>
      <c r="E39" s="1573">
        <v>1</v>
      </c>
      <c r="F39" s="1576">
        <v>43000000</v>
      </c>
      <c r="G39" s="1573">
        <v>1</v>
      </c>
      <c r="H39" s="1574">
        <v>9999587</v>
      </c>
      <c r="I39" s="1579">
        <f t="shared" si="4"/>
        <v>3</v>
      </c>
      <c r="J39" s="1588">
        <f t="shared" si="4"/>
        <v>55346312</v>
      </c>
      <c r="K39" s="1573">
        <v>0</v>
      </c>
      <c r="L39" s="1574">
        <v>0</v>
      </c>
      <c r="M39" s="1573">
        <v>0</v>
      </c>
      <c r="N39" s="1576">
        <v>95105000</v>
      </c>
      <c r="O39" s="1577">
        <v>1</v>
      </c>
      <c r="P39" s="1574">
        <v>14175000</v>
      </c>
      <c r="Q39" s="578">
        <f t="shared" si="6"/>
        <v>1</v>
      </c>
      <c r="R39" s="1588">
        <f t="shared" si="6"/>
        <v>109280000</v>
      </c>
      <c r="S39" s="519"/>
      <c r="T39" s="519"/>
      <c r="U39" s="519"/>
    </row>
    <row r="40" spans="1:21" ht="7.5" customHeight="1" x14ac:dyDescent="0.2">
      <c r="A40" s="1564"/>
      <c r="B40" s="1564"/>
      <c r="C40" s="1577"/>
      <c r="D40" s="1574"/>
      <c r="E40" s="1577"/>
      <c r="F40" s="1576"/>
      <c r="G40" s="1577"/>
      <c r="H40" s="1574"/>
      <c r="I40" s="1579"/>
      <c r="J40" s="1588"/>
      <c r="K40" s="1577"/>
      <c r="L40" s="1574"/>
      <c r="M40" s="1577"/>
      <c r="N40" s="1576"/>
      <c r="O40" s="1577"/>
      <c r="P40" s="1574"/>
      <c r="Q40" s="578"/>
      <c r="R40" s="1588"/>
      <c r="S40" s="519"/>
      <c r="T40" s="519"/>
      <c r="U40" s="519"/>
    </row>
    <row r="41" spans="1:21" x14ac:dyDescent="0.2">
      <c r="A41" s="519" t="s">
        <v>3399</v>
      </c>
      <c r="B41" s="519"/>
      <c r="C41" s="519"/>
      <c r="D41" s="519"/>
      <c r="E41" s="519"/>
      <c r="F41" s="519"/>
      <c r="G41" s="519"/>
      <c r="H41" s="519"/>
      <c r="I41" s="519"/>
      <c r="J41" s="519"/>
      <c r="K41" s="519"/>
      <c r="L41" s="519"/>
      <c r="M41" s="519"/>
      <c r="N41" s="519"/>
      <c r="O41" s="519"/>
      <c r="P41" s="519"/>
      <c r="Q41" s="519"/>
      <c r="R41" s="519"/>
      <c r="S41" s="519"/>
      <c r="T41" s="519"/>
      <c r="U41" s="519"/>
    </row>
    <row r="42" spans="1:21" x14ac:dyDescent="0.2">
      <c r="A42" s="519"/>
      <c r="B42" s="519"/>
      <c r="C42" s="519"/>
      <c r="D42" s="519"/>
      <c r="E42" s="519"/>
      <c r="F42" s="519"/>
      <c r="G42" s="519"/>
      <c r="H42" s="519"/>
      <c r="I42" s="519"/>
      <c r="J42" s="519"/>
      <c r="K42" s="519"/>
      <c r="L42" s="519"/>
      <c r="M42" s="519"/>
      <c r="N42" s="519"/>
      <c r="O42" s="519"/>
      <c r="P42" s="519"/>
      <c r="Q42" s="519"/>
      <c r="R42" s="519"/>
      <c r="S42" s="519"/>
      <c r="T42" s="519"/>
      <c r="U42" s="519"/>
    </row>
    <row r="43" spans="1:21" x14ac:dyDescent="0.2">
      <c r="A43" s="1300" t="s">
        <v>3453</v>
      </c>
      <c r="B43" s="519"/>
      <c r="C43" s="519"/>
      <c r="D43" s="519"/>
      <c r="E43" s="519"/>
      <c r="F43" s="519"/>
      <c r="G43" s="519"/>
      <c r="H43" s="519"/>
      <c r="I43" s="519"/>
      <c r="J43" s="519"/>
      <c r="K43" s="519"/>
      <c r="L43" s="519"/>
      <c r="M43" s="519"/>
      <c r="N43" s="519"/>
      <c r="O43" s="519"/>
      <c r="P43" s="519"/>
      <c r="Q43" s="519"/>
      <c r="R43" s="519"/>
      <c r="S43" s="519"/>
      <c r="T43" s="519"/>
      <c r="U43" s="519"/>
    </row>
    <row r="44" spans="1:21" x14ac:dyDescent="0.2">
      <c r="A44" s="1300"/>
      <c r="B44" s="519"/>
      <c r="C44" s="519"/>
      <c r="D44" s="519"/>
      <c r="E44" s="519"/>
      <c r="F44" s="519"/>
      <c r="G44" s="519"/>
      <c r="H44" s="519"/>
      <c r="I44" s="519"/>
      <c r="J44" s="519"/>
      <c r="K44" s="519"/>
      <c r="L44" s="519"/>
      <c r="M44" s="519"/>
      <c r="N44" s="519"/>
      <c r="O44" s="519"/>
      <c r="P44" s="519"/>
      <c r="Q44" s="519"/>
      <c r="R44" s="519"/>
      <c r="S44" s="519"/>
      <c r="T44" s="519"/>
      <c r="U44" s="519"/>
    </row>
    <row r="45" spans="1:21" x14ac:dyDescent="0.2">
      <c r="A45" s="1565" t="s">
        <v>0</v>
      </c>
      <c r="B45" s="1565" t="s">
        <v>3380</v>
      </c>
      <c r="C45" s="1565" t="s">
        <v>3457</v>
      </c>
      <c r="D45" s="1565"/>
      <c r="E45" s="1565"/>
      <c r="F45" s="1565"/>
      <c r="G45" s="1565"/>
      <c r="H45" s="1565"/>
      <c r="I45" s="1565"/>
      <c r="J45" s="1565"/>
      <c r="K45" s="519"/>
      <c r="L45" s="519"/>
      <c r="M45" s="519"/>
      <c r="N45" s="519"/>
      <c r="O45" s="519"/>
      <c r="P45" s="519"/>
      <c r="Q45" s="519"/>
      <c r="R45" s="519"/>
      <c r="S45" s="519"/>
      <c r="T45" s="519"/>
      <c r="U45" s="519"/>
    </row>
    <row r="46" spans="1:21" ht="12" x14ac:dyDescent="0.2">
      <c r="A46" s="1566"/>
      <c r="B46" s="1566"/>
      <c r="C46" s="1567" t="s">
        <v>3436</v>
      </c>
      <c r="D46" s="1567" t="s">
        <v>3437</v>
      </c>
      <c r="E46" s="1567" t="s">
        <v>3438</v>
      </c>
      <c r="F46" s="1567" t="s">
        <v>3439</v>
      </c>
      <c r="G46" s="1567" t="s">
        <v>3440</v>
      </c>
      <c r="H46" s="1567" t="s">
        <v>3441</v>
      </c>
      <c r="I46" s="1567" t="s">
        <v>3442</v>
      </c>
      <c r="J46" s="1568" t="s">
        <v>3443</v>
      </c>
      <c r="K46" s="519"/>
      <c r="L46" s="519"/>
      <c r="M46" s="519"/>
      <c r="N46" s="519"/>
      <c r="O46" s="519"/>
      <c r="P46" s="519"/>
      <c r="Q46" s="519"/>
      <c r="R46" s="519"/>
      <c r="S46" s="519"/>
      <c r="T46" s="519"/>
      <c r="U46" s="519"/>
    </row>
    <row r="47" spans="1:21" x14ac:dyDescent="0.2">
      <c r="A47" s="1583" t="s">
        <v>3</v>
      </c>
      <c r="B47" s="1583"/>
      <c r="C47" s="1580">
        <v>95</v>
      </c>
      <c r="D47" s="1586">
        <f>SUM(D48:D58)</f>
        <v>312000000</v>
      </c>
      <c r="E47" s="1580">
        <f>SUM(E48:E58)</f>
        <v>29</v>
      </c>
      <c r="F47" s="1586">
        <f>SUM(F48:F58)</f>
        <v>707618000</v>
      </c>
      <c r="G47" s="1589">
        <f>SUM(G48:G58)</f>
        <v>1156</v>
      </c>
      <c r="H47" s="1586">
        <f>SUM(H48:H58)</f>
        <v>166000000</v>
      </c>
      <c r="I47" s="1580">
        <f t="shared" ref="I47:J58" si="7">C47+E47+G47</f>
        <v>1280</v>
      </c>
      <c r="J47" s="1590">
        <f t="shared" si="7"/>
        <v>1185618000</v>
      </c>
      <c r="K47" s="519"/>
      <c r="L47" s="519"/>
      <c r="M47" s="519"/>
      <c r="N47" s="519"/>
      <c r="O47" s="519"/>
      <c r="P47" s="519"/>
      <c r="Q47" s="519"/>
      <c r="R47" s="519"/>
      <c r="S47" s="519"/>
      <c r="T47" s="519"/>
      <c r="U47" s="519"/>
    </row>
    <row r="48" spans="1:21" x14ac:dyDescent="0.2">
      <c r="A48" s="1572" t="s">
        <v>4</v>
      </c>
      <c r="B48" s="1564" t="s">
        <v>871</v>
      </c>
      <c r="C48" s="1575">
        <v>7</v>
      </c>
      <c r="D48" s="1576">
        <v>27000000</v>
      </c>
      <c r="E48" s="1575">
        <v>2</v>
      </c>
      <c r="F48" s="1576">
        <v>45000000</v>
      </c>
      <c r="G48" s="1591">
        <v>0</v>
      </c>
      <c r="H48" s="1576">
        <v>6000000</v>
      </c>
      <c r="I48" s="932">
        <f t="shared" si="7"/>
        <v>9</v>
      </c>
      <c r="J48" s="1592">
        <f t="shared" si="7"/>
        <v>78000000</v>
      </c>
      <c r="K48" s="519"/>
      <c r="L48" s="519"/>
      <c r="M48" s="519"/>
      <c r="N48" s="519"/>
      <c r="O48" s="519"/>
      <c r="P48" s="519"/>
      <c r="Q48" s="519"/>
      <c r="R48" s="519"/>
      <c r="S48" s="519"/>
      <c r="T48" s="519"/>
      <c r="U48" s="519"/>
    </row>
    <row r="49" spans="1:21" x14ac:dyDescent="0.2">
      <c r="A49" s="1572" t="s">
        <v>3444</v>
      </c>
      <c r="B49" s="1564" t="s">
        <v>872</v>
      </c>
      <c r="C49" s="1575">
        <v>9</v>
      </c>
      <c r="D49" s="1576">
        <v>22000000</v>
      </c>
      <c r="E49" s="1575">
        <v>2</v>
      </c>
      <c r="F49" s="1576">
        <v>41700000</v>
      </c>
      <c r="G49" s="1591">
        <v>0</v>
      </c>
      <c r="H49" s="1576">
        <v>10000000</v>
      </c>
      <c r="I49" s="932">
        <f t="shared" si="7"/>
        <v>11</v>
      </c>
      <c r="J49" s="1592">
        <f t="shared" si="7"/>
        <v>73700000</v>
      </c>
      <c r="K49" s="519"/>
      <c r="L49" s="519"/>
      <c r="M49" s="519"/>
      <c r="N49" s="519"/>
      <c r="O49" s="519"/>
      <c r="P49" s="519"/>
      <c r="Q49" s="519"/>
      <c r="R49" s="519"/>
      <c r="S49" s="519"/>
      <c r="T49" s="519"/>
      <c r="U49" s="519"/>
    </row>
    <row r="50" spans="1:21" x14ac:dyDescent="0.2">
      <c r="A50" s="1572" t="s">
        <v>6</v>
      </c>
      <c r="B50" s="1564" t="s">
        <v>875</v>
      </c>
      <c r="C50" s="1575">
        <v>6</v>
      </c>
      <c r="D50" s="1576">
        <v>14000000</v>
      </c>
      <c r="E50" s="1575">
        <v>2</v>
      </c>
      <c r="F50" s="1576">
        <v>22000000</v>
      </c>
      <c r="G50" s="1591">
        <v>240</v>
      </c>
      <c r="H50" s="1576">
        <v>5000000</v>
      </c>
      <c r="I50" s="932">
        <f t="shared" si="7"/>
        <v>248</v>
      </c>
      <c r="J50" s="1592">
        <f t="shared" si="7"/>
        <v>41000000</v>
      </c>
      <c r="K50" s="519"/>
      <c r="L50" s="519"/>
      <c r="M50" s="519"/>
      <c r="N50" s="519"/>
      <c r="O50" s="519"/>
      <c r="P50" s="519"/>
      <c r="Q50" s="519"/>
      <c r="R50" s="519"/>
      <c r="S50" s="519"/>
      <c r="T50" s="519"/>
      <c r="U50" s="519"/>
    </row>
    <row r="51" spans="1:21" x14ac:dyDescent="0.2">
      <c r="A51" s="1572" t="s">
        <v>9</v>
      </c>
      <c r="B51" s="1564" t="s">
        <v>888</v>
      </c>
      <c r="C51" s="1575">
        <v>2</v>
      </c>
      <c r="D51" s="1576">
        <v>15000000</v>
      </c>
      <c r="E51" s="1575">
        <v>2</v>
      </c>
      <c r="F51" s="1576">
        <v>25600000</v>
      </c>
      <c r="G51" s="1591">
        <v>866</v>
      </c>
      <c r="H51" s="1576">
        <v>16000000</v>
      </c>
      <c r="I51" s="932">
        <f t="shared" si="7"/>
        <v>870</v>
      </c>
      <c r="J51" s="1592">
        <f t="shared" si="7"/>
        <v>56600000</v>
      </c>
      <c r="K51" s="519"/>
      <c r="L51" s="519"/>
      <c r="M51" s="519"/>
      <c r="N51" s="519"/>
      <c r="O51" s="519"/>
      <c r="P51" s="519"/>
      <c r="Q51" s="519"/>
      <c r="R51" s="519"/>
      <c r="S51" s="519"/>
      <c r="T51" s="519"/>
      <c r="U51" s="519"/>
    </row>
    <row r="52" spans="1:21" ht="30.6" x14ac:dyDescent="0.2">
      <c r="A52" s="1572" t="s">
        <v>3445</v>
      </c>
      <c r="B52" s="1564" t="s">
        <v>890</v>
      </c>
      <c r="C52" s="1575">
        <v>9</v>
      </c>
      <c r="D52" s="1576">
        <v>30000000</v>
      </c>
      <c r="E52" s="1575">
        <v>2</v>
      </c>
      <c r="F52" s="1576">
        <v>73600000</v>
      </c>
      <c r="G52" s="1591">
        <v>0</v>
      </c>
      <c r="H52" s="1576">
        <v>19000000</v>
      </c>
      <c r="I52" s="932">
        <f t="shared" si="7"/>
        <v>11</v>
      </c>
      <c r="J52" s="1592">
        <f t="shared" si="7"/>
        <v>122600000</v>
      </c>
      <c r="K52" s="519"/>
      <c r="L52" s="519"/>
      <c r="M52" s="519"/>
      <c r="N52" s="519"/>
      <c r="O52" s="519"/>
      <c r="P52" s="519"/>
      <c r="Q52" s="519"/>
      <c r="R52" s="519"/>
      <c r="S52" s="519"/>
      <c r="T52" s="519"/>
      <c r="U52" s="519"/>
    </row>
    <row r="53" spans="1:21" x14ac:dyDescent="0.2">
      <c r="A53" s="1572" t="s">
        <v>3446</v>
      </c>
      <c r="B53" s="1564" t="s">
        <v>2112</v>
      </c>
      <c r="C53" s="1575">
        <v>22</v>
      </c>
      <c r="D53" s="1576">
        <v>22000000</v>
      </c>
      <c r="E53" s="1575">
        <v>2</v>
      </c>
      <c r="F53" s="1576">
        <v>76400000</v>
      </c>
      <c r="G53" s="1591">
        <v>10</v>
      </c>
      <c r="H53" s="1576">
        <v>10000000</v>
      </c>
      <c r="I53" s="932">
        <f t="shared" si="7"/>
        <v>34</v>
      </c>
      <c r="J53" s="1592">
        <f t="shared" si="7"/>
        <v>108400000</v>
      </c>
      <c r="K53" s="519"/>
      <c r="L53" s="519"/>
      <c r="M53" s="519"/>
      <c r="N53" s="519"/>
      <c r="O53" s="519"/>
      <c r="P53" s="519"/>
      <c r="Q53" s="519"/>
      <c r="R53" s="519"/>
      <c r="S53" s="519"/>
      <c r="T53" s="519"/>
      <c r="U53" s="519"/>
    </row>
    <row r="54" spans="1:21" x14ac:dyDescent="0.2">
      <c r="A54" s="1572" t="s">
        <v>14</v>
      </c>
      <c r="B54" s="1564" t="s">
        <v>895</v>
      </c>
      <c r="C54" s="1575">
        <v>13</v>
      </c>
      <c r="D54" s="1576">
        <v>48100000</v>
      </c>
      <c r="E54" s="1575">
        <v>2</v>
      </c>
      <c r="F54" s="1576">
        <v>166200000</v>
      </c>
      <c r="G54" s="1591">
        <v>0</v>
      </c>
      <c r="H54" s="1576">
        <v>24000000</v>
      </c>
      <c r="I54" s="932">
        <f t="shared" si="7"/>
        <v>15</v>
      </c>
      <c r="J54" s="1592">
        <f t="shared" si="7"/>
        <v>238300000</v>
      </c>
      <c r="K54" s="519"/>
      <c r="L54" s="519"/>
      <c r="M54" s="519"/>
      <c r="N54" s="519"/>
      <c r="O54" s="519"/>
      <c r="P54" s="519"/>
      <c r="Q54" s="519"/>
      <c r="R54" s="519"/>
      <c r="S54" s="519"/>
      <c r="T54" s="519"/>
      <c r="U54" s="519"/>
    </row>
    <row r="55" spans="1:21" x14ac:dyDescent="0.2">
      <c r="A55" s="1572" t="s">
        <v>15</v>
      </c>
      <c r="B55" s="1564" t="s">
        <v>928</v>
      </c>
      <c r="C55" s="1575">
        <v>10</v>
      </c>
      <c r="D55" s="1576">
        <v>15000000</v>
      </c>
      <c r="E55" s="1575">
        <v>2</v>
      </c>
      <c r="F55" s="1576">
        <v>55100000</v>
      </c>
      <c r="G55" s="1591">
        <v>0</v>
      </c>
      <c r="H55" s="1576">
        <v>10000000</v>
      </c>
      <c r="I55" s="932">
        <f t="shared" si="7"/>
        <v>12</v>
      </c>
      <c r="J55" s="1592">
        <f t="shared" si="7"/>
        <v>80100000</v>
      </c>
      <c r="K55" s="519"/>
      <c r="L55" s="519"/>
      <c r="M55" s="519"/>
      <c r="N55" s="519"/>
      <c r="O55" s="519"/>
      <c r="P55" s="519"/>
      <c r="Q55" s="519"/>
      <c r="R55" s="519"/>
      <c r="S55" s="519"/>
      <c r="T55" s="519"/>
      <c r="U55" s="519"/>
    </row>
    <row r="56" spans="1:21" x14ac:dyDescent="0.2">
      <c r="A56" s="1572" t="s">
        <v>3447</v>
      </c>
      <c r="B56" s="1564" t="s">
        <v>930</v>
      </c>
      <c r="C56" s="1575">
        <v>10</v>
      </c>
      <c r="D56" s="1576">
        <v>31000000</v>
      </c>
      <c r="E56" s="1575">
        <v>2</v>
      </c>
      <c r="F56" s="1576">
        <v>55800000</v>
      </c>
      <c r="G56" s="1591">
        <v>5</v>
      </c>
      <c r="H56" s="1576">
        <v>8000000</v>
      </c>
      <c r="I56" s="932">
        <f t="shared" si="7"/>
        <v>17</v>
      </c>
      <c r="J56" s="1592">
        <f t="shared" si="7"/>
        <v>94800000</v>
      </c>
      <c r="K56" s="519"/>
      <c r="L56" s="519"/>
      <c r="M56" s="519"/>
      <c r="N56" s="519"/>
      <c r="O56" s="519"/>
      <c r="P56" s="519"/>
      <c r="Q56" s="519"/>
      <c r="R56" s="519"/>
      <c r="S56" s="519"/>
      <c r="T56" s="519"/>
      <c r="U56" s="519"/>
    </row>
    <row r="57" spans="1:21" x14ac:dyDescent="0.2">
      <c r="A57" s="1572" t="s">
        <v>18</v>
      </c>
      <c r="B57" s="1564" t="s">
        <v>934</v>
      </c>
      <c r="C57" s="1575">
        <v>4</v>
      </c>
      <c r="D57" s="1576">
        <v>14000000</v>
      </c>
      <c r="E57" s="1575">
        <v>1</v>
      </c>
      <c r="F57" s="1576">
        <v>18000000</v>
      </c>
      <c r="G57" s="1591">
        <v>5</v>
      </c>
      <c r="H57" s="1576">
        <v>5000000</v>
      </c>
      <c r="I57" s="932">
        <f t="shared" si="7"/>
        <v>10</v>
      </c>
      <c r="J57" s="1592">
        <f t="shared" si="7"/>
        <v>37000000</v>
      </c>
      <c r="K57" s="519"/>
      <c r="L57" s="519"/>
      <c r="M57" s="519"/>
      <c r="N57" s="519"/>
      <c r="O57" s="519"/>
      <c r="P57" s="519"/>
      <c r="Q57" s="519"/>
      <c r="R57" s="519"/>
      <c r="S57" s="519"/>
      <c r="T57" s="519"/>
      <c r="U57" s="519"/>
    </row>
    <row r="58" spans="1:21" x14ac:dyDescent="0.2">
      <c r="A58" s="1564" t="s">
        <v>3448</v>
      </c>
      <c r="B58" s="1564" t="s">
        <v>3449</v>
      </c>
      <c r="C58" s="1575">
        <v>3</v>
      </c>
      <c r="D58" s="1576">
        <v>73900000</v>
      </c>
      <c r="E58" s="1575">
        <v>10</v>
      </c>
      <c r="F58" s="1576">
        <v>128218000</v>
      </c>
      <c r="G58" s="1591">
        <v>30</v>
      </c>
      <c r="H58" s="1576">
        <v>53000000</v>
      </c>
      <c r="I58" s="932">
        <f t="shared" si="7"/>
        <v>43</v>
      </c>
      <c r="J58" s="1592">
        <f t="shared" si="7"/>
        <v>255118000</v>
      </c>
      <c r="K58" s="519"/>
      <c r="L58" s="519"/>
      <c r="M58" s="519"/>
      <c r="N58" s="519"/>
      <c r="O58" s="519"/>
      <c r="P58" s="519"/>
      <c r="Q58" s="519"/>
      <c r="R58" s="519"/>
      <c r="S58" s="519"/>
      <c r="T58" s="519"/>
      <c r="U58" s="519"/>
    </row>
    <row r="59" spans="1:21" ht="6.75" customHeight="1" x14ac:dyDescent="0.2">
      <c r="A59" s="1564"/>
      <c r="B59" s="1564"/>
      <c r="C59" s="1575"/>
      <c r="D59" s="1576"/>
      <c r="E59" s="1575"/>
      <c r="F59" s="1576"/>
      <c r="G59" s="1575"/>
      <c r="H59" s="1576"/>
      <c r="I59" s="932"/>
      <c r="J59" s="1592"/>
      <c r="K59" s="519"/>
      <c r="L59" s="519"/>
      <c r="M59" s="519"/>
      <c r="N59" s="519"/>
      <c r="O59" s="519"/>
      <c r="P59" s="519"/>
      <c r="Q59" s="519"/>
      <c r="R59" s="519"/>
      <c r="S59" s="519"/>
      <c r="T59" s="519"/>
      <c r="U59" s="519"/>
    </row>
    <row r="60" spans="1:21" x14ac:dyDescent="0.2">
      <c r="A60" s="519" t="s">
        <v>3399</v>
      </c>
      <c r="B60" s="519"/>
      <c r="C60" s="519"/>
      <c r="D60" s="519"/>
      <c r="E60" s="519"/>
      <c r="F60" s="519"/>
      <c r="G60" s="519"/>
      <c r="H60" s="519"/>
      <c r="I60" s="519"/>
      <c r="J60" s="519"/>
      <c r="K60" s="519"/>
      <c r="L60" s="519"/>
      <c r="M60" s="519"/>
      <c r="N60" s="519"/>
      <c r="O60" s="519"/>
      <c r="P60" s="519"/>
      <c r="Q60" s="519"/>
      <c r="R60" s="519"/>
      <c r="S60" s="519"/>
      <c r="T60" s="519"/>
      <c r="U60" s="519"/>
    </row>
    <row r="61" spans="1:21" x14ac:dyDescent="0.2">
      <c r="A61" s="1593"/>
      <c r="B61" s="1594"/>
      <c r="C61" s="1594"/>
      <c r="D61" s="1594"/>
      <c r="E61" s="519"/>
      <c r="F61" s="519"/>
      <c r="G61" s="519"/>
      <c r="H61" s="519"/>
      <c r="I61" s="519"/>
      <c r="J61" s="519"/>
      <c r="K61" s="519"/>
      <c r="L61" s="519"/>
      <c r="M61" s="519"/>
      <c r="N61" s="519"/>
      <c r="O61" s="519"/>
      <c r="P61" s="519"/>
      <c r="Q61" s="519"/>
      <c r="R61" s="519"/>
      <c r="S61" s="519"/>
    </row>
    <row r="62" spans="1:21" ht="7.5" customHeight="1" x14ac:dyDescent="0.2">
      <c r="A62" s="1595"/>
      <c r="B62" s="1594"/>
      <c r="C62" s="1594"/>
      <c r="D62" s="1594"/>
      <c r="E62" s="1594"/>
      <c r="F62" s="1594"/>
      <c r="G62" s="519"/>
      <c r="H62" s="519"/>
      <c r="I62" s="519"/>
      <c r="J62" s="519"/>
      <c r="K62" s="519"/>
      <c r="L62" s="519"/>
      <c r="M62" s="519"/>
      <c r="N62" s="519"/>
      <c r="O62" s="519"/>
      <c r="P62" s="519"/>
      <c r="Q62" s="519"/>
      <c r="R62" s="519"/>
      <c r="S62" s="519"/>
      <c r="T62" s="519"/>
      <c r="U62" s="519"/>
    </row>
    <row r="63" spans="1:21" x14ac:dyDescent="0.2">
      <c r="A63" s="1596"/>
      <c r="B63" s="1596"/>
      <c r="C63" s="1596"/>
      <c r="D63" s="1596"/>
      <c r="E63" s="1596"/>
      <c r="F63" s="1596"/>
      <c r="G63" s="519"/>
      <c r="H63" s="519"/>
      <c r="I63" s="519"/>
      <c r="J63" s="519"/>
      <c r="K63" s="519"/>
      <c r="L63" s="519"/>
      <c r="M63" s="519"/>
      <c r="N63" s="519"/>
      <c r="O63" s="519"/>
      <c r="P63" s="519"/>
      <c r="Q63" s="519"/>
      <c r="R63" s="519"/>
      <c r="S63" s="519"/>
      <c r="T63" s="519"/>
      <c r="U63" s="519"/>
    </row>
    <row r="64" spans="1:21" x14ac:dyDescent="0.2">
      <c r="A64" s="1300"/>
      <c r="B64" s="1597"/>
      <c r="C64" s="1597"/>
      <c r="D64" s="1597"/>
      <c r="E64" s="1597"/>
      <c r="F64" s="1597"/>
      <c r="G64" s="1597"/>
      <c r="H64" s="1597"/>
      <c r="I64" s="1597"/>
      <c r="J64" s="519"/>
      <c r="K64" s="519"/>
      <c r="L64" s="519"/>
      <c r="M64" s="519"/>
      <c r="N64" s="519"/>
      <c r="O64" s="519"/>
      <c r="P64" s="519"/>
      <c r="Q64" s="519"/>
      <c r="R64" s="519"/>
      <c r="S64" s="519"/>
      <c r="T64" s="519"/>
      <c r="U64" s="519"/>
    </row>
    <row r="65" spans="1:21" s="1600" customFormat="1" x14ac:dyDescent="0.2">
      <c r="A65" s="1598"/>
      <c r="B65" s="1598"/>
      <c r="C65" s="1598"/>
      <c r="D65" s="1598"/>
      <c r="E65" s="1598"/>
      <c r="F65" s="1598"/>
      <c r="G65" s="1598"/>
      <c r="H65" s="1598"/>
      <c r="I65" s="1598"/>
      <c r="J65" s="1599"/>
      <c r="K65" s="1599"/>
      <c r="L65" s="1599"/>
      <c r="M65" s="1599"/>
      <c r="N65" s="1599"/>
      <c r="O65" s="1599"/>
      <c r="P65" s="1599"/>
      <c r="Q65" s="1599"/>
      <c r="R65" s="1599"/>
      <c r="S65" s="1599"/>
      <c r="T65" s="1599"/>
      <c r="U65" s="1599"/>
    </row>
    <row r="66" spans="1:21" x14ac:dyDescent="0.2">
      <c r="A66" s="1601"/>
      <c r="B66" s="1602"/>
      <c r="C66" s="1602"/>
      <c r="D66" s="1602"/>
      <c r="E66" s="1602"/>
      <c r="F66" s="1602"/>
      <c r="G66" s="1602"/>
      <c r="H66" s="1602"/>
      <c r="I66" s="1602"/>
      <c r="J66" s="1602"/>
      <c r="K66" s="1602"/>
      <c r="L66" s="1602"/>
      <c r="M66" s="1602"/>
      <c r="N66" s="1602"/>
      <c r="O66" s="1602"/>
      <c r="P66" s="1602"/>
      <c r="Q66" s="1602"/>
      <c r="R66" s="1602"/>
      <c r="S66" s="1602"/>
      <c r="T66" s="1602"/>
      <c r="U66" s="1602"/>
    </row>
    <row r="67" spans="1:21" x14ac:dyDescent="0.2">
      <c r="A67" s="1601"/>
      <c r="B67" s="1603"/>
      <c r="C67" s="1603"/>
      <c r="D67" s="1603"/>
      <c r="E67" s="1603"/>
      <c r="F67" s="1603"/>
      <c r="G67" s="1603"/>
      <c r="H67" s="1603"/>
      <c r="I67" s="1603"/>
      <c r="J67" s="1603"/>
      <c r="K67" s="1603"/>
      <c r="L67" s="1603"/>
      <c r="M67" s="1603"/>
      <c r="N67" s="1603"/>
      <c r="O67" s="1603"/>
      <c r="P67" s="1603"/>
      <c r="Q67" s="1603"/>
      <c r="R67" s="1603"/>
      <c r="S67" s="1603"/>
      <c r="T67" s="1603"/>
      <c r="U67" s="1603"/>
    </row>
    <row r="68" spans="1:21" x14ac:dyDescent="0.2">
      <c r="A68" s="1601"/>
      <c r="B68" s="1604"/>
      <c r="C68" s="1605"/>
      <c r="D68" s="1605"/>
      <c r="E68" s="1605"/>
      <c r="F68" s="1605"/>
      <c r="G68" s="1605"/>
      <c r="H68" s="1605"/>
      <c r="I68" s="1605"/>
      <c r="J68" s="1605"/>
      <c r="K68" s="1605"/>
      <c r="L68" s="1605"/>
      <c r="M68" s="1605"/>
      <c r="N68" s="1605"/>
      <c r="O68" s="1605"/>
      <c r="P68" s="1605"/>
      <c r="Q68" s="1605"/>
      <c r="R68" s="1605"/>
      <c r="S68" s="1605"/>
      <c r="T68" s="1605"/>
      <c r="U68" s="1605"/>
    </row>
    <row r="69" spans="1:21" x14ac:dyDescent="0.2">
      <c r="A69" s="1606"/>
      <c r="B69" s="1607"/>
      <c r="C69" s="1608"/>
      <c r="D69" s="1609"/>
      <c r="E69" s="1609"/>
      <c r="F69" s="1605"/>
      <c r="G69" s="1608"/>
      <c r="H69" s="1609"/>
      <c r="I69" s="1609"/>
      <c r="J69" s="1605"/>
      <c r="K69" s="1610"/>
      <c r="L69" s="1610"/>
      <c r="M69" s="1610"/>
      <c r="N69" s="1605"/>
      <c r="O69" s="1611"/>
      <c r="P69" s="1611"/>
      <c r="Q69" s="1611"/>
      <c r="R69" s="1605"/>
      <c r="S69" s="1611"/>
      <c r="T69" s="1611"/>
      <c r="U69" s="1611"/>
    </row>
    <row r="70" spans="1:21" x14ac:dyDescent="0.2">
      <c r="A70" s="1606"/>
      <c r="B70" s="1607"/>
      <c r="C70" s="1608"/>
      <c r="D70" s="1609"/>
      <c r="E70" s="1609"/>
      <c r="F70" s="1605"/>
      <c r="G70" s="1608"/>
      <c r="H70" s="1609"/>
      <c r="I70" s="1609"/>
      <c r="J70" s="1605"/>
      <c r="K70" s="1611"/>
      <c r="L70" s="1611"/>
      <c r="M70" s="1611"/>
      <c r="N70" s="1605"/>
      <c r="O70" s="1611"/>
      <c r="P70" s="1611"/>
      <c r="Q70" s="1611"/>
      <c r="R70" s="1605"/>
      <c r="S70" s="1611"/>
      <c r="T70" s="1611"/>
      <c r="U70" s="1611"/>
    </row>
    <row r="71" spans="1:21" x14ac:dyDescent="0.2">
      <c r="A71" s="1606"/>
      <c r="B71" s="1607"/>
      <c r="C71" s="1608"/>
      <c r="D71" s="1609"/>
      <c r="E71" s="1609"/>
      <c r="F71" s="1605"/>
      <c r="G71" s="1608"/>
      <c r="H71" s="1609"/>
      <c r="I71" s="1609"/>
      <c r="J71" s="1605"/>
      <c r="K71" s="1610"/>
      <c r="L71" s="1610"/>
      <c r="M71" s="1610"/>
      <c r="N71" s="1605"/>
      <c r="O71" s="1611"/>
      <c r="P71" s="1611"/>
      <c r="Q71" s="1611"/>
      <c r="R71" s="1605"/>
      <c r="S71" s="1611"/>
      <c r="T71" s="1611"/>
      <c r="U71" s="1611"/>
    </row>
    <row r="72" spans="1:21" x14ac:dyDescent="0.2">
      <c r="A72" s="1606"/>
      <c r="B72" s="1607"/>
      <c r="C72" s="1608"/>
      <c r="D72" s="1609"/>
      <c r="E72" s="1609"/>
      <c r="F72" s="1605"/>
      <c r="G72" s="1608"/>
      <c r="H72" s="1609"/>
      <c r="I72" s="1609"/>
      <c r="J72" s="1605"/>
      <c r="K72" s="1610"/>
      <c r="L72" s="1610"/>
      <c r="M72" s="1610"/>
      <c r="N72" s="1605"/>
      <c r="O72" s="1610"/>
      <c r="P72" s="1610"/>
      <c r="Q72" s="1610"/>
      <c r="R72" s="1605"/>
      <c r="S72" s="1611"/>
      <c r="T72" s="1611"/>
      <c r="U72" s="1611"/>
    </row>
    <row r="73" spans="1:21" x14ac:dyDescent="0.2">
      <c r="A73" s="1606"/>
      <c r="B73" s="1607"/>
      <c r="C73" s="1608"/>
      <c r="D73" s="1609"/>
      <c r="E73" s="1609"/>
      <c r="F73" s="1605"/>
      <c r="G73" s="1608"/>
      <c r="H73" s="1609"/>
      <c r="I73" s="1609"/>
      <c r="J73" s="1605"/>
      <c r="K73" s="1610"/>
      <c r="L73" s="1610"/>
      <c r="M73" s="1610"/>
      <c r="N73" s="1605"/>
      <c r="O73" s="1610"/>
      <c r="P73" s="1610"/>
      <c r="Q73" s="1610"/>
      <c r="R73" s="1605"/>
      <c r="S73" s="1611"/>
      <c r="T73" s="1611"/>
      <c r="U73" s="1611"/>
    </row>
    <row r="74" spans="1:21" x14ac:dyDescent="0.2">
      <c r="A74" s="1606"/>
      <c r="B74" s="1607"/>
      <c r="C74" s="1608"/>
      <c r="D74" s="1609"/>
      <c r="E74" s="1609"/>
      <c r="F74" s="1605"/>
      <c r="G74" s="1608"/>
      <c r="H74" s="1609"/>
      <c r="I74" s="1609"/>
      <c r="J74" s="1605"/>
      <c r="K74" s="1610"/>
      <c r="L74" s="1610"/>
      <c r="M74" s="1610"/>
      <c r="N74" s="1605"/>
      <c r="O74" s="1611"/>
      <c r="P74" s="1611"/>
      <c r="Q74" s="1611"/>
      <c r="R74" s="1605"/>
      <c r="S74" s="1611"/>
      <c r="T74" s="1611"/>
      <c r="U74" s="1611"/>
    </row>
    <row r="75" spans="1:21" x14ac:dyDescent="0.2">
      <c r="A75" s="1606"/>
      <c r="B75" s="1607"/>
      <c r="C75" s="1608"/>
      <c r="D75" s="1611"/>
      <c r="E75" s="1611"/>
      <c r="F75" s="1605"/>
      <c r="G75" s="1608"/>
      <c r="H75" s="1611"/>
      <c r="I75" s="1611"/>
      <c r="J75" s="1605"/>
      <c r="K75" s="1611"/>
      <c r="L75" s="1611"/>
      <c r="M75" s="1611"/>
      <c r="N75" s="1605"/>
      <c r="O75" s="1611"/>
      <c r="P75" s="1611"/>
      <c r="Q75" s="1611"/>
      <c r="R75" s="1605"/>
      <c r="S75" s="1611"/>
      <c r="T75" s="1611"/>
      <c r="U75" s="1611"/>
    </row>
    <row r="76" spans="1:21" x14ac:dyDescent="0.2">
      <c r="A76" s="1606"/>
      <c r="B76" s="1607"/>
      <c r="C76" s="1608"/>
      <c r="D76" s="1609"/>
      <c r="E76" s="1609"/>
      <c r="F76" s="1605"/>
      <c r="G76" s="1608"/>
      <c r="H76" s="1609"/>
      <c r="I76" s="1609"/>
      <c r="J76" s="1605"/>
      <c r="K76" s="1610"/>
      <c r="L76" s="1610"/>
      <c r="M76" s="1610"/>
      <c r="N76" s="1605"/>
      <c r="O76" s="1610"/>
      <c r="P76" s="1610"/>
      <c r="Q76" s="1610"/>
      <c r="R76" s="1605"/>
      <c r="S76" s="1611"/>
      <c r="T76" s="1611"/>
      <c r="U76" s="1611"/>
    </row>
    <row r="77" spans="1:21" x14ac:dyDescent="0.2">
      <c r="A77" s="1606"/>
      <c r="B77" s="1607"/>
      <c r="C77" s="1608"/>
      <c r="D77" s="1609"/>
      <c r="E77" s="1609"/>
      <c r="F77" s="1605"/>
      <c r="G77" s="1608"/>
      <c r="H77" s="1609"/>
      <c r="I77" s="1609"/>
      <c r="J77" s="1605"/>
      <c r="K77" s="1610"/>
      <c r="L77" s="1610"/>
      <c r="M77" s="1610"/>
      <c r="N77" s="1605"/>
      <c r="O77" s="1610"/>
      <c r="P77" s="1610"/>
      <c r="Q77" s="1610"/>
      <c r="R77" s="1605"/>
      <c r="S77" s="1611"/>
      <c r="T77" s="1611"/>
      <c r="U77" s="1611"/>
    </row>
    <row r="78" spans="1:21" x14ac:dyDescent="0.2">
      <c r="A78" s="1606"/>
      <c r="B78" s="1607"/>
      <c r="C78" s="1608"/>
      <c r="D78" s="1609"/>
      <c r="E78" s="1609"/>
      <c r="F78" s="1605"/>
      <c r="G78" s="1608"/>
      <c r="H78" s="1609"/>
      <c r="I78" s="1609"/>
      <c r="J78" s="1605"/>
      <c r="K78" s="1610"/>
      <c r="L78" s="1610"/>
      <c r="M78" s="1610"/>
      <c r="N78" s="1605"/>
      <c r="O78" s="1611"/>
      <c r="P78" s="1611"/>
      <c r="Q78" s="1611"/>
      <c r="R78" s="1605"/>
      <c r="S78" s="1611"/>
      <c r="T78" s="1611"/>
      <c r="U78" s="1611"/>
    </row>
    <row r="79" spans="1:21" x14ac:dyDescent="0.2">
      <c r="A79" s="1606"/>
      <c r="B79" s="1607"/>
      <c r="C79" s="1608"/>
      <c r="D79" s="1609"/>
      <c r="E79" s="1609"/>
      <c r="F79" s="1605"/>
      <c r="G79" s="1608"/>
      <c r="H79" s="1609"/>
      <c r="I79" s="1609"/>
      <c r="J79" s="1605"/>
      <c r="K79" s="1611"/>
      <c r="L79" s="1611"/>
      <c r="M79" s="1611"/>
      <c r="N79" s="1605"/>
      <c r="O79" s="1611"/>
      <c r="P79" s="1611"/>
      <c r="Q79" s="1611"/>
      <c r="R79" s="1605"/>
      <c r="S79" s="1611"/>
      <c r="T79" s="1611"/>
      <c r="U79" s="1611"/>
    </row>
    <row r="80" spans="1:21" x14ac:dyDescent="0.2">
      <c r="A80" s="1606"/>
      <c r="B80" s="1607"/>
      <c r="C80" s="1608"/>
      <c r="D80" s="1609"/>
      <c r="E80" s="1609"/>
      <c r="F80" s="1605"/>
      <c r="G80" s="1608"/>
      <c r="H80" s="1609"/>
      <c r="I80" s="1609"/>
      <c r="J80" s="1605"/>
      <c r="K80" s="1610"/>
      <c r="L80" s="1610"/>
      <c r="M80" s="1610"/>
      <c r="N80" s="1605"/>
      <c r="O80" s="1611"/>
      <c r="P80" s="1611"/>
      <c r="Q80" s="1611"/>
      <c r="R80" s="1605"/>
      <c r="S80" s="1611"/>
      <c r="T80" s="1611"/>
      <c r="U80" s="1611"/>
    </row>
    <row r="81" spans="1:21" x14ac:dyDescent="0.2">
      <c r="A81" s="1606"/>
      <c r="B81" s="1607"/>
      <c r="C81" s="1608"/>
      <c r="D81" s="1609"/>
      <c r="E81" s="1609"/>
      <c r="F81" s="1605"/>
      <c r="G81" s="1608"/>
      <c r="H81" s="1609"/>
      <c r="I81" s="1609"/>
      <c r="J81" s="1605"/>
      <c r="K81" s="1610"/>
      <c r="L81" s="1610"/>
      <c r="M81" s="1610"/>
      <c r="N81" s="1605"/>
      <c r="O81" s="1611"/>
      <c r="P81" s="1611"/>
      <c r="Q81" s="1611"/>
      <c r="R81" s="1605"/>
      <c r="S81" s="1611"/>
      <c r="T81" s="1611"/>
      <c r="U81" s="1611"/>
    </row>
    <row r="82" spans="1:21" x14ac:dyDescent="0.2">
      <c r="A82" s="1606"/>
      <c r="B82" s="1607"/>
      <c r="C82" s="1608"/>
      <c r="D82" s="1609"/>
      <c r="E82" s="1609"/>
      <c r="F82" s="1605"/>
      <c r="G82" s="1608"/>
      <c r="H82" s="1609"/>
      <c r="I82" s="1609"/>
      <c r="J82" s="1605"/>
      <c r="K82" s="1610"/>
      <c r="L82" s="1610"/>
      <c r="M82" s="1610"/>
      <c r="N82" s="1605"/>
      <c r="O82" s="1610"/>
      <c r="P82" s="1610"/>
      <c r="Q82" s="1610"/>
      <c r="R82" s="1605"/>
      <c r="S82" s="1611"/>
      <c r="T82" s="1611"/>
      <c r="U82" s="1611"/>
    </row>
    <row r="83" spans="1:21" x14ac:dyDescent="0.2">
      <c r="A83" s="1606"/>
      <c r="B83" s="1607"/>
      <c r="C83" s="1608"/>
      <c r="D83" s="1609"/>
      <c r="E83" s="1609"/>
      <c r="F83" s="1605"/>
      <c r="G83" s="1608"/>
      <c r="H83" s="1609"/>
      <c r="I83" s="1609"/>
      <c r="J83" s="1605"/>
      <c r="K83" s="1610"/>
      <c r="L83" s="1610"/>
      <c r="M83" s="1610"/>
      <c r="N83" s="1605"/>
      <c r="O83" s="1610"/>
      <c r="P83" s="1610"/>
      <c r="Q83" s="1610"/>
      <c r="R83" s="1605"/>
      <c r="S83" s="1611"/>
      <c r="T83" s="1611"/>
      <c r="U83" s="1611"/>
    </row>
    <row r="84" spans="1:21" x14ac:dyDescent="0.2">
      <c r="A84" s="1606"/>
      <c r="B84" s="1607"/>
      <c r="C84" s="1608"/>
      <c r="D84" s="1609"/>
      <c r="E84" s="1609"/>
      <c r="F84" s="1605"/>
      <c r="G84" s="1608"/>
      <c r="H84" s="1609"/>
      <c r="I84" s="1609"/>
      <c r="J84" s="1605"/>
      <c r="K84" s="1610"/>
      <c r="L84" s="1610"/>
      <c r="M84" s="1610"/>
      <c r="N84" s="1605"/>
      <c r="O84" s="1610"/>
      <c r="P84" s="1610"/>
      <c r="Q84" s="1610"/>
      <c r="R84" s="1605"/>
      <c r="S84" s="1611"/>
      <c r="T84" s="1611"/>
      <c r="U84" s="1611"/>
    </row>
    <row r="85" spans="1:21" x14ac:dyDescent="0.2">
      <c r="A85" s="1048"/>
      <c r="B85" s="1612"/>
      <c r="C85" s="1613"/>
      <c r="D85" s="1614"/>
      <c r="E85" s="1615"/>
      <c r="F85" s="1616"/>
      <c r="G85" s="1617"/>
      <c r="H85" s="1618"/>
      <c r="I85" s="1619"/>
      <c r="J85" s="1617"/>
      <c r="K85" s="1617"/>
      <c r="L85" s="1617"/>
      <c r="M85" s="1620"/>
      <c r="N85" s="1617"/>
      <c r="O85" s="1617"/>
      <c r="P85" s="1617"/>
      <c r="Q85" s="1620"/>
      <c r="R85" s="1617"/>
      <c r="S85" s="1617"/>
      <c r="T85" s="1617"/>
      <c r="U85" s="1619"/>
    </row>
    <row r="86" spans="1:21" x14ac:dyDescent="0.2">
      <c r="A86" s="2"/>
      <c r="B86" s="1616"/>
      <c r="C86" s="1617"/>
      <c r="D86" s="1618"/>
      <c r="E86" s="1619"/>
      <c r="F86" s="1616"/>
      <c r="G86" s="1617"/>
      <c r="H86" s="1618"/>
      <c r="I86" s="1619"/>
      <c r="J86" s="1617"/>
      <c r="K86" s="1617"/>
      <c r="L86" s="1617"/>
      <c r="M86" s="1620"/>
      <c r="N86" s="1617"/>
      <c r="O86" s="1617"/>
      <c r="P86" s="1617"/>
      <c r="Q86" s="1620"/>
      <c r="R86" s="1617"/>
      <c r="S86" s="1617"/>
      <c r="T86" s="1617"/>
      <c r="U86" s="1619"/>
    </row>
    <row r="87" spans="1:21" x14ac:dyDescent="0.2">
      <c r="A87" s="519"/>
      <c r="B87" s="519"/>
      <c r="C87" s="519"/>
      <c r="D87" s="519"/>
      <c r="E87" s="519"/>
      <c r="F87" s="519"/>
      <c r="G87" s="519"/>
      <c r="H87" s="519"/>
      <c r="I87" s="519"/>
      <c r="J87" s="519"/>
      <c r="K87" s="519"/>
      <c r="L87" s="519"/>
      <c r="M87" s="519"/>
      <c r="N87" s="519"/>
      <c r="O87" s="519"/>
      <c r="P87" s="519"/>
      <c r="Q87" s="519"/>
      <c r="R87" s="519"/>
      <c r="S87" s="519"/>
      <c r="T87" s="519"/>
      <c r="U87" s="519"/>
    </row>
    <row r="88" spans="1:21" x14ac:dyDescent="0.2">
      <c r="A88" s="519"/>
      <c r="B88" s="519"/>
      <c r="C88" s="519"/>
      <c r="D88" s="519"/>
      <c r="E88" s="519"/>
      <c r="F88" s="519"/>
      <c r="G88" s="519"/>
      <c r="H88" s="519"/>
      <c r="I88" s="519"/>
      <c r="J88" s="519"/>
      <c r="K88" s="519"/>
      <c r="L88" s="519"/>
      <c r="M88" s="519"/>
      <c r="N88" s="519"/>
      <c r="O88" s="519"/>
      <c r="P88" s="519"/>
      <c r="Q88" s="519"/>
      <c r="R88" s="519"/>
      <c r="S88" s="519"/>
      <c r="T88" s="519"/>
      <c r="U88" s="519"/>
    </row>
    <row r="89" spans="1:21" x14ac:dyDescent="0.2">
      <c r="A89" s="519"/>
      <c r="B89" s="519"/>
      <c r="C89" s="519"/>
      <c r="D89" s="519"/>
      <c r="E89" s="519"/>
      <c r="F89" s="519"/>
      <c r="G89" s="519"/>
      <c r="H89" s="519"/>
      <c r="I89" s="519"/>
      <c r="J89" s="519"/>
      <c r="K89" s="519"/>
      <c r="L89" s="519"/>
      <c r="M89" s="519"/>
      <c r="N89" s="519"/>
      <c r="O89" s="519"/>
      <c r="P89" s="519"/>
      <c r="Q89" s="519"/>
      <c r="R89" s="519"/>
      <c r="S89" s="519"/>
      <c r="T89" s="519"/>
      <c r="U89" s="519"/>
    </row>
    <row r="90" spans="1:21" x14ac:dyDescent="0.2">
      <c r="A90" s="519"/>
      <c r="B90" s="519"/>
      <c r="C90" s="519"/>
      <c r="D90" s="519"/>
      <c r="E90" s="519"/>
      <c r="F90" s="519"/>
      <c r="G90" s="519"/>
      <c r="H90" s="519"/>
      <c r="I90" s="519"/>
      <c r="J90" s="519"/>
      <c r="K90" s="519"/>
      <c r="L90" s="519"/>
      <c r="M90" s="519"/>
      <c r="N90" s="519"/>
      <c r="O90" s="519"/>
      <c r="P90" s="519"/>
      <c r="Q90" s="519"/>
      <c r="R90" s="519"/>
      <c r="S90" s="519"/>
      <c r="T90" s="519"/>
      <c r="U90" s="519"/>
    </row>
    <row r="91" spans="1:21" x14ac:dyDescent="0.2">
      <c r="A91" s="519"/>
      <c r="B91" s="519"/>
      <c r="C91" s="519"/>
      <c r="D91" s="519"/>
      <c r="E91" s="519"/>
      <c r="F91" s="519"/>
      <c r="G91" s="519"/>
      <c r="H91" s="519"/>
      <c r="I91" s="519"/>
      <c r="J91" s="519"/>
      <c r="K91" s="519"/>
      <c r="L91" s="519"/>
      <c r="M91" s="519"/>
      <c r="N91" s="519"/>
      <c r="O91" s="519"/>
      <c r="P91" s="519"/>
      <c r="Q91" s="519"/>
      <c r="R91" s="519"/>
      <c r="S91" s="519"/>
      <c r="T91" s="519"/>
      <c r="U91" s="519"/>
    </row>
    <row r="92" spans="1:21" x14ac:dyDescent="0.2">
      <c r="A92" s="519"/>
      <c r="B92" s="519"/>
      <c r="C92" s="519"/>
      <c r="D92" s="519"/>
      <c r="E92" s="519"/>
      <c r="F92" s="519"/>
      <c r="G92" s="519"/>
      <c r="H92" s="519"/>
      <c r="I92" s="519"/>
      <c r="J92" s="519"/>
      <c r="K92" s="519"/>
      <c r="L92" s="519"/>
      <c r="M92" s="519"/>
      <c r="N92" s="519"/>
      <c r="O92" s="519"/>
      <c r="P92" s="519"/>
      <c r="Q92" s="519"/>
      <c r="R92" s="519"/>
      <c r="S92" s="519"/>
      <c r="T92" s="519"/>
      <c r="U92" s="519"/>
    </row>
    <row r="93" spans="1:21" x14ac:dyDescent="0.2">
      <c r="A93" s="519"/>
      <c r="B93" s="519"/>
      <c r="C93" s="519"/>
      <c r="D93" s="519"/>
      <c r="E93" s="519"/>
      <c r="F93" s="519"/>
      <c r="G93" s="519"/>
      <c r="H93" s="519"/>
      <c r="I93" s="519"/>
      <c r="J93" s="519"/>
      <c r="K93" s="519"/>
      <c r="L93" s="519"/>
      <c r="M93" s="519"/>
      <c r="N93" s="519"/>
      <c r="O93" s="519"/>
      <c r="P93" s="519"/>
      <c r="Q93" s="519"/>
      <c r="R93" s="519"/>
      <c r="S93" s="519"/>
      <c r="T93" s="519"/>
      <c r="U93" s="519"/>
    </row>
    <row r="94" spans="1:21" x14ac:dyDescent="0.2">
      <c r="A94" s="519"/>
      <c r="B94" s="519"/>
      <c r="C94" s="519"/>
      <c r="D94" s="519"/>
      <c r="E94" s="519"/>
      <c r="F94" s="519"/>
      <c r="G94" s="519"/>
      <c r="H94" s="519"/>
      <c r="I94" s="519"/>
      <c r="J94" s="519"/>
      <c r="K94" s="519"/>
      <c r="L94" s="519"/>
      <c r="M94" s="519"/>
      <c r="N94" s="519"/>
      <c r="O94" s="519"/>
      <c r="P94" s="519"/>
      <c r="Q94" s="519"/>
      <c r="R94" s="519"/>
      <c r="S94" s="519"/>
      <c r="T94" s="519"/>
      <c r="U94" s="519"/>
    </row>
    <row r="95" spans="1:21" x14ac:dyDescent="0.2">
      <c r="A95" s="519"/>
      <c r="B95" s="519"/>
      <c r="C95" s="519"/>
      <c r="D95" s="519"/>
      <c r="E95" s="519"/>
      <c r="F95" s="519"/>
      <c r="G95" s="519"/>
      <c r="H95" s="519"/>
      <c r="I95" s="519"/>
      <c r="J95" s="519"/>
      <c r="K95" s="519"/>
      <c r="L95" s="519"/>
      <c r="M95" s="519"/>
      <c r="N95" s="519"/>
      <c r="O95" s="519"/>
      <c r="P95" s="519"/>
      <c r="Q95" s="519"/>
      <c r="R95" s="519"/>
      <c r="S95" s="519"/>
      <c r="T95" s="519"/>
      <c r="U95" s="519"/>
    </row>
    <row r="96" spans="1:21" x14ac:dyDescent="0.2">
      <c r="A96" s="519"/>
      <c r="B96" s="519"/>
      <c r="C96" s="519"/>
      <c r="D96" s="519"/>
      <c r="E96" s="519"/>
      <c r="F96" s="519"/>
      <c r="G96" s="519"/>
      <c r="H96" s="519"/>
      <c r="I96" s="519"/>
      <c r="J96" s="519"/>
      <c r="K96" s="519"/>
      <c r="L96" s="519"/>
      <c r="M96" s="519"/>
      <c r="N96" s="519"/>
      <c r="O96" s="519"/>
      <c r="P96" s="519"/>
      <c r="Q96" s="519"/>
      <c r="R96" s="519"/>
      <c r="S96" s="519"/>
      <c r="T96" s="519"/>
      <c r="U96" s="519"/>
    </row>
    <row r="97" spans="1:21" x14ac:dyDescent="0.2">
      <c r="A97" s="519"/>
      <c r="B97" s="519"/>
      <c r="C97" s="519"/>
      <c r="D97" s="519"/>
      <c r="E97" s="519"/>
      <c r="F97" s="519"/>
      <c r="G97" s="519"/>
      <c r="H97" s="519"/>
      <c r="I97" s="519"/>
      <c r="J97" s="519"/>
      <c r="K97" s="519"/>
      <c r="L97" s="519"/>
      <c r="M97" s="519"/>
      <c r="N97" s="519"/>
      <c r="O97" s="519"/>
      <c r="P97" s="519"/>
      <c r="Q97" s="519"/>
      <c r="R97" s="519"/>
      <c r="S97" s="519"/>
      <c r="T97" s="519"/>
      <c r="U97" s="519"/>
    </row>
    <row r="98" spans="1:21" x14ac:dyDescent="0.2">
      <c r="A98" s="519"/>
      <c r="B98" s="519"/>
      <c r="C98" s="519"/>
      <c r="D98" s="519"/>
      <c r="E98" s="519"/>
      <c r="F98" s="519"/>
      <c r="G98" s="519"/>
      <c r="H98" s="519"/>
      <c r="I98" s="519"/>
      <c r="J98" s="519"/>
      <c r="K98" s="519"/>
      <c r="L98" s="519"/>
      <c r="M98" s="519"/>
      <c r="N98" s="519"/>
      <c r="O98" s="519"/>
      <c r="P98" s="519"/>
      <c r="Q98" s="519"/>
      <c r="R98" s="519"/>
      <c r="S98" s="519"/>
      <c r="T98" s="519"/>
      <c r="U98" s="519"/>
    </row>
    <row r="99" spans="1:21" x14ac:dyDescent="0.2">
      <c r="A99" s="519"/>
      <c r="B99" s="519"/>
      <c r="C99" s="519"/>
      <c r="D99" s="519"/>
      <c r="E99" s="519"/>
      <c r="F99" s="519"/>
      <c r="G99" s="519"/>
      <c r="H99" s="519"/>
      <c r="I99" s="519"/>
      <c r="J99" s="519"/>
      <c r="K99" s="519"/>
      <c r="L99" s="519"/>
      <c r="M99" s="519"/>
      <c r="N99" s="519"/>
      <c r="O99" s="519"/>
      <c r="P99" s="519"/>
      <c r="Q99" s="519"/>
      <c r="R99" s="519"/>
      <c r="S99" s="519"/>
      <c r="T99" s="519"/>
      <c r="U99" s="519"/>
    </row>
    <row r="100" spans="1:21" x14ac:dyDescent="0.2">
      <c r="A100" s="519"/>
      <c r="B100" s="519"/>
      <c r="C100" s="519"/>
      <c r="D100" s="519"/>
      <c r="E100" s="519"/>
      <c r="F100" s="519"/>
      <c r="G100" s="519"/>
      <c r="H100" s="519"/>
      <c r="I100" s="519"/>
      <c r="J100" s="519"/>
      <c r="K100" s="519"/>
      <c r="L100" s="519"/>
      <c r="M100" s="519"/>
      <c r="N100" s="519"/>
      <c r="O100" s="519"/>
      <c r="P100" s="519"/>
      <c r="Q100" s="519"/>
      <c r="R100" s="519"/>
      <c r="S100" s="519"/>
      <c r="T100" s="519"/>
      <c r="U100" s="519"/>
    </row>
    <row r="101" spans="1:21" x14ac:dyDescent="0.2">
      <c r="A101" s="519"/>
      <c r="B101" s="519"/>
      <c r="C101" s="519"/>
      <c r="D101" s="519"/>
      <c r="E101" s="519"/>
      <c r="F101" s="519"/>
      <c r="G101" s="519"/>
      <c r="H101" s="519"/>
      <c r="I101" s="519"/>
      <c r="J101" s="519"/>
      <c r="K101" s="519"/>
      <c r="L101" s="519"/>
      <c r="M101" s="519"/>
      <c r="N101" s="519"/>
      <c r="O101" s="519"/>
      <c r="P101" s="519"/>
      <c r="Q101" s="519"/>
      <c r="R101" s="519"/>
      <c r="S101" s="519"/>
      <c r="T101" s="519"/>
      <c r="U101" s="519"/>
    </row>
    <row r="102" spans="1:21" x14ac:dyDescent="0.2">
      <c r="A102" s="519"/>
      <c r="B102" s="519"/>
      <c r="C102" s="519"/>
      <c r="D102" s="519"/>
      <c r="E102" s="519"/>
      <c r="F102" s="519"/>
      <c r="G102" s="519"/>
      <c r="H102" s="519"/>
      <c r="I102" s="519"/>
      <c r="J102" s="519"/>
      <c r="K102" s="519"/>
      <c r="L102" s="519"/>
      <c r="M102" s="519"/>
      <c r="N102" s="519"/>
      <c r="O102" s="519"/>
      <c r="P102" s="519"/>
      <c r="Q102" s="519"/>
      <c r="R102" s="519"/>
      <c r="S102" s="519"/>
      <c r="T102" s="519"/>
      <c r="U102" s="519"/>
    </row>
    <row r="103" spans="1:21" x14ac:dyDescent="0.2">
      <c r="A103" s="519"/>
      <c r="B103" s="519"/>
      <c r="C103" s="519"/>
      <c r="D103" s="519"/>
      <c r="E103" s="519"/>
      <c r="F103" s="519"/>
      <c r="G103" s="519"/>
      <c r="H103" s="519"/>
      <c r="I103" s="519"/>
      <c r="J103" s="519"/>
      <c r="K103" s="519"/>
      <c r="L103" s="519"/>
      <c r="M103" s="519"/>
      <c r="N103" s="519"/>
      <c r="O103" s="519"/>
      <c r="P103" s="519"/>
      <c r="Q103" s="519"/>
      <c r="R103" s="519"/>
      <c r="S103" s="519"/>
      <c r="T103" s="519"/>
      <c r="U103" s="519"/>
    </row>
    <row r="104" spans="1:21" x14ac:dyDescent="0.2">
      <c r="A104" s="519"/>
      <c r="B104" s="519"/>
      <c r="C104" s="519"/>
      <c r="D104" s="519"/>
      <c r="E104" s="519"/>
      <c r="F104" s="519"/>
      <c r="G104" s="519"/>
      <c r="H104" s="519"/>
      <c r="I104" s="519"/>
      <c r="J104" s="519"/>
      <c r="K104" s="519"/>
      <c r="L104" s="519"/>
      <c r="M104" s="519"/>
      <c r="N104" s="519"/>
      <c r="O104" s="519"/>
      <c r="P104" s="519"/>
      <c r="Q104" s="519"/>
      <c r="R104" s="519"/>
      <c r="S104" s="519"/>
      <c r="T104" s="519"/>
      <c r="U104" s="519"/>
    </row>
    <row r="105" spans="1:21" x14ac:dyDescent="0.2">
      <c r="A105" s="519"/>
      <c r="B105" s="519"/>
      <c r="C105" s="519"/>
      <c r="D105" s="519"/>
      <c r="E105" s="519"/>
      <c r="F105" s="519"/>
      <c r="G105" s="519"/>
      <c r="H105" s="519"/>
      <c r="I105" s="519"/>
      <c r="J105" s="519"/>
      <c r="K105" s="519"/>
      <c r="L105" s="519"/>
      <c r="M105" s="519"/>
      <c r="N105" s="519"/>
      <c r="O105" s="519"/>
      <c r="P105" s="519"/>
      <c r="Q105" s="519"/>
      <c r="R105" s="519"/>
      <c r="S105" s="519"/>
      <c r="T105" s="519"/>
      <c r="U105" s="519"/>
    </row>
    <row r="106" spans="1:21" x14ac:dyDescent="0.2">
      <c r="A106" s="519"/>
      <c r="B106" s="519"/>
      <c r="C106" s="519"/>
      <c r="D106" s="519"/>
      <c r="E106" s="519"/>
      <c r="F106" s="519"/>
      <c r="G106" s="519"/>
      <c r="H106" s="519"/>
      <c r="I106" s="519"/>
      <c r="J106" s="519"/>
      <c r="K106" s="519"/>
      <c r="L106" s="519"/>
      <c r="M106" s="519"/>
      <c r="N106" s="519"/>
      <c r="O106" s="519"/>
      <c r="P106" s="519"/>
      <c r="Q106" s="519"/>
      <c r="R106" s="519"/>
      <c r="S106" s="519"/>
      <c r="T106" s="519"/>
      <c r="U106" s="519"/>
    </row>
    <row r="107" spans="1:21" x14ac:dyDescent="0.2">
      <c r="A107" s="519"/>
      <c r="B107" s="519"/>
      <c r="C107" s="519"/>
      <c r="D107" s="519"/>
      <c r="E107" s="519"/>
      <c r="F107" s="519"/>
      <c r="G107" s="519"/>
      <c r="H107" s="519"/>
      <c r="I107" s="519"/>
      <c r="J107" s="519"/>
      <c r="K107" s="519"/>
      <c r="L107" s="519"/>
      <c r="M107" s="519"/>
      <c r="N107" s="519"/>
      <c r="O107" s="519"/>
      <c r="P107" s="519"/>
      <c r="Q107" s="519"/>
      <c r="R107" s="519"/>
      <c r="S107" s="519"/>
      <c r="T107" s="519"/>
      <c r="U107" s="519"/>
    </row>
    <row r="108" spans="1:21" x14ac:dyDescent="0.2">
      <c r="A108" s="519"/>
      <c r="B108" s="519"/>
      <c r="C108" s="519"/>
      <c r="D108" s="519"/>
      <c r="E108" s="519"/>
      <c r="F108" s="519"/>
      <c r="G108" s="519"/>
      <c r="H108" s="519"/>
      <c r="I108" s="519"/>
      <c r="J108" s="519"/>
      <c r="K108" s="519"/>
      <c r="L108" s="519"/>
      <c r="M108" s="519"/>
      <c r="N108" s="519"/>
      <c r="O108" s="519"/>
      <c r="P108" s="519"/>
      <c r="Q108" s="519"/>
      <c r="R108" s="519"/>
      <c r="S108" s="519"/>
      <c r="T108" s="519"/>
      <c r="U108" s="519"/>
    </row>
    <row r="109" spans="1:21" x14ac:dyDescent="0.2">
      <c r="A109" s="519"/>
      <c r="B109" s="519"/>
      <c r="C109" s="519"/>
      <c r="D109" s="519"/>
      <c r="E109" s="519"/>
      <c r="F109" s="519"/>
      <c r="G109" s="519"/>
      <c r="H109" s="519"/>
      <c r="I109" s="519"/>
      <c r="J109" s="519"/>
      <c r="K109" s="519"/>
      <c r="L109" s="519"/>
      <c r="M109" s="519"/>
      <c r="N109" s="519"/>
      <c r="O109" s="519"/>
      <c r="P109" s="519"/>
      <c r="Q109" s="519"/>
      <c r="R109" s="519"/>
      <c r="S109" s="519"/>
      <c r="T109" s="519"/>
      <c r="U109" s="519"/>
    </row>
    <row r="110" spans="1:21" x14ac:dyDescent="0.2">
      <c r="A110" s="519"/>
      <c r="B110" s="519"/>
      <c r="C110" s="519"/>
      <c r="D110" s="519"/>
      <c r="E110" s="519"/>
      <c r="F110" s="519"/>
      <c r="G110" s="519"/>
      <c r="H110" s="519"/>
      <c r="I110" s="519"/>
      <c r="J110" s="519"/>
      <c r="K110" s="519"/>
      <c r="L110" s="519"/>
      <c r="M110" s="519"/>
      <c r="N110" s="519"/>
      <c r="O110" s="519"/>
      <c r="P110" s="519"/>
      <c r="Q110" s="519"/>
      <c r="R110" s="519"/>
      <c r="S110" s="519"/>
      <c r="T110" s="519"/>
      <c r="U110" s="519"/>
    </row>
    <row r="111" spans="1:21" x14ac:dyDescent="0.2">
      <c r="A111" s="519"/>
      <c r="B111" s="519"/>
      <c r="C111" s="519"/>
      <c r="D111" s="519"/>
      <c r="E111" s="519"/>
      <c r="F111" s="519"/>
      <c r="G111" s="519"/>
      <c r="H111" s="519"/>
      <c r="I111" s="519"/>
      <c r="J111" s="519"/>
      <c r="K111" s="519"/>
      <c r="L111" s="519"/>
      <c r="M111" s="519"/>
      <c r="N111" s="519"/>
      <c r="O111" s="519"/>
      <c r="P111" s="519"/>
      <c r="Q111" s="519"/>
      <c r="R111" s="519"/>
      <c r="S111" s="519"/>
      <c r="T111" s="519"/>
      <c r="U111" s="519"/>
    </row>
    <row r="112" spans="1:21" x14ac:dyDescent="0.2">
      <c r="A112" s="519"/>
      <c r="B112" s="519"/>
      <c r="C112" s="519"/>
      <c r="D112" s="519"/>
      <c r="E112" s="519"/>
      <c r="F112" s="519"/>
      <c r="G112" s="519"/>
      <c r="H112" s="519"/>
      <c r="I112" s="519"/>
      <c r="J112" s="519"/>
      <c r="K112" s="519"/>
      <c r="L112" s="519"/>
      <c r="M112" s="519"/>
      <c r="N112" s="519"/>
      <c r="O112" s="519"/>
      <c r="P112" s="519"/>
      <c r="Q112" s="519"/>
      <c r="R112" s="519"/>
      <c r="S112" s="519"/>
      <c r="T112" s="519"/>
      <c r="U112" s="519"/>
    </row>
    <row r="113" spans="1:21" x14ac:dyDescent="0.2">
      <c r="A113" s="519"/>
      <c r="B113" s="519"/>
      <c r="C113" s="519"/>
      <c r="D113" s="519"/>
      <c r="E113" s="519"/>
      <c r="F113" s="519"/>
      <c r="G113" s="519"/>
      <c r="H113" s="519"/>
      <c r="I113" s="519"/>
      <c r="J113" s="519"/>
      <c r="K113" s="519"/>
      <c r="L113" s="519"/>
      <c r="M113" s="519"/>
      <c r="N113" s="519"/>
      <c r="O113" s="519"/>
      <c r="P113" s="519"/>
      <c r="Q113" s="519"/>
      <c r="R113" s="519"/>
      <c r="S113" s="519"/>
      <c r="T113" s="519"/>
      <c r="U113" s="519"/>
    </row>
    <row r="114" spans="1:21" x14ac:dyDescent="0.2">
      <c r="A114" s="519"/>
      <c r="B114" s="519"/>
      <c r="C114" s="519"/>
      <c r="D114" s="519"/>
      <c r="E114" s="519"/>
      <c r="F114" s="519"/>
      <c r="G114" s="519"/>
      <c r="H114" s="519"/>
      <c r="I114" s="519"/>
      <c r="J114" s="519"/>
      <c r="K114" s="519"/>
      <c r="L114" s="519"/>
      <c r="M114" s="519"/>
      <c r="N114" s="519"/>
      <c r="O114" s="519"/>
      <c r="P114" s="519"/>
      <c r="Q114" s="519"/>
      <c r="R114" s="519"/>
      <c r="S114" s="519"/>
      <c r="T114" s="519"/>
      <c r="U114" s="519"/>
    </row>
    <row r="115" spans="1:21" x14ac:dyDescent="0.2">
      <c r="A115" s="519"/>
      <c r="B115" s="519"/>
      <c r="C115" s="519"/>
      <c r="D115" s="519"/>
      <c r="E115" s="519"/>
      <c r="F115" s="519"/>
      <c r="G115" s="519"/>
      <c r="H115" s="519"/>
      <c r="I115" s="519"/>
      <c r="J115" s="519"/>
      <c r="K115" s="519"/>
      <c r="L115" s="519"/>
      <c r="M115" s="519"/>
      <c r="N115" s="519"/>
      <c r="O115" s="519"/>
      <c r="P115" s="519"/>
      <c r="Q115" s="519"/>
      <c r="R115" s="519"/>
      <c r="S115" s="519"/>
      <c r="T115" s="519"/>
      <c r="U115" s="519"/>
    </row>
    <row r="116" spans="1:21" x14ac:dyDescent="0.2">
      <c r="A116" s="519"/>
      <c r="B116" s="519"/>
      <c r="C116" s="519"/>
      <c r="D116" s="519"/>
      <c r="E116" s="519"/>
      <c r="F116" s="519"/>
      <c r="G116" s="519"/>
      <c r="H116" s="519"/>
      <c r="I116" s="519"/>
      <c r="J116" s="519"/>
      <c r="K116" s="519"/>
      <c r="L116" s="519"/>
      <c r="M116" s="519"/>
      <c r="N116" s="519"/>
      <c r="O116" s="519"/>
      <c r="P116" s="519"/>
      <c r="Q116" s="519"/>
      <c r="R116" s="519"/>
      <c r="S116" s="519"/>
      <c r="T116" s="519"/>
      <c r="U116" s="519"/>
    </row>
    <row r="117" spans="1:21" x14ac:dyDescent="0.2">
      <c r="A117" s="519"/>
      <c r="B117" s="519"/>
      <c r="C117" s="519"/>
      <c r="D117" s="519"/>
      <c r="E117" s="519"/>
      <c r="F117" s="519"/>
      <c r="G117" s="519"/>
      <c r="H117" s="519"/>
      <c r="I117" s="519"/>
      <c r="J117" s="519"/>
      <c r="K117" s="519"/>
      <c r="L117" s="519"/>
      <c r="M117" s="519"/>
      <c r="N117" s="519"/>
      <c r="O117" s="519"/>
      <c r="P117" s="519"/>
      <c r="Q117" s="519"/>
      <c r="R117" s="519"/>
      <c r="S117" s="519"/>
      <c r="T117" s="519"/>
      <c r="U117" s="519"/>
    </row>
    <row r="118" spans="1:21" x14ac:dyDescent="0.2">
      <c r="A118" s="519"/>
      <c r="B118" s="519"/>
      <c r="C118" s="519"/>
      <c r="D118" s="519"/>
      <c r="E118" s="519"/>
      <c r="F118" s="519"/>
      <c r="G118" s="519"/>
      <c r="H118" s="519"/>
      <c r="I118" s="519"/>
      <c r="J118" s="519"/>
      <c r="K118" s="519"/>
      <c r="L118" s="519"/>
      <c r="M118" s="519"/>
      <c r="N118" s="519"/>
      <c r="O118" s="519"/>
      <c r="P118" s="519"/>
      <c r="Q118" s="519"/>
      <c r="R118" s="519"/>
      <c r="S118" s="519"/>
      <c r="T118" s="519"/>
      <c r="U118" s="519"/>
    </row>
    <row r="119" spans="1:21" x14ac:dyDescent="0.2">
      <c r="A119" s="519"/>
      <c r="B119" s="519"/>
      <c r="C119" s="519"/>
      <c r="D119" s="519"/>
      <c r="E119" s="519"/>
      <c r="F119" s="519"/>
      <c r="G119" s="519"/>
      <c r="H119" s="519"/>
      <c r="I119" s="519"/>
      <c r="J119" s="519"/>
      <c r="K119" s="519"/>
      <c r="L119" s="519"/>
      <c r="M119" s="519"/>
      <c r="N119" s="519"/>
      <c r="O119" s="519"/>
      <c r="P119" s="519"/>
      <c r="Q119" s="519"/>
      <c r="R119" s="519"/>
      <c r="S119" s="519"/>
      <c r="T119" s="519"/>
      <c r="U119" s="519"/>
    </row>
    <row r="120" spans="1:21" x14ac:dyDescent="0.2">
      <c r="A120" s="519"/>
      <c r="B120" s="519"/>
      <c r="C120" s="519"/>
      <c r="D120" s="519"/>
      <c r="E120" s="519"/>
      <c r="F120" s="519"/>
      <c r="G120" s="519"/>
      <c r="H120" s="519"/>
      <c r="I120" s="519"/>
      <c r="J120" s="519"/>
      <c r="K120" s="519"/>
      <c r="L120" s="519"/>
      <c r="M120" s="519"/>
      <c r="N120" s="519"/>
      <c r="O120" s="519"/>
      <c r="P120" s="519"/>
      <c r="Q120" s="519"/>
      <c r="R120" s="519"/>
      <c r="S120" s="519"/>
      <c r="T120" s="519"/>
      <c r="U120" s="519"/>
    </row>
    <row r="121" spans="1:21" x14ac:dyDescent="0.2">
      <c r="A121" s="519"/>
      <c r="B121" s="519"/>
      <c r="C121" s="519"/>
      <c r="D121" s="519"/>
      <c r="E121" s="519"/>
      <c r="F121" s="519"/>
      <c r="G121" s="519"/>
      <c r="H121" s="519"/>
      <c r="I121" s="519"/>
      <c r="J121" s="519"/>
      <c r="K121" s="519"/>
      <c r="L121" s="519"/>
      <c r="M121" s="519"/>
      <c r="N121" s="519"/>
      <c r="O121" s="519"/>
      <c r="P121" s="519"/>
      <c r="Q121" s="519"/>
      <c r="R121" s="519"/>
      <c r="S121" s="519"/>
      <c r="T121" s="519"/>
      <c r="U121" s="519"/>
    </row>
    <row r="122" spans="1:21" x14ac:dyDescent="0.2">
      <c r="A122" s="519"/>
      <c r="B122" s="519"/>
      <c r="C122" s="519"/>
      <c r="D122" s="519"/>
      <c r="E122" s="519"/>
      <c r="F122" s="519"/>
      <c r="G122" s="519"/>
      <c r="H122" s="519"/>
      <c r="I122" s="519"/>
      <c r="J122" s="519"/>
      <c r="K122" s="519"/>
      <c r="L122" s="519"/>
      <c r="M122" s="519"/>
      <c r="N122" s="519"/>
      <c r="O122" s="519"/>
      <c r="P122" s="519"/>
      <c r="Q122" s="519"/>
      <c r="R122" s="519"/>
      <c r="S122" s="519"/>
      <c r="T122" s="519"/>
      <c r="U122" s="519"/>
    </row>
    <row r="123" spans="1:21" x14ac:dyDescent="0.2">
      <c r="A123" s="519"/>
      <c r="B123" s="519"/>
      <c r="C123" s="519"/>
      <c r="D123" s="519"/>
      <c r="E123" s="519"/>
      <c r="F123" s="519"/>
      <c r="G123" s="519"/>
      <c r="H123" s="519"/>
      <c r="I123" s="519"/>
      <c r="J123" s="519"/>
      <c r="K123" s="519"/>
      <c r="L123" s="519"/>
      <c r="M123" s="519"/>
      <c r="N123" s="519"/>
      <c r="O123" s="519"/>
      <c r="P123" s="519"/>
      <c r="Q123" s="519"/>
      <c r="R123" s="519"/>
      <c r="S123" s="519"/>
      <c r="T123" s="519"/>
      <c r="U123" s="519"/>
    </row>
    <row r="124" spans="1:21" x14ac:dyDescent="0.2">
      <c r="A124" s="519"/>
      <c r="B124" s="519"/>
      <c r="C124" s="519"/>
      <c r="D124" s="519"/>
      <c r="E124" s="519"/>
      <c r="F124" s="519"/>
      <c r="G124" s="519"/>
      <c r="H124" s="519"/>
      <c r="I124" s="519"/>
      <c r="J124" s="519"/>
      <c r="K124" s="519"/>
      <c r="L124" s="519"/>
      <c r="M124" s="519"/>
      <c r="N124" s="519"/>
      <c r="O124" s="519"/>
      <c r="P124" s="519"/>
      <c r="Q124" s="519"/>
      <c r="R124" s="519"/>
      <c r="S124" s="519"/>
      <c r="T124" s="519"/>
      <c r="U124" s="519"/>
    </row>
    <row r="125" spans="1:21" x14ac:dyDescent="0.2">
      <c r="A125" s="519"/>
      <c r="B125" s="519"/>
      <c r="C125" s="519"/>
      <c r="D125" s="519"/>
      <c r="E125" s="519"/>
      <c r="F125" s="519"/>
      <c r="G125" s="519"/>
      <c r="H125" s="519"/>
      <c r="I125" s="519"/>
      <c r="J125" s="519"/>
      <c r="K125" s="519"/>
      <c r="L125" s="519"/>
      <c r="M125" s="519"/>
      <c r="N125" s="519"/>
      <c r="O125" s="519"/>
      <c r="P125" s="519"/>
      <c r="Q125" s="519"/>
      <c r="R125" s="519"/>
      <c r="S125" s="519"/>
      <c r="T125" s="519"/>
      <c r="U125" s="519"/>
    </row>
    <row r="126" spans="1:21" x14ac:dyDescent="0.2">
      <c r="A126" s="519"/>
      <c r="B126" s="519"/>
      <c r="C126" s="519"/>
      <c r="D126" s="519"/>
      <c r="E126" s="519"/>
      <c r="F126" s="519"/>
      <c r="G126" s="519"/>
      <c r="H126" s="519"/>
      <c r="I126" s="519"/>
      <c r="J126" s="519"/>
      <c r="K126" s="519"/>
      <c r="L126" s="519"/>
      <c r="M126" s="519"/>
      <c r="N126" s="519"/>
      <c r="O126" s="519"/>
      <c r="P126" s="519"/>
      <c r="Q126" s="519"/>
      <c r="R126" s="519"/>
      <c r="S126" s="519"/>
      <c r="T126" s="519"/>
      <c r="U126" s="519"/>
    </row>
    <row r="127" spans="1:21" x14ac:dyDescent="0.2">
      <c r="A127" s="519"/>
      <c r="B127" s="519"/>
      <c r="C127" s="519"/>
      <c r="D127" s="519"/>
      <c r="E127" s="519"/>
      <c r="F127" s="519"/>
      <c r="G127" s="519"/>
      <c r="H127" s="519"/>
      <c r="I127" s="519"/>
      <c r="J127" s="519"/>
      <c r="K127" s="519"/>
      <c r="L127" s="519"/>
      <c r="M127" s="519"/>
      <c r="N127" s="519"/>
      <c r="O127" s="519"/>
      <c r="P127" s="519"/>
      <c r="Q127" s="519"/>
      <c r="R127" s="519"/>
      <c r="S127" s="519"/>
      <c r="T127" s="519"/>
      <c r="U127" s="519"/>
    </row>
    <row r="128" spans="1:21" x14ac:dyDescent="0.2">
      <c r="A128" s="519"/>
      <c r="B128" s="519"/>
      <c r="C128" s="519"/>
      <c r="D128" s="519"/>
      <c r="E128" s="519"/>
      <c r="F128" s="519"/>
      <c r="G128" s="519"/>
      <c r="H128" s="519"/>
      <c r="I128" s="519"/>
      <c r="J128" s="519"/>
      <c r="K128" s="519"/>
      <c r="L128" s="519"/>
      <c r="M128" s="519"/>
      <c r="N128" s="519"/>
      <c r="O128" s="519"/>
      <c r="P128" s="519"/>
      <c r="Q128" s="519"/>
      <c r="R128" s="519"/>
      <c r="S128" s="519"/>
      <c r="T128" s="519"/>
      <c r="U128" s="519"/>
    </row>
    <row r="129" spans="1:21" x14ac:dyDescent="0.2">
      <c r="A129" s="519"/>
      <c r="B129" s="519"/>
      <c r="C129" s="519"/>
      <c r="D129" s="519"/>
      <c r="E129" s="519"/>
      <c r="F129" s="519"/>
      <c r="G129" s="519"/>
      <c r="H129" s="519"/>
      <c r="I129" s="519"/>
      <c r="J129" s="519"/>
      <c r="K129" s="519"/>
      <c r="L129" s="519"/>
      <c r="M129" s="519"/>
      <c r="N129" s="519"/>
      <c r="O129" s="519"/>
      <c r="P129" s="519"/>
      <c r="Q129" s="519"/>
      <c r="R129" s="519"/>
      <c r="S129" s="519"/>
      <c r="T129" s="519"/>
      <c r="U129" s="519"/>
    </row>
    <row r="130" spans="1:21" x14ac:dyDescent="0.2">
      <c r="A130" s="519"/>
      <c r="B130" s="519"/>
      <c r="C130" s="519"/>
      <c r="D130" s="519"/>
      <c r="E130" s="519"/>
      <c r="F130" s="519"/>
      <c r="G130" s="519"/>
      <c r="H130" s="519"/>
      <c r="I130" s="519"/>
      <c r="J130" s="519"/>
      <c r="K130" s="519"/>
      <c r="L130" s="519"/>
      <c r="M130" s="519"/>
      <c r="N130" s="519"/>
      <c r="O130" s="519"/>
      <c r="P130" s="519"/>
      <c r="Q130" s="519"/>
      <c r="R130" s="519"/>
      <c r="S130" s="519"/>
      <c r="T130" s="519"/>
      <c r="U130" s="519"/>
    </row>
    <row r="131" spans="1:21" x14ac:dyDescent="0.2">
      <c r="A131" s="519"/>
      <c r="B131" s="519"/>
      <c r="C131" s="519"/>
      <c r="D131" s="519"/>
      <c r="E131" s="519"/>
      <c r="F131" s="519"/>
      <c r="G131" s="519"/>
      <c r="H131" s="519"/>
      <c r="I131" s="519"/>
      <c r="J131" s="519"/>
      <c r="K131" s="519"/>
      <c r="L131" s="519"/>
      <c r="M131" s="519"/>
      <c r="N131" s="519"/>
      <c r="O131" s="519"/>
      <c r="P131" s="519"/>
      <c r="Q131" s="519"/>
      <c r="R131" s="519"/>
      <c r="S131" s="519"/>
      <c r="T131" s="519"/>
      <c r="U131" s="519"/>
    </row>
    <row r="132" spans="1:21" x14ac:dyDescent="0.2">
      <c r="A132" s="519"/>
      <c r="B132" s="519"/>
      <c r="C132" s="519"/>
      <c r="D132" s="519"/>
      <c r="E132" s="519"/>
      <c r="F132" s="519"/>
      <c r="G132" s="519"/>
      <c r="H132" s="519"/>
      <c r="I132" s="519"/>
      <c r="J132" s="519"/>
      <c r="K132" s="519"/>
      <c r="L132" s="519"/>
      <c r="M132" s="519"/>
      <c r="N132" s="519"/>
      <c r="O132" s="519"/>
      <c r="P132" s="519"/>
      <c r="Q132" s="519"/>
      <c r="R132" s="519"/>
      <c r="S132" s="519"/>
      <c r="T132" s="519"/>
      <c r="U132" s="519"/>
    </row>
    <row r="133" spans="1:21" x14ac:dyDescent="0.2">
      <c r="A133" s="519"/>
      <c r="B133" s="519"/>
      <c r="C133" s="519"/>
      <c r="D133" s="519"/>
      <c r="E133" s="519"/>
      <c r="F133" s="519"/>
      <c r="G133" s="519"/>
      <c r="H133" s="519"/>
      <c r="I133" s="519"/>
      <c r="J133" s="519"/>
      <c r="K133" s="519"/>
      <c r="L133" s="519"/>
      <c r="M133" s="519"/>
      <c r="N133" s="519"/>
      <c r="O133" s="519"/>
      <c r="P133" s="519"/>
      <c r="Q133" s="519"/>
      <c r="R133" s="519"/>
      <c r="S133" s="519"/>
      <c r="T133" s="519"/>
      <c r="U133" s="519"/>
    </row>
    <row r="134" spans="1:21" x14ac:dyDescent="0.2">
      <c r="A134" s="519"/>
      <c r="B134" s="519"/>
      <c r="C134" s="519"/>
      <c r="D134" s="519"/>
      <c r="E134" s="519"/>
      <c r="F134" s="519"/>
      <c r="G134" s="519"/>
      <c r="H134" s="519"/>
      <c r="I134" s="519"/>
      <c r="J134" s="519"/>
      <c r="K134" s="519"/>
      <c r="L134" s="519"/>
      <c r="M134" s="519"/>
      <c r="N134" s="519"/>
      <c r="O134" s="519"/>
      <c r="P134" s="519"/>
      <c r="Q134" s="519"/>
      <c r="R134" s="519"/>
      <c r="S134" s="519"/>
      <c r="T134" s="519"/>
      <c r="U134" s="519"/>
    </row>
    <row r="135" spans="1:21" x14ac:dyDescent="0.2">
      <c r="A135" s="519"/>
      <c r="B135" s="519"/>
      <c r="C135" s="519"/>
      <c r="D135" s="519"/>
      <c r="E135" s="519"/>
      <c r="F135" s="519"/>
      <c r="G135" s="519"/>
      <c r="H135" s="519"/>
      <c r="I135" s="519"/>
      <c r="J135" s="519"/>
      <c r="K135" s="519"/>
      <c r="L135" s="519"/>
      <c r="M135" s="519"/>
      <c r="N135" s="519"/>
      <c r="O135" s="519"/>
      <c r="P135" s="519"/>
      <c r="Q135" s="519"/>
      <c r="R135" s="519"/>
      <c r="S135" s="519"/>
      <c r="T135" s="519"/>
      <c r="U135" s="519"/>
    </row>
    <row r="136" spans="1:21" x14ac:dyDescent="0.2">
      <c r="A136" s="519"/>
      <c r="B136" s="519"/>
      <c r="C136" s="519"/>
      <c r="D136" s="519"/>
      <c r="E136" s="519"/>
      <c r="F136" s="519"/>
      <c r="G136" s="519"/>
      <c r="H136" s="519"/>
      <c r="I136" s="519"/>
      <c r="J136" s="519"/>
      <c r="K136" s="519"/>
      <c r="L136" s="519"/>
      <c r="M136" s="519"/>
      <c r="N136" s="519"/>
      <c r="O136" s="519"/>
      <c r="P136" s="519"/>
      <c r="Q136" s="519"/>
      <c r="R136" s="519"/>
      <c r="S136" s="519"/>
      <c r="T136" s="519"/>
      <c r="U136" s="519"/>
    </row>
    <row r="137" spans="1:21" x14ac:dyDescent="0.2">
      <c r="A137" s="519"/>
      <c r="B137" s="519"/>
      <c r="C137" s="519"/>
      <c r="D137" s="519"/>
      <c r="E137" s="519"/>
      <c r="F137" s="519"/>
      <c r="G137" s="519"/>
      <c r="H137" s="519"/>
      <c r="I137" s="519"/>
      <c r="J137" s="519"/>
      <c r="K137" s="519"/>
      <c r="L137" s="519"/>
      <c r="M137" s="519"/>
      <c r="N137" s="519"/>
      <c r="O137" s="519"/>
      <c r="P137" s="519"/>
      <c r="Q137" s="519"/>
      <c r="R137" s="519"/>
      <c r="S137" s="519"/>
      <c r="T137" s="519"/>
      <c r="U137" s="519"/>
    </row>
    <row r="138" spans="1:21" x14ac:dyDescent="0.2">
      <c r="A138" s="519"/>
      <c r="B138" s="519"/>
      <c r="C138" s="519"/>
      <c r="D138" s="519"/>
      <c r="E138" s="519"/>
      <c r="F138" s="519"/>
      <c r="G138" s="519"/>
      <c r="H138" s="519"/>
      <c r="I138" s="519"/>
      <c r="J138" s="519"/>
      <c r="K138" s="519"/>
      <c r="L138" s="519"/>
      <c r="M138" s="519"/>
      <c r="N138" s="519"/>
      <c r="O138" s="519"/>
      <c r="P138" s="519"/>
      <c r="Q138" s="519"/>
      <c r="R138" s="519"/>
      <c r="S138" s="519"/>
      <c r="T138" s="519"/>
      <c r="U138" s="519"/>
    </row>
    <row r="139" spans="1:21" x14ac:dyDescent="0.2">
      <c r="A139" s="519"/>
      <c r="B139" s="519"/>
      <c r="C139" s="519"/>
      <c r="D139" s="519"/>
      <c r="E139" s="519"/>
      <c r="F139" s="519"/>
      <c r="G139" s="519"/>
      <c r="H139" s="519"/>
      <c r="I139" s="519"/>
      <c r="J139" s="519"/>
      <c r="K139" s="519"/>
      <c r="L139" s="519"/>
      <c r="M139" s="519"/>
      <c r="N139" s="519"/>
      <c r="O139" s="519"/>
      <c r="P139" s="519"/>
      <c r="Q139" s="519"/>
      <c r="R139" s="519"/>
      <c r="S139" s="519"/>
      <c r="T139" s="519"/>
      <c r="U139" s="519"/>
    </row>
    <row r="140" spans="1:21" x14ac:dyDescent="0.2">
      <c r="A140" s="519"/>
      <c r="B140" s="519"/>
      <c r="C140" s="519"/>
      <c r="D140" s="519"/>
      <c r="E140" s="519"/>
      <c r="F140" s="519"/>
      <c r="G140" s="519"/>
      <c r="H140" s="519"/>
      <c r="I140" s="519"/>
      <c r="J140" s="519"/>
      <c r="K140" s="519"/>
      <c r="L140" s="519"/>
      <c r="M140" s="519"/>
      <c r="N140" s="519"/>
      <c r="O140" s="519"/>
      <c r="P140" s="519"/>
      <c r="Q140" s="519"/>
      <c r="R140" s="519"/>
      <c r="S140" s="519"/>
      <c r="T140" s="519"/>
      <c r="U140" s="519"/>
    </row>
    <row r="141" spans="1:21" x14ac:dyDescent="0.2">
      <c r="A141" s="519"/>
      <c r="B141" s="519"/>
      <c r="C141" s="519"/>
      <c r="D141" s="519"/>
      <c r="E141" s="519"/>
      <c r="F141" s="519"/>
      <c r="G141" s="519"/>
      <c r="H141" s="519"/>
      <c r="I141" s="519"/>
      <c r="J141" s="519"/>
      <c r="K141" s="519"/>
      <c r="L141" s="519"/>
      <c r="M141" s="519"/>
      <c r="N141" s="519"/>
      <c r="O141" s="519"/>
      <c r="P141" s="519"/>
      <c r="Q141" s="519"/>
      <c r="R141" s="519"/>
      <c r="S141" s="519"/>
      <c r="T141" s="519"/>
      <c r="U141" s="519"/>
    </row>
    <row r="142" spans="1:21" x14ac:dyDescent="0.2">
      <c r="A142" s="519"/>
      <c r="B142" s="519"/>
      <c r="C142" s="519"/>
      <c r="D142" s="519"/>
      <c r="E142" s="519"/>
      <c r="F142" s="519"/>
      <c r="G142" s="519"/>
      <c r="H142" s="519"/>
      <c r="I142" s="519"/>
      <c r="J142" s="519"/>
      <c r="K142" s="519"/>
      <c r="L142" s="519"/>
      <c r="M142" s="519"/>
      <c r="N142" s="519"/>
      <c r="O142" s="519"/>
      <c r="P142" s="519"/>
      <c r="Q142" s="519"/>
      <c r="R142" s="519"/>
      <c r="S142" s="519"/>
      <c r="T142" s="519"/>
      <c r="U142" s="519"/>
    </row>
    <row r="143" spans="1:21" x14ac:dyDescent="0.2">
      <c r="A143" s="519"/>
      <c r="B143" s="519"/>
      <c r="C143" s="519"/>
      <c r="D143" s="519"/>
      <c r="E143" s="519"/>
      <c r="F143" s="519"/>
      <c r="G143" s="519"/>
      <c r="H143" s="519"/>
      <c r="I143" s="519"/>
      <c r="J143" s="519"/>
      <c r="K143" s="519"/>
      <c r="L143" s="519"/>
      <c r="M143" s="519"/>
      <c r="N143" s="519"/>
      <c r="O143" s="519"/>
      <c r="P143" s="519"/>
      <c r="Q143" s="519"/>
      <c r="R143" s="519"/>
      <c r="S143" s="519"/>
      <c r="T143" s="519"/>
      <c r="U143" s="519"/>
    </row>
    <row r="144" spans="1:21" x14ac:dyDescent="0.2">
      <c r="A144" s="519"/>
      <c r="B144" s="519"/>
      <c r="C144" s="519"/>
      <c r="D144" s="519"/>
      <c r="E144" s="519"/>
      <c r="F144" s="519"/>
      <c r="G144" s="519"/>
      <c r="H144" s="519"/>
      <c r="I144" s="519"/>
      <c r="J144" s="519"/>
      <c r="K144" s="519"/>
      <c r="L144" s="519"/>
      <c r="M144" s="519"/>
      <c r="N144" s="519"/>
      <c r="O144" s="519"/>
      <c r="P144" s="519"/>
      <c r="Q144" s="519"/>
      <c r="R144" s="519"/>
      <c r="S144" s="519"/>
      <c r="T144" s="519"/>
      <c r="U144" s="519"/>
    </row>
    <row r="145" spans="1:21" x14ac:dyDescent="0.2">
      <c r="A145" s="519"/>
      <c r="B145" s="519"/>
      <c r="C145" s="519"/>
      <c r="D145" s="519"/>
      <c r="E145" s="519"/>
      <c r="F145" s="519"/>
      <c r="G145" s="519"/>
      <c r="H145" s="519"/>
      <c r="I145" s="519"/>
      <c r="J145" s="519"/>
      <c r="K145" s="519"/>
      <c r="L145" s="519"/>
      <c r="M145" s="519"/>
      <c r="N145" s="519"/>
      <c r="O145" s="519"/>
      <c r="P145" s="519"/>
      <c r="Q145" s="519"/>
      <c r="R145" s="519"/>
      <c r="S145" s="519"/>
      <c r="T145" s="519"/>
      <c r="U145" s="519"/>
    </row>
    <row r="146" spans="1:21" x14ac:dyDescent="0.2">
      <c r="A146" s="519"/>
      <c r="B146" s="519"/>
      <c r="C146" s="519"/>
      <c r="D146" s="519"/>
      <c r="E146" s="519"/>
      <c r="F146" s="519"/>
      <c r="G146" s="519"/>
      <c r="H146" s="519"/>
      <c r="I146" s="519"/>
      <c r="J146" s="519"/>
      <c r="K146" s="519"/>
      <c r="L146" s="519"/>
      <c r="M146" s="519"/>
      <c r="N146" s="519"/>
      <c r="O146" s="519"/>
      <c r="P146" s="519"/>
      <c r="Q146" s="519"/>
      <c r="R146" s="519"/>
      <c r="S146" s="519"/>
      <c r="T146" s="519"/>
      <c r="U146" s="519"/>
    </row>
    <row r="147" spans="1:21" x14ac:dyDescent="0.2">
      <c r="A147" s="519"/>
      <c r="B147" s="519"/>
      <c r="C147" s="519"/>
      <c r="D147" s="519"/>
      <c r="E147" s="519"/>
      <c r="F147" s="519"/>
      <c r="G147" s="519"/>
      <c r="H147" s="519"/>
      <c r="I147" s="519"/>
      <c r="J147" s="519"/>
      <c r="K147" s="519"/>
      <c r="L147" s="519"/>
      <c r="M147" s="519"/>
      <c r="N147" s="519"/>
      <c r="O147" s="519"/>
      <c r="P147" s="519"/>
      <c r="Q147" s="519"/>
      <c r="R147" s="519"/>
      <c r="S147" s="519"/>
      <c r="T147" s="519"/>
      <c r="U147" s="519"/>
    </row>
    <row r="148" spans="1:21" x14ac:dyDescent="0.2">
      <c r="A148" s="519"/>
      <c r="B148" s="519"/>
      <c r="C148" s="519"/>
      <c r="D148" s="519"/>
      <c r="E148" s="519"/>
      <c r="F148" s="519"/>
      <c r="G148" s="519"/>
      <c r="H148" s="519"/>
      <c r="I148" s="519"/>
      <c r="J148" s="519"/>
      <c r="K148" s="519"/>
      <c r="L148" s="519"/>
      <c r="M148" s="519"/>
      <c r="N148" s="519"/>
      <c r="O148" s="519"/>
      <c r="P148" s="519"/>
      <c r="Q148" s="519"/>
      <c r="R148" s="519"/>
      <c r="S148" s="519"/>
      <c r="T148" s="519"/>
      <c r="U148" s="519"/>
    </row>
    <row r="149" spans="1:21" x14ac:dyDescent="0.2">
      <c r="A149" s="519"/>
      <c r="B149" s="519"/>
      <c r="C149" s="519"/>
      <c r="D149" s="519"/>
      <c r="E149" s="519"/>
      <c r="F149" s="519"/>
      <c r="G149" s="519"/>
      <c r="H149" s="519"/>
      <c r="I149" s="519"/>
      <c r="J149" s="519"/>
      <c r="K149" s="519"/>
      <c r="L149" s="519"/>
      <c r="M149" s="519"/>
      <c r="N149" s="519"/>
      <c r="O149" s="519"/>
      <c r="P149" s="519"/>
      <c r="Q149" s="519"/>
      <c r="R149" s="519"/>
      <c r="S149" s="519"/>
      <c r="T149" s="519"/>
      <c r="U149" s="519"/>
    </row>
    <row r="150" spans="1:21" x14ac:dyDescent="0.2">
      <c r="A150" s="519"/>
      <c r="B150" s="519"/>
      <c r="C150" s="519"/>
      <c r="D150" s="519"/>
      <c r="E150" s="519"/>
      <c r="F150" s="519"/>
      <c r="G150" s="519"/>
      <c r="H150" s="519"/>
      <c r="I150" s="519"/>
      <c r="J150" s="519"/>
      <c r="K150" s="519"/>
      <c r="L150" s="519"/>
      <c r="M150" s="519"/>
      <c r="N150" s="519"/>
      <c r="O150" s="519"/>
      <c r="P150" s="519"/>
      <c r="Q150" s="519"/>
      <c r="R150" s="519"/>
      <c r="S150" s="519"/>
      <c r="T150" s="519"/>
      <c r="U150" s="519"/>
    </row>
    <row r="151" spans="1:21" x14ac:dyDescent="0.2">
      <c r="A151" s="519"/>
      <c r="B151" s="519"/>
      <c r="C151" s="519"/>
      <c r="D151" s="519"/>
      <c r="E151" s="519"/>
      <c r="F151" s="519"/>
      <c r="G151" s="519"/>
      <c r="H151" s="519"/>
      <c r="I151" s="519"/>
      <c r="J151" s="519"/>
      <c r="K151" s="519"/>
      <c r="L151" s="519"/>
      <c r="M151" s="519"/>
      <c r="N151" s="519"/>
      <c r="O151" s="519"/>
      <c r="P151" s="519"/>
      <c r="Q151" s="519"/>
      <c r="R151" s="519"/>
      <c r="S151" s="519"/>
      <c r="T151" s="519"/>
      <c r="U151" s="519"/>
    </row>
  </sheetData>
  <mergeCells count="14">
    <mergeCell ref="A28:B28"/>
    <mergeCell ref="A45:A46"/>
    <mergeCell ref="B45:B46"/>
    <mergeCell ref="C45:J45"/>
    <mergeCell ref="A47:B47"/>
    <mergeCell ref="A4:A5"/>
    <mergeCell ref="B4:B5"/>
    <mergeCell ref="C4:J4"/>
    <mergeCell ref="K4:R4"/>
    <mergeCell ref="A6:B6"/>
    <mergeCell ref="A26:A27"/>
    <mergeCell ref="B26:B27"/>
    <mergeCell ref="C26:J26"/>
    <mergeCell ref="K26:R26"/>
  </mergeCells>
  <pageMargins left="0.7" right="0.7" top="0.75" bottom="0.75" header="0.3" footer="0.3"/>
  <pageSetup paperSize="14" scale="61" orientation="landscape" r:id="rId1"/>
  <rowBreaks count="1" manualBreakCount="1">
    <brk id="41" max="17" man="1"/>
  </rowBreaks>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0E7D1-F0D0-4280-921F-CCCBCC359878}">
  <sheetPr codeName="Hoja299"/>
  <dimension ref="A2:U57"/>
  <sheetViews>
    <sheetView topLeftCell="A7" zoomScaleNormal="100" workbookViewId="0">
      <selection activeCell="A2" sqref="A2"/>
    </sheetView>
  </sheetViews>
  <sheetFormatPr baseColWidth="10" defaultRowHeight="13.2" x14ac:dyDescent="0.25"/>
  <cols>
    <col min="1" max="1" width="20.33203125" customWidth="1"/>
    <col min="2" max="2" width="17.33203125" bestFit="1" customWidth="1"/>
    <col min="4" max="4" width="14.109375" bestFit="1" customWidth="1"/>
    <col min="6" max="6" width="13" bestFit="1" customWidth="1"/>
    <col min="8" max="8" width="15.33203125" bestFit="1" customWidth="1"/>
    <col min="10" max="10" width="14.109375" bestFit="1" customWidth="1"/>
    <col min="12" max="12" width="13" bestFit="1" customWidth="1"/>
    <col min="14" max="14" width="15.33203125" bestFit="1" customWidth="1"/>
  </cols>
  <sheetData>
    <row r="2" spans="1:21" x14ac:dyDescent="0.25">
      <c r="A2" s="337" t="s">
        <v>3375</v>
      </c>
    </row>
    <row r="3" spans="1:21" s="442" customFormat="1" ht="10.199999999999999" x14ac:dyDescent="0.2">
      <c r="A3" s="1621"/>
      <c r="B3" s="1621"/>
      <c r="C3" s="1621"/>
      <c r="D3" s="1621"/>
      <c r="E3" s="1621"/>
      <c r="F3" s="1621"/>
      <c r="G3" s="1621"/>
      <c r="H3" s="1621"/>
      <c r="I3" s="1621"/>
      <c r="J3" s="1621"/>
      <c r="K3" s="1621"/>
      <c r="L3" s="1621"/>
      <c r="M3" s="1621"/>
      <c r="N3" s="1621"/>
      <c r="O3" s="519"/>
      <c r="P3" s="519"/>
      <c r="Q3" s="519"/>
      <c r="R3" s="519"/>
      <c r="S3" s="519"/>
      <c r="T3" s="519"/>
      <c r="U3" s="519"/>
    </row>
    <row r="4" spans="1:21" s="442" customFormat="1" ht="14.25" customHeight="1" x14ac:dyDescent="0.2">
      <c r="A4" s="1622" t="s">
        <v>0</v>
      </c>
      <c r="B4" s="1623" t="s">
        <v>3380</v>
      </c>
      <c r="C4" s="1622" t="s">
        <v>3458</v>
      </c>
      <c r="D4" s="1622"/>
      <c r="E4" s="1622"/>
      <c r="F4" s="1622"/>
      <c r="G4" s="1622"/>
      <c r="H4" s="1622"/>
      <c r="I4" s="1622" t="s">
        <v>3459</v>
      </c>
      <c r="J4" s="1622"/>
      <c r="K4" s="1622"/>
      <c r="L4" s="1622"/>
      <c r="M4" s="1622"/>
      <c r="N4" s="1622"/>
      <c r="O4" s="519"/>
      <c r="P4" s="519"/>
      <c r="Q4" s="519"/>
      <c r="R4" s="519"/>
      <c r="S4" s="519"/>
      <c r="T4" s="519"/>
      <c r="U4" s="519"/>
    </row>
    <row r="5" spans="1:21" s="442" customFormat="1" ht="14.25" customHeight="1" x14ac:dyDescent="0.2">
      <c r="A5" s="1624"/>
      <c r="B5" s="1625"/>
      <c r="C5" s="1626" t="s">
        <v>3460</v>
      </c>
      <c r="D5" s="1626" t="s">
        <v>3461</v>
      </c>
      <c r="E5" s="1626" t="s">
        <v>3462</v>
      </c>
      <c r="F5" s="1626" t="s">
        <v>3463</v>
      </c>
      <c r="G5" s="1626" t="s">
        <v>3442</v>
      </c>
      <c r="H5" s="1627" t="s">
        <v>3443</v>
      </c>
      <c r="I5" s="1626" t="s">
        <v>3460</v>
      </c>
      <c r="J5" s="1626" t="s">
        <v>3461</v>
      </c>
      <c r="K5" s="1626" t="s">
        <v>3462</v>
      </c>
      <c r="L5" s="1626" t="s">
        <v>3463</v>
      </c>
      <c r="M5" s="1626" t="s">
        <v>3442</v>
      </c>
      <c r="N5" s="1627" t="s">
        <v>3443</v>
      </c>
      <c r="O5" s="519"/>
      <c r="P5" s="519"/>
      <c r="Q5" s="519"/>
      <c r="R5" s="519"/>
      <c r="S5" s="519"/>
      <c r="T5" s="519"/>
      <c r="U5" s="519"/>
    </row>
    <row r="6" spans="1:21" s="442" customFormat="1" ht="14.25" customHeight="1" x14ac:dyDescent="0.2">
      <c r="A6" s="1628" t="s">
        <v>3</v>
      </c>
      <c r="B6" s="1629"/>
      <c r="C6" s="1630">
        <f t="shared" ref="C6:N6" si="0">SUM(C7:C17)</f>
        <v>23</v>
      </c>
      <c r="D6" s="1630">
        <f t="shared" si="0"/>
        <v>182382400</v>
      </c>
      <c r="E6" s="1630">
        <f t="shared" si="0"/>
        <v>28</v>
      </c>
      <c r="F6" s="1630">
        <f t="shared" si="0"/>
        <v>29117400</v>
      </c>
      <c r="G6" s="1630">
        <f t="shared" si="0"/>
        <v>51</v>
      </c>
      <c r="H6" s="1630">
        <f t="shared" si="0"/>
        <v>211499800</v>
      </c>
      <c r="I6" s="1630">
        <f t="shared" si="0"/>
        <v>21</v>
      </c>
      <c r="J6" s="1630">
        <f t="shared" si="0"/>
        <v>150823000</v>
      </c>
      <c r="K6" s="1630">
        <f t="shared" si="0"/>
        <v>32</v>
      </c>
      <c r="L6" s="1630">
        <f t="shared" si="0"/>
        <v>29597399</v>
      </c>
      <c r="M6" s="1630">
        <f t="shared" si="0"/>
        <v>53</v>
      </c>
      <c r="N6" s="1630">
        <f t="shared" si="0"/>
        <v>180420399</v>
      </c>
      <c r="O6" s="519"/>
      <c r="P6" s="519"/>
      <c r="Q6" s="519"/>
      <c r="R6" s="519"/>
      <c r="S6" s="519"/>
      <c r="T6" s="519"/>
      <c r="U6" s="519"/>
    </row>
    <row r="7" spans="1:21" s="442" customFormat="1" ht="10.199999999999999" x14ac:dyDescent="0.2">
      <c r="A7" s="1631" t="s">
        <v>4</v>
      </c>
      <c r="B7" s="1621" t="s">
        <v>871</v>
      </c>
      <c r="C7" s="1632">
        <v>2</v>
      </c>
      <c r="D7" s="1632">
        <v>16000000</v>
      </c>
      <c r="E7" s="1632">
        <v>0</v>
      </c>
      <c r="F7" s="1632">
        <v>0</v>
      </c>
      <c r="G7" s="1633">
        <f t="shared" ref="G7:H17" si="1">C7+E7</f>
        <v>2</v>
      </c>
      <c r="H7" s="1633">
        <f t="shared" si="1"/>
        <v>16000000</v>
      </c>
      <c r="I7" s="1633">
        <v>1</v>
      </c>
      <c r="J7" s="1633">
        <v>16500000</v>
      </c>
      <c r="K7" s="1633">
        <v>0</v>
      </c>
      <c r="L7" s="1633">
        <v>0</v>
      </c>
      <c r="M7" s="1633">
        <f t="shared" ref="M7:N17" si="2">I7+K7</f>
        <v>1</v>
      </c>
      <c r="N7" s="1633">
        <f t="shared" si="2"/>
        <v>16500000</v>
      </c>
      <c r="O7" s="519"/>
      <c r="P7" s="519"/>
      <c r="Q7" s="519"/>
      <c r="R7" s="519"/>
      <c r="S7" s="519"/>
      <c r="T7" s="519"/>
      <c r="U7" s="519"/>
    </row>
    <row r="8" spans="1:21" s="442" customFormat="1" ht="10.199999999999999" x14ac:dyDescent="0.2">
      <c r="A8" s="1631" t="s">
        <v>3444</v>
      </c>
      <c r="B8" s="1621" t="s">
        <v>872</v>
      </c>
      <c r="C8" s="1632">
        <v>2</v>
      </c>
      <c r="D8" s="1632">
        <v>26382400</v>
      </c>
      <c r="E8" s="1632">
        <v>0</v>
      </c>
      <c r="F8" s="1632">
        <v>0</v>
      </c>
      <c r="G8" s="1633">
        <f t="shared" si="1"/>
        <v>2</v>
      </c>
      <c r="H8" s="1633">
        <f t="shared" si="1"/>
        <v>26382400</v>
      </c>
      <c r="I8" s="1633">
        <v>4</v>
      </c>
      <c r="J8" s="1633">
        <v>30323000</v>
      </c>
      <c r="K8" s="1633">
        <v>0</v>
      </c>
      <c r="L8" s="1633">
        <v>0</v>
      </c>
      <c r="M8" s="1633">
        <f t="shared" si="2"/>
        <v>4</v>
      </c>
      <c r="N8" s="1633">
        <f t="shared" si="2"/>
        <v>30323000</v>
      </c>
      <c r="O8" s="519"/>
      <c r="P8" s="519"/>
      <c r="Q8" s="519"/>
      <c r="R8" s="519"/>
      <c r="S8" s="519"/>
      <c r="T8" s="519"/>
      <c r="U8" s="519"/>
    </row>
    <row r="9" spans="1:21" s="442" customFormat="1" ht="10.199999999999999" x14ac:dyDescent="0.2">
      <c r="A9" s="1631" t="s">
        <v>6</v>
      </c>
      <c r="B9" s="1621" t="s">
        <v>875</v>
      </c>
      <c r="C9" s="1632">
        <v>1</v>
      </c>
      <c r="D9" s="1632">
        <v>8000000</v>
      </c>
      <c r="E9" s="1632">
        <v>0</v>
      </c>
      <c r="F9" s="1632">
        <v>0</v>
      </c>
      <c r="G9" s="1633">
        <f t="shared" si="1"/>
        <v>1</v>
      </c>
      <c r="H9" s="1633">
        <f t="shared" si="1"/>
        <v>8000000</v>
      </c>
      <c r="I9" s="1633">
        <v>1</v>
      </c>
      <c r="J9" s="1633">
        <v>12000000</v>
      </c>
      <c r="K9" s="1633">
        <v>0</v>
      </c>
      <c r="L9" s="1633">
        <v>0</v>
      </c>
      <c r="M9" s="1633">
        <f t="shared" si="2"/>
        <v>1</v>
      </c>
      <c r="N9" s="1633">
        <f t="shared" si="2"/>
        <v>12000000</v>
      </c>
      <c r="O9" s="519"/>
      <c r="P9" s="519"/>
      <c r="Q9" s="519"/>
      <c r="R9" s="519"/>
      <c r="S9" s="519"/>
      <c r="T9" s="519"/>
      <c r="U9" s="519"/>
    </row>
    <row r="10" spans="1:21" s="442" customFormat="1" ht="10.199999999999999" x14ac:dyDescent="0.2">
      <c r="A10" s="1631" t="s">
        <v>9</v>
      </c>
      <c r="B10" s="1621" t="s">
        <v>888</v>
      </c>
      <c r="C10" s="1632">
        <v>1</v>
      </c>
      <c r="D10" s="1632">
        <v>8000000</v>
      </c>
      <c r="E10" s="1632">
        <v>0</v>
      </c>
      <c r="F10" s="1632">
        <v>0</v>
      </c>
      <c r="G10" s="1633">
        <f t="shared" si="1"/>
        <v>1</v>
      </c>
      <c r="H10" s="1633">
        <f t="shared" si="1"/>
        <v>8000000</v>
      </c>
      <c r="I10" s="1633">
        <v>1</v>
      </c>
      <c r="J10" s="1633">
        <v>10000000</v>
      </c>
      <c r="K10" s="1633">
        <v>0</v>
      </c>
      <c r="L10" s="1633">
        <v>0</v>
      </c>
      <c r="M10" s="1633">
        <f t="shared" si="2"/>
        <v>1</v>
      </c>
      <c r="N10" s="1633">
        <f t="shared" si="2"/>
        <v>10000000</v>
      </c>
      <c r="O10" s="519"/>
      <c r="P10" s="519"/>
      <c r="Q10" s="519"/>
      <c r="R10" s="519"/>
      <c r="S10" s="519"/>
      <c r="T10" s="519"/>
      <c r="U10" s="519"/>
    </row>
    <row r="11" spans="1:21" s="442" customFormat="1" ht="30.6" x14ac:dyDescent="0.2">
      <c r="A11" s="1631" t="s">
        <v>3445</v>
      </c>
      <c r="B11" s="1621" t="s">
        <v>890</v>
      </c>
      <c r="C11" s="1632">
        <v>3</v>
      </c>
      <c r="D11" s="1632">
        <v>27000000</v>
      </c>
      <c r="E11" s="1632">
        <v>28</v>
      </c>
      <c r="F11" s="1632">
        <v>29117400</v>
      </c>
      <c r="G11" s="1633">
        <f t="shared" si="1"/>
        <v>31</v>
      </c>
      <c r="H11" s="1633">
        <f t="shared" si="1"/>
        <v>56117400</v>
      </c>
      <c r="I11" s="1633">
        <v>3</v>
      </c>
      <c r="J11" s="1633">
        <v>22000000</v>
      </c>
      <c r="K11" s="1633">
        <v>32</v>
      </c>
      <c r="L11" s="1633">
        <v>29597399</v>
      </c>
      <c r="M11" s="1633">
        <f t="shared" si="2"/>
        <v>35</v>
      </c>
      <c r="N11" s="1633">
        <f t="shared" si="2"/>
        <v>51597399</v>
      </c>
      <c r="O11" s="519"/>
      <c r="P11" s="519"/>
      <c r="Q11" s="519"/>
      <c r="R11" s="519"/>
      <c r="S11" s="519"/>
      <c r="T11" s="519"/>
      <c r="U11" s="519"/>
    </row>
    <row r="12" spans="1:21" s="442" customFormat="1" ht="10.199999999999999" x14ac:dyDescent="0.2">
      <c r="A12" s="1631" t="s">
        <v>3446</v>
      </c>
      <c r="B12" s="1621" t="s">
        <v>2112</v>
      </c>
      <c r="C12" s="1632">
        <v>3</v>
      </c>
      <c r="D12" s="1632">
        <v>18000000</v>
      </c>
      <c r="E12" s="1632">
        <v>0</v>
      </c>
      <c r="F12" s="1632">
        <v>0</v>
      </c>
      <c r="G12" s="1633">
        <f t="shared" si="1"/>
        <v>3</v>
      </c>
      <c r="H12" s="1633">
        <f t="shared" si="1"/>
        <v>18000000</v>
      </c>
      <c r="I12" s="1633">
        <v>3</v>
      </c>
      <c r="J12" s="1633">
        <v>18000000</v>
      </c>
      <c r="K12" s="1633">
        <v>0</v>
      </c>
      <c r="L12" s="1633">
        <v>0</v>
      </c>
      <c r="M12" s="1633">
        <f t="shared" si="2"/>
        <v>3</v>
      </c>
      <c r="N12" s="1633">
        <f t="shared" si="2"/>
        <v>18000000</v>
      </c>
      <c r="O12" s="519"/>
      <c r="P12" s="519"/>
      <c r="Q12" s="519"/>
      <c r="R12" s="519"/>
      <c r="S12" s="519"/>
      <c r="T12" s="519"/>
      <c r="U12" s="519"/>
    </row>
    <row r="13" spans="1:21" s="442" customFormat="1" ht="10.199999999999999" x14ac:dyDescent="0.2">
      <c r="A13" s="1631" t="s">
        <v>14</v>
      </c>
      <c r="B13" s="1621" t="s">
        <v>895</v>
      </c>
      <c r="C13" s="1632">
        <v>5</v>
      </c>
      <c r="D13" s="1632">
        <v>28000000</v>
      </c>
      <c r="E13" s="1632">
        <v>0</v>
      </c>
      <c r="F13" s="1632">
        <v>0</v>
      </c>
      <c r="G13" s="1633">
        <f t="shared" si="1"/>
        <v>5</v>
      </c>
      <c r="H13" s="1633">
        <f t="shared" si="1"/>
        <v>28000000</v>
      </c>
      <c r="I13" s="1633">
        <v>1</v>
      </c>
      <c r="J13" s="1633">
        <v>3000000</v>
      </c>
      <c r="K13" s="1633">
        <v>0</v>
      </c>
      <c r="L13" s="1633">
        <v>0</v>
      </c>
      <c r="M13" s="1633">
        <f t="shared" si="2"/>
        <v>1</v>
      </c>
      <c r="N13" s="1633">
        <f t="shared" si="2"/>
        <v>3000000</v>
      </c>
      <c r="O13" s="519"/>
      <c r="P13" s="519"/>
      <c r="Q13" s="519"/>
      <c r="R13" s="519"/>
      <c r="S13" s="519"/>
      <c r="T13" s="519"/>
      <c r="U13" s="519"/>
    </row>
    <row r="14" spans="1:21" s="442" customFormat="1" ht="10.199999999999999" x14ac:dyDescent="0.2">
      <c r="A14" s="1631" t="s">
        <v>15</v>
      </c>
      <c r="B14" s="1621" t="s">
        <v>928</v>
      </c>
      <c r="C14" s="1632">
        <v>1</v>
      </c>
      <c r="D14" s="1632">
        <v>8000000</v>
      </c>
      <c r="E14" s="1632">
        <v>0</v>
      </c>
      <c r="F14" s="1632">
        <v>0</v>
      </c>
      <c r="G14" s="1633">
        <f t="shared" si="1"/>
        <v>1</v>
      </c>
      <c r="H14" s="1633">
        <f t="shared" si="1"/>
        <v>8000000</v>
      </c>
      <c r="I14" s="1633">
        <v>2</v>
      </c>
      <c r="J14" s="1633">
        <v>13000000</v>
      </c>
      <c r="K14" s="1633">
        <v>0</v>
      </c>
      <c r="L14" s="1633">
        <v>0</v>
      </c>
      <c r="M14" s="1633">
        <f t="shared" si="2"/>
        <v>2</v>
      </c>
      <c r="N14" s="1633">
        <f t="shared" si="2"/>
        <v>13000000</v>
      </c>
      <c r="O14" s="519"/>
      <c r="P14" s="519"/>
      <c r="Q14" s="519"/>
      <c r="R14" s="519"/>
      <c r="S14" s="519"/>
      <c r="T14" s="519"/>
      <c r="U14" s="519"/>
    </row>
    <row r="15" spans="1:21" s="442" customFormat="1" ht="10.199999999999999" x14ac:dyDescent="0.2">
      <c r="A15" s="1631" t="s">
        <v>3447</v>
      </c>
      <c r="B15" s="1621" t="s">
        <v>930</v>
      </c>
      <c r="C15" s="1632">
        <v>4</v>
      </c>
      <c r="D15" s="1632">
        <v>36000000</v>
      </c>
      <c r="E15" s="1632">
        <v>0</v>
      </c>
      <c r="F15" s="1632">
        <v>0</v>
      </c>
      <c r="G15" s="1633">
        <f t="shared" si="1"/>
        <v>4</v>
      </c>
      <c r="H15" s="1633">
        <f t="shared" si="1"/>
        <v>36000000</v>
      </c>
      <c r="I15" s="1633">
        <v>3</v>
      </c>
      <c r="J15" s="1633">
        <v>17000000</v>
      </c>
      <c r="K15" s="1633">
        <v>0</v>
      </c>
      <c r="L15" s="1633">
        <v>0</v>
      </c>
      <c r="M15" s="1633">
        <f t="shared" si="2"/>
        <v>3</v>
      </c>
      <c r="N15" s="1633">
        <f t="shared" si="2"/>
        <v>17000000</v>
      </c>
      <c r="O15" s="519"/>
      <c r="P15" s="519"/>
      <c r="Q15" s="519"/>
      <c r="R15" s="519"/>
      <c r="S15" s="519"/>
      <c r="T15" s="519"/>
      <c r="U15" s="519"/>
    </row>
    <row r="16" spans="1:21" s="442" customFormat="1" ht="10.199999999999999" x14ac:dyDescent="0.2">
      <c r="A16" s="1572" t="s">
        <v>18</v>
      </c>
      <c r="B16" s="1621" t="s">
        <v>934</v>
      </c>
      <c r="C16" s="1632">
        <v>1</v>
      </c>
      <c r="D16" s="1632">
        <v>7000000</v>
      </c>
      <c r="E16" s="1632">
        <v>0</v>
      </c>
      <c r="F16" s="1632">
        <v>0</v>
      </c>
      <c r="G16" s="1633">
        <f t="shared" si="1"/>
        <v>1</v>
      </c>
      <c r="H16" s="1633">
        <f t="shared" si="1"/>
        <v>7000000</v>
      </c>
      <c r="I16" s="1633">
        <v>2</v>
      </c>
      <c r="J16" s="1633">
        <v>9000000</v>
      </c>
      <c r="K16" s="1633">
        <v>0</v>
      </c>
      <c r="L16" s="1633">
        <v>0</v>
      </c>
      <c r="M16" s="1633">
        <f t="shared" si="2"/>
        <v>2</v>
      </c>
      <c r="N16" s="1633">
        <f t="shared" si="2"/>
        <v>9000000</v>
      </c>
      <c r="O16" s="519"/>
      <c r="P16" s="519"/>
      <c r="Q16" s="519"/>
      <c r="R16" s="519"/>
      <c r="S16" s="519"/>
      <c r="T16" s="519"/>
      <c r="U16" s="519"/>
    </row>
    <row r="17" spans="1:21" s="442" customFormat="1" ht="10.199999999999999" x14ac:dyDescent="0.2">
      <c r="A17" s="1621" t="s">
        <v>3448</v>
      </c>
      <c r="B17" s="1621" t="s">
        <v>3449</v>
      </c>
      <c r="C17" s="1632">
        <v>0</v>
      </c>
      <c r="D17" s="1632">
        <v>0</v>
      </c>
      <c r="E17" s="1632">
        <v>0</v>
      </c>
      <c r="F17" s="1632">
        <v>0</v>
      </c>
      <c r="G17" s="1633">
        <f t="shared" si="1"/>
        <v>0</v>
      </c>
      <c r="H17" s="1633">
        <f t="shared" si="1"/>
        <v>0</v>
      </c>
      <c r="I17" s="1633">
        <v>0</v>
      </c>
      <c r="J17" s="1633">
        <v>0</v>
      </c>
      <c r="K17" s="1633">
        <v>0</v>
      </c>
      <c r="L17" s="1633">
        <v>0</v>
      </c>
      <c r="M17" s="1633">
        <f t="shared" si="2"/>
        <v>0</v>
      </c>
      <c r="N17" s="1633">
        <f t="shared" si="2"/>
        <v>0</v>
      </c>
      <c r="O17" s="519"/>
      <c r="P17" s="519"/>
      <c r="Q17" s="519"/>
      <c r="R17" s="519"/>
      <c r="S17" s="519"/>
      <c r="T17" s="519"/>
      <c r="U17" s="519"/>
    </row>
    <row r="18" spans="1:21" s="442" customFormat="1" ht="4.5" customHeight="1" x14ac:dyDescent="0.2">
      <c r="A18" s="1634"/>
      <c r="B18" s="1634"/>
      <c r="C18" s="1635"/>
      <c r="D18" s="1636"/>
      <c r="E18" s="1635"/>
      <c r="F18" s="1636"/>
      <c r="G18" s="1579"/>
      <c r="H18" s="1587"/>
      <c r="I18" s="1579"/>
      <c r="J18" s="1587"/>
      <c r="K18" s="1579"/>
      <c r="L18" s="1587"/>
      <c r="M18" s="1579"/>
      <c r="N18" s="1587"/>
      <c r="O18" s="519"/>
      <c r="P18" s="519"/>
      <c r="Q18" s="519"/>
      <c r="R18" s="519"/>
      <c r="S18" s="519"/>
      <c r="T18" s="519"/>
      <c r="U18" s="519"/>
    </row>
    <row r="19" spans="1:21" s="442" customFormat="1" ht="10.199999999999999" x14ac:dyDescent="0.2">
      <c r="A19" s="1637" t="s">
        <v>3464</v>
      </c>
      <c r="B19" s="1621"/>
      <c r="C19" s="1621"/>
      <c r="D19" s="1621"/>
      <c r="E19" s="1621"/>
      <c r="F19" s="1621"/>
      <c r="G19" s="1621"/>
      <c r="H19" s="1621"/>
      <c r="I19" s="1621"/>
      <c r="J19" s="1621"/>
      <c r="K19" s="1621"/>
      <c r="L19" s="1621"/>
      <c r="M19" s="1621"/>
      <c r="N19" s="1621"/>
      <c r="O19" s="519"/>
      <c r="P19" s="519"/>
      <c r="Q19" s="519"/>
      <c r="R19" s="519"/>
      <c r="S19" s="519"/>
      <c r="T19" s="519"/>
      <c r="U19" s="519"/>
    </row>
    <row r="20" spans="1:21" s="442" customFormat="1" ht="10.199999999999999" x14ac:dyDescent="0.2">
      <c r="A20" s="1637" t="s">
        <v>3465</v>
      </c>
      <c r="B20" s="1621"/>
      <c r="C20" s="1621"/>
      <c r="D20" s="1621"/>
      <c r="E20" s="1621"/>
      <c r="F20" s="1621"/>
      <c r="G20" s="1621"/>
      <c r="H20" s="1621"/>
      <c r="I20" s="1621"/>
      <c r="J20" s="1621"/>
      <c r="K20" s="1621"/>
      <c r="L20" s="1621"/>
      <c r="M20" s="1621"/>
      <c r="N20" s="1621"/>
      <c r="O20" s="519"/>
      <c r="P20" s="519"/>
      <c r="Q20" s="519"/>
      <c r="R20" s="519"/>
      <c r="S20" s="519"/>
      <c r="T20" s="519"/>
      <c r="U20" s="519"/>
    </row>
    <row r="21" spans="1:21" s="442" customFormat="1" ht="10.199999999999999" x14ac:dyDescent="0.2">
      <c r="A21" s="1637"/>
      <c r="B21" s="1621"/>
      <c r="C21" s="1621"/>
      <c r="D21" s="1621"/>
      <c r="E21" s="1621"/>
      <c r="F21" s="1621"/>
      <c r="G21" s="1621"/>
      <c r="H21" s="1621"/>
      <c r="I21" s="1621"/>
      <c r="J21" s="1621"/>
      <c r="K21" s="1621"/>
      <c r="L21" s="1621"/>
      <c r="M21" s="1621"/>
      <c r="N21" s="1621"/>
      <c r="O21" s="519"/>
      <c r="P21" s="519"/>
      <c r="Q21" s="519"/>
      <c r="R21" s="519"/>
      <c r="S21" s="519"/>
      <c r="T21" s="519"/>
      <c r="U21" s="519"/>
    </row>
    <row r="22" spans="1:21" s="442" customFormat="1" ht="10.199999999999999" x14ac:dyDescent="0.2">
      <c r="A22" s="1300" t="s">
        <v>3466</v>
      </c>
      <c r="B22" s="519"/>
      <c r="C22" s="519"/>
      <c r="D22" s="519"/>
      <c r="E22" s="519"/>
      <c r="F22" s="519"/>
      <c r="G22" s="519"/>
      <c r="H22" s="519"/>
      <c r="I22" s="519"/>
      <c r="J22" s="519"/>
      <c r="K22" s="519"/>
      <c r="L22" s="519"/>
      <c r="M22" s="519"/>
      <c r="N22" s="519"/>
      <c r="O22" s="519"/>
      <c r="P22" s="519"/>
      <c r="Q22" s="519"/>
      <c r="R22" s="519"/>
      <c r="S22" s="519"/>
      <c r="T22" s="519"/>
      <c r="U22" s="519"/>
    </row>
    <row r="23" spans="1:21" s="442" customFormat="1" ht="10.199999999999999" x14ac:dyDescent="0.2">
      <c r="A23" s="1300"/>
      <c r="B23" s="519"/>
      <c r="C23" s="519"/>
      <c r="D23" s="519"/>
      <c r="E23" s="519"/>
      <c r="F23" s="519"/>
      <c r="G23" s="519"/>
      <c r="H23" s="519"/>
      <c r="I23" s="519"/>
      <c r="J23" s="519"/>
      <c r="K23" s="519"/>
      <c r="L23" s="519"/>
      <c r="M23" s="519"/>
      <c r="N23" s="519"/>
      <c r="O23" s="519"/>
      <c r="P23" s="519"/>
      <c r="Q23" s="519"/>
      <c r="R23" s="519"/>
      <c r="S23" s="519"/>
      <c r="T23" s="519"/>
      <c r="U23" s="519"/>
    </row>
    <row r="24" spans="1:21" s="442" customFormat="1" ht="10.199999999999999" x14ac:dyDescent="0.2">
      <c r="A24" s="1622" t="s">
        <v>0</v>
      </c>
      <c r="B24" s="1623" t="s">
        <v>3380</v>
      </c>
      <c r="C24" s="1622" t="s">
        <v>3467</v>
      </c>
      <c r="D24" s="1622"/>
      <c r="E24" s="1622"/>
      <c r="F24" s="1622"/>
      <c r="G24" s="1622"/>
      <c r="H24" s="1622"/>
      <c r="I24" s="1622" t="s">
        <v>3468</v>
      </c>
      <c r="J24" s="1622"/>
      <c r="K24" s="1622"/>
      <c r="L24" s="1622"/>
      <c r="M24" s="1622"/>
      <c r="N24" s="1622"/>
      <c r="O24" s="519"/>
      <c r="P24" s="519"/>
      <c r="Q24" s="519"/>
      <c r="R24" s="519"/>
      <c r="S24" s="519"/>
      <c r="T24" s="519"/>
      <c r="U24" s="519"/>
    </row>
    <row r="25" spans="1:21" s="442" customFormat="1" ht="12" x14ac:dyDescent="0.2">
      <c r="A25" s="1624"/>
      <c r="B25" s="1625"/>
      <c r="C25" s="1626" t="s">
        <v>3460</v>
      </c>
      <c r="D25" s="1626" t="s">
        <v>3461</v>
      </c>
      <c r="E25" s="1626" t="s">
        <v>3462</v>
      </c>
      <c r="F25" s="1626" t="s">
        <v>3463</v>
      </c>
      <c r="G25" s="1626" t="s">
        <v>3442</v>
      </c>
      <c r="H25" s="1627" t="s">
        <v>3443</v>
      </c>
      <c r="I25" s="1626" t="s">
        <v>3460</v>
      </c>
      <c r="J25" s="1626" t="s">
        <v>3461</v>
      </c>
      <c r="K25" s="1626" t="s">
        <v>3462</v>
      </c>
      <c r="L25" s="1626" t="s">
        <v>3463</v>
      </c>
      <c r="M25" s="1626" t="s">
        <v>3442</v>
      </c>
      <c r="N25" s="1627" t="s">
        <v>3443</v>
      </c>
      <c r="O25" s="519"/>
      <c r="P25" s="519"/>
      <c r="Q25" s="519"/>
      <c r="R25" s="519"/>
      <c r="S25" s="519"/>
      <c r="T25" s="519"/>
      <c r="U25" s="519"/>
    </row>
    <row r="26" spans="1:21" s="442" customFormat="1" ht="10.199999999999999" x14ac:dyDescent="0.2">
      <c r="A26" s="1638" t="s">
        <v>3</v>
      </c>
      <c r="B26" s="1638"/>
      <c r="C26" s="1630">
        <f t="shared" ref="C26:N26" si="3">SUM(C27:C37)</f>
        <v>12</v>
      </c>
      <c r="D26" s="1630">
        <f t="shared" si="3"/>
        <v>144364750</v>
      </c>
      <c r="E26" s="1630">
        <f t="shared" si="3"/>
        <v>41</v>
      </c>
      <c r="F26" s="1630">
        <f t="shared" si="3"/>
        <v>77719642</v>
      </c>
      <c r="G26" s="1630">
        <f t="shared" si="3"/>
        <v>53</v>
      </c>
      <c r="H26" s="1630">
        <f t="shared" si="3"/>
        <v>222084392</v>
      </c>
      <c r="I26" s="1630">
        <f t="shared" si="3"/>
        <v>17</v>
      </c>
      <c r="J26" s="1630">
        <f t="shared" si="3"/>
        <v>254211858</v>
      </c>
      <c r="K26" s="1630">
        <f t="shared" si="3"/>
        <v>72</v>
      </c>
      <c r="L26" s="1630">
        <f t="shared" si="3"/>
        <v>93526570</v>
      </c>
      <c r="M26" s="1630">
        <f t="shared" si="3"/>
        <v>89</v>
      </c>
      <c r="N26" s="1630">
        <f t="shared" si="3"/>
        <v>347738428</v>
      </c>
      <c r="O26" s="519"/>
      <c r="P26" s="519"/>
      <c r="Q26" s="519"/>
      <c r="R26" s="519"/>
      <c r="S26" s="519"/>
      <c r="T26" s="519"/>
      <c r="U26" s="519"/>
    </row>
    <row r="27" spans="1:21" s="442" customFormat="1" ht="10.199999999999999" x14ac:dyDescent="0.2">
      <c r="A27" s="1631" t="s">
        <v>4</v>
      </c>
      <c r="B27" s="1621" t="s">
        <v>871</v>
      </c>
      <c r="C27" s="1633">
        <v>1</v>
      </c>
      <c r="D27" s="1633">
        <v>15750000</v>
      </c>
      <c r="E27" s="1633">
        <v>0</v>
      </c>
      <c r="F27" s="1633">
        <v>0</v>
      </c>
      <c r="G27" s="1633">
        <f t="shared" ref="G27:H37" si="4">C27+E27</f>
        <v>1</v>
      </c>
      <c r="H27" s="1633">
        <f t="shared" si="4"/>
        <v>15750000</v>
      </c>
      <c r="I27" s="1633">
        <v>2</v>
      </c>
      <c r="J27" s="1633">
        <v>17700000</v>
      </c>
      <c r="K27" s="1633">
        <v>0</v>
      </c>
      <c r="L27" s="1633">
        <v>0</v>
      </c>
      <c r="M27" s="1633">
        <f t="shared" ref="M27:N37" si="5">I27+K27</f>
        <v>2</v>
      </c>
      <c r="N27" s="1633">
        <f t="shared" si="5"/>
        <v>17700000</v>
      </c>
      <c r="O27" s="519"/>
      <c r="P27" s="519"/>
      <c r="Q27" s="519"/>
      <c r="R27" s="519"/>
      <c r="S27" s="519"/>
      <c r="T27" s="519"/>
      <c r="U27" s="519"/>
    </row>
    <row r="28" spans="1:21" s="442" customFormat="1" ht="10.199999999999999" x14ac:dyDescent="0.2">
      <c r="A28" s="1631" t="s">
        <v>3444</v>
      </c>
      <c r="B28" s="1621" t="s">
        <v>872</v>
      </c>
      <c r="C28" s="1633">
        <v>1</v>
      </c>
      <c r="D28" s="1633">
        <v>4677000</v>
      </c>
      <c r="E28" s="1633">
        <v>7</v>
      </c>
      <c r="F28" s="1633">
        <v>10947642</v>
      </c>
      <c r="G28" s="1633">
        <f t="shared" si="4"/>
        <v>8</v>
      </c>
      <c r="H28" s="1633">
        <f t="shared" si="4"/>
        <v>15624642</v>
      </c>
      <c r="I28" s="1633">
        <v>2</v>
      </c>
      <c r="J28" s="1633">
        <v>25400000</v>
      </c>
      <c r="K28" s="1633">
        <v>0</v>
      </c>
      <c r="L28" s="1633">
        <v>0</v>
      </c>
      <c r="M28" s="1633">
        <f t="shared" si="5"/>
        <v>2</v>
      </c>
      <c r="N28" s="1633">
        <f t="shared" si="5"/>
        <v>25400000</v>
      </c>
      <c r="O28" s="519"/>
      <c r="P28" s="519"/>
      <c r="Q28" s="519"/>
      <c r="R28" s="519"/>
      <c r="S28" s="519"/>
      <c r="T28" s="519"/>
      <c r="U28" s="519"/>
    </row>
    <row r="29" spans="1:21" s="442" customFormat="1" ht="10.199999999999999" x14ac:dyDescent="0.2">
      <c r="A29" s="1631" t="s">
        <v>6</v>
      </c>
      <c r="B29" s="1621" t="s">
        <v>875</v>
      </c>
      <c r="C29" s="1633">
        <v>1</v>
      </c>
      <c r="D29" s="1633">
        <v>12000000</v>
      </c>
      <c r="E29" s="1633">
        <v>0</v>
      </c>
      <c r="F29" s="1633">
        <v>0</v>
      </c>
      <c r="G29" s="1633">
        <f t="shared" si="4"/>
        <v>1</v>
      </c>
      <c r="H29" s="1633">
        <f t="shared" si="4"/>
        <v>12000000</v>
      </c>
      <c r="I29" s="1633">
        <v>2</v>
      </c>
      <c r="J29" s="1633">
        <v>9800000</v>
      </c>
      <c r="K29" s="1633">
        <v>0</v>
      </c>
      <c r="L29" s="1633">
        <v>0</v>
      </c>
      <c r="M29" s="1633">
        <f t="shared" si="5"/>
        <v>2</v>
      </c>
      <c r="N29" s="1633">
        <f t="shared" si="5"/>
        <v>9800000</v>
      </c>
      <c r="O29" s="519"/>
      <c r="P29" s="519"/>
      <c r="Q29" s="519"/>
      <c r="R29" s="519"/>
      <c r="S29" s="519"/>
      <c r="T29" s="519"/>
      <c r="U29" s="519"/>
    </row>
    <row r="30" spans="1:21" s="442" customFormat="1" ht="10.199999999999999" x14ac:dyDescent="0.2">
      <c r="A30" s="1631" t="s">
        <v>9</v>
      </c>
      <c r="B30" s="1621" t="s">
        <v>888</v>
      </c>
      <c r="C30" s="1633">
        <v>1</v>
      </c>
      <c r="D30" s="1633">
        <v>10000000</v>
      </c>
      <c r="E30" s="1633">
        <v>0</v>
      </c>
      <c r="F30" s="1633">
        <v>0</v>
      </c>
      <c r="G30" s="1633">
        <f t="shared" si="4"/>
        <v>1</v>
      </c>
      <c r="H30" s="1633">
        <f t="shared" si="4"/>
        <v>10000000</v>
      </c>
      <c r="I30" s="1633">
        <v>2</v>
      </c>
      <c r="J30" s="1633">
        <v>66000000</v>
      </c>
      <c r="K30" s="1633">
        <v>0</v>
      </c>
      <c r="L30" s="1633">
        <v>0</v>
      </c>
      <c r="M30" s="1633">
        <f t="shared" si="5"/>
        <v>2</v>
      </c>
      <c r="N30" s="1633">
        <f t="shared" si="5"/>
        <v>66000000</v>
      </c>
      <c r="O30" s="519"/>
      <c r="P30" s="519"/>
      <c r="Q30" s="519"/>
      <c r="R30" s="519"/>
      <c r="S30" s="519"/>
      <c r="T30" s="519"/>
      <c r="U30" s="519"/>
    </row>
    <row r="31" spans="1:21" s="442" customFormat="1" ht="30.6" x14ac:dyDescent="0.2">
      <c r="A31" s="1631" t="s">
        <v>3445</v>
      </c>
      <c r="B31" s="1621" t="s">
        <v>890</v>
      </c>
      <c r="C31" s="1633">
        <v>2</v>
      </c>
      <c r="D31" s="1633">
        <v>40500000</v>
      </c>
      <c r="E31" s="1633">
        <v>17</v>
      </c>
      <c r="F31" s="1633">
        <v>20000000</v>
      </c>
      <c r="G31" s="1633">
        <f t="shared" si="4"/>
        <v>19</v>
      </c>
      <c r="H31" s="1633">
        <f t="shared" si="4"/>
        <v>60500000</v>
      </c>
      <c r="I31" s="1633">
        <v>2</v>
      </c>
      <c r="J31" s="1633">
        <v>62837290</v>
      </c>
      <c r="K31" s="1633">
        <v>0</v>
      </c>
      <c r="L31" s="1633">
        <v>0</v>
      </c>
      <c r="M31" s="1633">
        <f t="shared" si="5"/>
        <v>2</v>
      </c>
      <c r="N31" s="1633">
        <f t="shared" si="5"/>
        <v>62837290</v>
      </c>
      <c r="O31" s="519"/>
      <c r="P31" s="519"/>
      <c r="Q31" s="519"/>
      <c r="R31" s="519"/>
      <c r="S31" s="519"/>
      <c r="T31" s="519"/>
      <c r="U31" s="519"/>
    </row>
    <row r="32" spans="1:21" s="442" customFormat="1" ht="10.199999999999999" x14ac:dyDescent="0.2">
      <c r="A32" s="1631" t="s">
        <v>3446</v>
      </c>
      <c r="B32" s="1621" t="s">
        <v>2112</v>
      </c>
      <c r="C32" s="1633">
        <v>1</v>
      </c>
      <c r="D32" s="1633">
        <v>16500000</v>
      </c>
      <c r="E32" s="1633">
        <v>0</v>
      </c>
      <c r="F32" s="1633">
        <v>0</v>
      </c>
      <c r="G32" s="1633">
        <f t="shared" si="4"/>
        <v>1</v>
      </c>
      <c r="H32" s="1633">
        <f t="shared" si="4"/>
        <v>16500000</v>
      </c>
      <c r="I32" s="1633">
        <v>1</v>
      </c>
      <c r="J32" s="1633">
        <v>17500000</v>
      </c>
      <c r="K32" s="1633">
        <v>0</v>
      </c>
      <c r="L32" s="1633">
        <v>0</v>
      </c>
      <c r="M32" s="1633">
        <f t="shared" si="5"/>
        <v>1</v>
      </c>
      <c r="N32" s="1633">
        <f t="shared" si="5"/>
        <v>17500000</v>
      </c>
      <c r="O32" s="519"/>
      <c r="P32" s="519"/>
      <c r="Q32" s="519"/>
      <c r="R32" s="519"/>
      <c r="S32" s="519"/>
      <c r="T32" s="519"/>
      <c r="U32" s="519"/>
    </row>
    <row r="33" spans="1:21" s="442" customFormat="1" ht="10.199999999999999" x14ac:dyDescent="0.2">
      <c r="A33" s="1631" t="s">
        <v>14</v>
      </c>
      <c r="B33" s="1621" t="s">
        <v>895</v>
      </c>
      <c r="C33" s="1633">
        <v>2</v>
      </c>
      <c r="D33" s="1633">
        <v>16500000</v>
      </c>
      <c r="E33" s="1633">
        <v>16</v>
      </c>
      <c r="F33" s="1633">
        <v>14000000</v>
      </c>
      <c r="G33" s="1633">
        <f t="shared" si="4"/>
        <v>18</v>
      </c>
      <c r="H33" s="1633">
        <f t="shared" si="4"/>
        <v>30500000</v>
      </c>
      <c r="I33" s="1633">
        <v>1</v>
      </c>
      <c r="J33" s="1633">
        <v>17500000</v>
      </c>
      <c r="K33" s="1633">
        <v>0</v>
      </c>
      <c r="L33" s="1633">
        <v>0</v>
      </c>
      <c r="M33" s="1633">
        <f t="shared" si="5"/>
        <v>1</v>
      </c>
      <c r="N33" s="1633">
        <f t="shared" si="5"/>
        <v>17500000</v>
      </c>
      <c r="O33" s="519"/>
      <c r="P33" s="519"/>
      <c r="Q33" s="519"/>
      <c r="R33" s="519"/>
      <c r="S33" s="519"/>
      <c r="T33" s="519"/>
      <c r="U33" s="519"/>
    </row>
    <row r="34" spans="1:21" s="442" customFormat="1" ht="10.199999999999999" x14ac:dyDescent="0.2">
      <c r="A34" s="1631" t="s">
        <v>15</v>
      </c>
      <c r="B34" s="1621" t="s">
        <v>928</v>
      </c>
      <c r="C34" s="1633">
        <v>1</v>
      </c>
      <c r="D34" s="1633">
        <v>13000000</v>
      </c>
      <c r="E34" s="1633">
        <v>0</v>
      </c>
      <c r="F34" s="1633">
        <v>0</v>
      </c>
      <c r="G34" s="1633">
        <f t="shared" si="4"/>
        <v>1</v>
      </c>
      <c r="H34" s="1633">
        <f t="shared" si="4"/>
        <v>13000000</v>
      </c>
      <c r="I34" s="1633">
        <v>2</v>
      </c>
      <c r="J34" s="1633">
        <v>14000000</v>
      </c>
      <c r="K34" s="1633">
        <v>0</v>
      </c>
      <c r="L34" s="1633">
        <v>0</v>
      </c>
      <c r="M34" s="1633">
        <f t="shared" si="5"/>
        <v>2</v>
      </c>
      <c r="N34" s="1633">
        <f t="shared" si="5"/>
        <v>14000000</v>
      </c>
      <c r="O34" s="519"/>
      <c r="P34" s="519"/>
      <c r="Q34" s="519"/>
      <c r="R34" s="519"/>
      <c r="S34" s="519"/>
      <c r="T34" s="519"/>
      <c r="U34" s="519"/>
    </row>
    <row r="35" spans="1:21" s="442" customFormat="1" ht="10.199999999999999" x14ac:dyDescent="0.2">
      <c r="A35" s="1631" t="s">
        <v>3447</v>
      </c>
      <c r="B35" s="1621" t="s">
        <v>930</v>
      </c>
      <c r="C35" s="1633">
        <v>1</v>
      </c>
      <c r="D35" s="1633">
        <v>7000000</v>
      </c>
      <c r="E35" s="1633">
        <v>1</v>
      </c>
      <c r="F35" s="1633">
        <v>32772000</v>
      </c>
      <c r="G35" s="1633">
        <f t="shared" si="4"/>
        <v>2</v>
      </c>
      <c r="H35" s="1633">
        <f t="shared" si="4"/>
        <v>39772000</v>
      </c>
      <c r="I35" s="1633">
        <v>2</v>
      </c>
      <c r="J35" s="1633">
        <v>16274568</v>
      </c>
      <c r="K35" s="1633">
        <v>1</v>
      </c>
      <c r="L35" s="1633">
        <v>32858000</v>
      </c>
      <c r="M35" s="1633">
        <f t="shared" si="5"/>
        <v>3</v>
      </c>
      <c r="N35" s="1633">
        <f t="shared" si="5"/>
        <v>49132568</v>
      </c>
      <c r="O35" s="519"/>
      <c r="P35" s="519"/>
      <c r="Q35" s="519"/>
      <c r="R35" s="519"/>
      <c r="S35" s="519"/>
      <c r="T35" s="519"/>
      <c r="U35" s="519"/>
    </row>
    <row r="36" spans="1:21" s="442" customFormat="1" ht="10.199999999999999" x14ac:dyDescent="0.2">
      <c r="A36" s="1572" t="s">
        <v>18</v>
      </c>
      <c r="B36" s="1621" t="s">
        <v>934</v>
      </c>
      <c r="C36" s="1633">
        <v>1</v>
      </c>
      <c r="D36" s="1633">
        <v>8437750</v>
      </c>
      <c r="E36" s="1633">
        <v>0</v>
      </c>
      <c r="F36" s="1633">
        <v>0</v>
      </c>
      <c r="G36" s="1633">
        <f t="shared" si="4"/>
        <v>1</v>
      </c>
      <c r="H36" s="1633">
        <f t="shared" si="4"/>
        <v>8437750</v>
      </c>
      <c r="I36" s="1633">
        <v>1</v>
      </c>
      <c r="J36" s="1633">
        <v>7200000</v>
      </c>
      <c r="K36" s="1633">
        <v>0</v>
      </c>
      <c r="L36" s="1633">
        <v>0</v>
      </c>
      <c r="M36" s="1633">
        <f t="shared" si="5"/>
        <v>1</v>
      </c>
      <c r="N36" s="1633">
        <f t="shared" si="5"/>
        <v>7200000</v>
      </c>
      <c r="O36" s="519"/>
      <c r="P36" s="519"/>
      <c r="Q36" s="519"/>
      <c r="R36" s="519"/>
      <c r="S36" s="519"/>
      <c r="T36" s="519"/>
      <c r="U36" s="519"/>
    </row>
    <row r="37" spans="1:21" s="442" customFormat="1" ht="10.199999999999999" x14ac:dyDescent="0.2">
      <c r="A37" s="1621" t="s">
        <v>3448</v>
      </c>
      <c r="B37" s="1621" t="s">
        <v>3449</v>
      </c>
      <c r="C37" s="1633">
        <v>0</v>
      </c>
      <c r="D37" s="1633">
        <v>0</v>
      </c>
      <c r="E37" s="1633">
        <v>0</v>
      </c>
      <c r="F37" s="1633">
        <v>0</v>
      </c>
      <c r="G37" s="1633">
        <f t="shared" si="4"/>
        <v>0</v>
      </c>
      <c r="H37" s="1633">
        <f t="shared" si="4"/>
        <v>0</v>
      </c>
      <c r="I37" s="1633">
        <v>0</v>
      </c>
      <c r="J37" s="1633">
        <v>0</v>
      </c>
      <c r="K37" s="1633">
        <v>71</v>
      </c>
      <c r="L37" s="1633">
        <v>60668570</v>
      </c>
      <c r="M37" s="1633">
        <f t="shared" si="5"/>
        <v>71</v>
      </c>
      <c r="N37" s="1633">
        <f t="shared" si="5"/>
        <v>60668570</v>
      </c>
      <c r="O37" s="519"/>
      <c r="P37" s="519"/>
      <c r="Q37" s="519"/>
      <c r="R37" s="519"/>
      <c r="S37" s="519"/>
      <c r="T37" s="519"/>
      <c r="U37" s="519"/>
    </row>
    <row r="38" spans="1:21" s="442" customFormat="1" ht="10.199999999999999" x14ac:dyDescent="0.2">
      <c r="A38" s="519"/>
      <c r="B38" s="519"/>
      <c r="C38" s="519"/>
      <c r="D38" s="519"/>
      <c r="E38" s="519"/>
      <c r="F38" s="519"/>
      <c r="G38" s="519"/>
      <c r="H38" s="519"/>
      <c r="I38" s="519"/>
      <c r="J38" s="519"/>
      <c r="K38" s="519"/>
      <c r="L38" s="519"/>
      <c r="M38" s="519"/>
      <c r="N38" s="519"/>
      <c r="O38" s="519"/>
      <c r="P38" s="519"/>
      <c r="Q38" s="519"/>
      <c r="R38" s="519"/>
      <c r="S38" s="519"/>
      <c r="T38" s="519"/>
      <c r="U38" s="519"/>
    </row>
    <row r="39" spans="1:21" s="442" customFormat="1" ht="10.199999999999999" x14ac:dyDescent="0.2">
      <c r="A39" s="1300" t="s">
        <v>3466</v>
      </c>
      <c r="B39" s="519"/>
      <c r="C39" s="519"/>
      <c r="D39" s="519"/>
      <c r="E39" s="519"/>
      <c r="F39" s="519"/>
      <c r="G39" s="519"/>
      <c r="H39" s="519"/>
      <c r="I39" s="519"/>
      <c r="J39" s="519"/>
      <c r="K39" s="519"/>
      <c r="L39" s="519"/>
      <c r="M39" s="519"/>
      <c r="N39" s="519"/>
      <c r="O39" s="519"/>
      <c r="P39" s="519"/>
      <c r="Q39" s="519"/>
      <c r="R39" s="519"/>
      <c r="S39" s="519"/>
      <c r="T39" s="519"/>
      <c r="U39" s="519"/>
    </row>
    <row r="40" spans="1:21" s="442" customFormat="1" ht="10.199999999999999" x14ac:dyDescent="0.2">
      <c r="A40" s="1300"/>
      <c r="B40" s="519"/>
      <c r="C40" s="519"/>
      <c r="D40" s="519"/>
      <c r="E40" s="519"/>
      <c r="F40" s="519"/>
      <c r="G40" s="519"/>
      <c r="H40" s="519"/>
      <c r="I40" s="519"/>
      <c r="J40" s="519"/>
      <c r="K40" s="519"/>
      <c r="L40" s="519"/>
      <c r="M40" s="519"/>
      <c r="N40" s="519"/>
      <c r="O40" s="519"/>
      <c r="P40" s="519"/>
      <c r="Q40" s="519"/>
      <c r="R40" s="519"/>
      <c r="S40" s="519"/>
      <c r="T40" s="519"/>
      <c r="U40" s="519"/>
    </row>
    <row r="41" spans="1:21" s="442" customFormat="1" ht="10.199999999999999" x14ac:dyDescent="0.2">
      <c r="A41" s="1622" t="s">
        <v>0</v>
      </c>
      <c r="B41" s="1623" t="s">
        <v>3380</v>
      </c>
      <c r="C41" s="1622" t="s">
        <v>3469</v>
      </c>
      <c r="D41" s="1622"/>
      <c r="E41" s="1622"/>
      <c r="F41" s="1622"/>
      <c r="G41" s="1622"/>
      <c r="H41" s="1622"/>
      <c r="I41" s="519"/>
      <c r="J41" s="519"/>
      <c r="K41" s="519"/>
      <c r="L41" s="519"/>
      <c r="M41" s="519"/>
      <c r="N41" s="519"/>
      <c r="O41" s="519"/>
      <c r="P41" s="519"/>
      <c r="Q41" s="519"/>
      <c r="R41" s="519"/>
      <c r="S41" s="519"/>
      <c r="T41" s="519"/>
      <c r="U41" s="519"/>
    </row>
    <row r="42" spans="1:21" s="442" customFormat="1" ht="12" x14ac:dyDescent="0.2">
      <c r="A42" s="1624"/>
      <c r="B42" s="1625"/>
      <c r="C42" s="1626" t="s">
        <v>3460</v>
      </c>
      <c r="D42" s="1626" t="s">
        <v>3461</v>
      </c>
      <c r="E42" s="1626" t="s">
        <v>3462</v>
      </c>
      <c r="F42" s="1626" t="s">
        <v>3463</v>
      </c>
      <c r="G42" s="1626" t="s">
        <v>3442</v>
      </c>
      <c r="H42" s="1627" t="s">
        <v>3443</v>
      </c>
      <c r="I42" s="519"/>
      <c r="J42" s="519"/>
      <c r="K42" s="519"/>
      <c r="L42" s="519"/>
      <c r="M42" s="519"/>
      <c r="N42" s="519"/>
      <c r="O42" s="519"/>
      <c r="P42" s="519"/>
      <c r="Q42" s="519"/>
      <c r="R42" s="519"/>
      <c r="S42" s="519"/>
      <c r="T42" s="519"/>
      <c r="U42" s="519"/>
    </row>
    <row r="43" spans="1:21" s="442" customFormat="1" ht="10.199999999999999" x14ac:dyDescent="0.2">
      <c r="A43" s="1639" t="s">
        <v>3</v>
      </c>
      <c r="B43" s="1639"/>
      <c r="C43" s="1640">
        <f>SUM(C44:C54)</f>
        <v>23</v>
      </c>
      <c r="D43" s="1585">
        <f>SUM(D44:D54)</f>
        <v>320000000</v>
      </c>
      <c r="E43" s="1585">
        <f>SUM(E44:E54)</f>
        <v>71</v>
      </c>
      <c r="F43" s="1585">
        <v>61000000</v>
      </c>
      <c r="G43" s="1585">
        <f t="shared" ref="G43:H54" si="6">C43+E43</f>
        <v>94</v>
      </c>
      <c r="H43" s="1640">
        <f t="shared" si="6"/>
        <v>381000000</v>
      </c>
      <c r="I43" s="519"/>
      <c r="J43" s="519"/>
      <c r="K43" s="519"/>
      <c r="L43" s="519"/>
      <c r="M43" s="519"/>
      <c r="N43" s="519"/>
      <c r="O43" s="519"/>
      <c r="P43" s="519"/>
      <c r="Q43" s="519"/>
      <c r="R43" s="519"/>
      <c r="S43" s="519"/>
      <c r="T43" s="519"/>
      <c r="U43" s="519"/>
    </row>
    <row r="44" spans="1:21" s="442" customFormat="1" ht="10.199999999999999" x14ac:dyDescent="0.2">
      <c r="A44" s="1631" t="s">
        <v>4</v>
      </c>
      <c r="B44" s="1621" t="s">
        <v>871</v>
      </c>
      <c r="C44" s="1641">
        <v>3</v>
      </c>
      <c r="D44" s="1641">
        <v>21500000</v>
      </c>
      <c r="E44" s="1633">
        <v>2</v>
      </c>
      <c r="F44" s="1633">
        <v>1450000</v>
      </c>
      <c r="G44" s="127">
        <f t="shared" si="6"/>
        <v>5</v>
      </c>
      <c r="H44" s="1642">
        <f t="shared" si="6"/>
        <v>22950000</v>
      </c>
      <c r="I44" s="519"/>
      <c r="J44" s="519"/>
      <c r="K44" s="519"/>
      <c r="L44" s="519"/>
      <c r="M44" s="519"/>
      <c r="N44" s="519"/>
      <c r="O44" s="519"/>
      <c r="P44" s="519"/>
      <c r="Q44" s="519"/>
      <c r="R44" s="519"/>
      <c r="S44" s="519"/>
      <c r="T44" s="519"/>
      <c r="U44" s="519"/>
    </row>
    <row r="45" spans="1:21" s="442" customFormat="1" ht="10.199999999999999" x14ac:dyDescent="0.2">
      <c r="A45" s="1631" t="s">
        <v>3444</v>
      </c>
      <c r="B45" s="1621" t="s">
        <v>872</v>
      </c>
      <c r="C45" s="1641">
        <v>2</v>
      </c>
      <c r="D45" s="1641">
        <v>24000000</v>
      </c>
      <c r="E45" s="1633">
        <v>4</v>
      </c>
      <c r="F45" s="1643">
        <v>3600000</v>
      </c>
      <c r="G45" s="127">
        <f t="shared" si="6"/>
        <v>6</v>
      </c>
      <c r="H45" s="1642">
        <f t="shared" si="6"/>
        <v>27600000</v>
      </c>
      <c r="I45" s="519"/>
      <c r="J45" s="519"/>
      <c r="K45" s="519"/>
      <c r="L45" s="519"/>
      <c r="M45" s="519"/>
      <c r="N45" s="519"/>
      <c r="O45" s="519"/>
      <c r="P45" s="519"/>
      <c r="Q45" s="519"/>
      <c r="R45" s="519"/>
      <c r="S45" s="519"/>
      <c r="T45" s="519"/>
      <c r="U45" s="519"/>
    </row>
    <row r="46" spans="1:21" s="442" customFormat="1" ht="10.199999999999999" x14ac:dyDescent="0.2">
      <c r="A46" s="1631" t="s">
        <v>6</v>
      </c>
      <c r="B46" s="1621" t="s">
        <v>875</v>
      </c>
      <c r="C46" s="1641">
        <v>2</v>
      </c>
      <c r="D46" s="1641">
        <v>15000000</v>
      </c>
      <c r="E46" s="1633">
        <v>1</v>
      </c>
      <c r="F46" s="1633">
        <v>1800000</v>
      </c>
      <c r="G46" s="127">
        <f t="shared" si="6"/>
        <v>3</v>
      </c>
      <c r="H46" s="1642">
        <f t="shared" si="6"/>
        <v>16800000</v>
      </c>
      <c r="I46" s="519"/>
      <c r="J46" s="519"/>
      <c r="K46" s="519"/>
      <c r="L46" s="519"/>
      <c r="M46" s="519"/>
      <c r="N46" s="519"/>
      <c r="O46" s="519"/>
      <c r="P46" s="519"/>
      <c r="Q46" s="519"/>
      <c r="R46" s="519"/>
      <c r="S46" s="519"/>
      <c r="T46" s="519"/>
      <c r="U46" s="519"/>
    </row>
    <row r="47" spans="1:21" s="442" customFormat="1" ht="10.199999999999999" x14ac:dyDescent="0.2">
      <c r="A47" s="1631" t="s">
        <v>9</v>
      </c>
      <c r="B47" s="1621" t="s">
        <v>888</v>
      </c>
      <c r="C47" s="1641">
        <v>2</v>
      </c>
      <c r="D47" s="1641">
        <v>76800000</v>
      </c>
      <c r="E47" s="1633">
        <v>2</v>
      </c>
      <c r="F47" s="1643">
        <v>1900000</v>
      </c>
      <c r="G47" s="127">
        <f t="shared" si="6"/>
        <v>4</v>
      </c>
      <c r="H47" s="1642">
        <f t="shared" si="6"/>
        <v>78700000</v>
      </c>
      <c r="I47" s="519"/>
      <c r="J47" s="519"/>
      <c r="K47" s="519"/>
      <c r="L47" s="519"/>
      <c r="M47" s="519"/>
      <c r="N47" s="519"/>
      <c r="O47" s="519"/>
      <c r="P47" s="519"/>
      <c r="Q47" s="519"/>
      <c r="R47" s="519"/>
      <c r="S47" s="519"/>
      <c r="T47" s="519"/>
      <c r="U47" s="519"/>
    </row>
    <row r="48" spans="1:21" s="442" customFormat="1" ht="30.6" x14ac:dyDescent="0.2">
      <c r="A48" s="1631" t="s">
        <v>3445</v>
      </c>
      <c r="B48" s="1621" t="s">
        <v>890</v>
      </c>
      <c r="C48" s="1641">
        <v>2</v>
      </c>
      <c r="D48" s="1641">
        <v>50000000</v>
      </c>
      <c r="E48" s="1633">
        <v>13</v>
      </c>
      <c r="F48" s="1643">
        <v>12050000</v>
      </c>
      <c r="G48" s="127">
        <f t="shared" si="6"/>
        <v>15</v>
      </c>
      <c r="H48" s="1642">
        <f t="shared" si="6"/>
        <v>62050000</v>
      </c>
      <c r="I48" s="519"/>
      <c r="J48" s="519"/>
      <c r="K48" s="519"/>
      <c r="L48" s="519"/>
      <c r="M48" s="519"/>
      <c r="N48" s="519"/>
      <c r="O48" s="519"/>
      <c r="P48" s="519"/>
      <c r="Q48" s="519"/>
      <c r="R48" s="519"/>
      <c r="S48" s="519"/>
      <c r="T48" s="519"/>
      <c r="U48" s="519"/>
    </row>
    <row r="49" spans="1:21" s="442" customFormat="1" ht="10.199999999999999" x14ac:dyDescent="0.2">
      <c r="A49" s="1631" t="s">
        <v>3446</v>
      </c>
      <c r="B49" s="1621" t="s">
        <v>2112</v>
      </c>
      <c r="C49" s="1641">
        <v>1</v>
      </c>
      <c r="D49" s="1641">
        <v>21000000</v>
      </c>
      <c r="E49" s="1633">
        <v>5</v>
      </c>
      <c r="F49" s="1643">
        <v>4900000</v>
      </c>
      <c r="G49" s="127">
        <f t="shared" si="6"/>
        <v>6</v>
      </c>
      <c r="H49" s="1642">
        <f t="shared" si="6"/>
        <v>25900000</v>
      </c>
      <c r="I49" s="519"/>
      <c r="J49" s="519"/>
      <c r="K49" s="519"/>
      <c r="L49" s="519"/>
      <c r="M49" s="519"/>
      <c r="N49" s="519"/>
      <c r="O49" s="519"/>
      <c r="P49" s="519"/>
      <c r="Q49" s="519"/>
      <c r="R49" s="519"/>
      <c r="S49" s="519"/>
      <c r="T49" s="519"/>
      <c r="U49" s="519"/>
    </row>
    <row r="50" spans="1:21" s="442" customFormat="1" ht="10.199999999999999" x14ac:dyDescent="0.2">
      <c r="A50" s="1631" t="s">
        <v>14</v>
      </c>
      <c r="B50" s="1621" t="s">
        <v>895</v>
      </c>
      <c r="C50" s="1641">
        <v>2</v>
      </c>
      <c r="D50" s="1641">
        <v>22000000</v>
      </c>
      <c r="E50" s="1633">
        <v>41</v>
      </c>
      <c r="F50" s="1643">
        <v>33500000</v>
      </c>
      <c r="G50" s="127">
        <f t="shared" si="6"/>
        <v>43</v>
      </c>
      <c r="H50" s="1642">
        <f t="shared" si="6"/>
        <v>55500000</v>
      </c>
      <c r="I50" s="519"/>
      <c r="J50" s="519"/>
      <c r="K50" s="519"/>
      <c r="L50" s="519"/>
      <c r="M50" s="519"/>
      <c r="N50" s="519"/>
      <c r="O50" s="519"/>
      <c r="P50" s="519"/>
      <c r="Q50" s="519"/>
      <c r="R50" s="519"/>
      <c r="S50" s="519"/>
      <c r="T50" s="519"/>
      <c r="U50" s="519"/>
    </row>
    <row r="51" spans="1:21" s="442" customFormat="1" ht="10.199999999999999" x14ac:dyDescent="0.2">
      <c r="A51" s="1631" t="s">
        <v>15</v>
      </c>
      <c r="B51" s="1621" t="s">
        <v>928</v>
      </c>
      <c r="C51" s="1641">
        <v>2</v>
      </c>
      <c r="D51" s="1641">
        <v>17000000</v>
      </c>
      <c r="E51" s="1633">
        <v>1</v>
      </c>
      <c r="F51" s="1643">
        <v>800000</v>
      </c>
      <c r="G51" s="127">
        <f t="shared" si="6"/>
        <v>3</v>
      </c>
      <c r="H51" s="1642">
        <f t="shared" si="6"/>
        <v>17800000</v>
      </c>
      <c r="I51" s="519"/>
      <c r="J51" s="519"/>
      <c r="K51" s="519"/>
      <c r="L51" s="519"/>
      <c r="M51" s="519"/>
      <c r="N51" s="519"/>
      <c r="O51" s="519"/>
      <c r="P51" s="519"/>
      <c r="Q51" s="519"/>
      <c r="R51" s="519"/>
      <c r="S51" s="519"/>
      <c r="T51" s="519"/>
      <c r="U51" s="519"/>
    </row>
    <row r="52" spans="1:21" s="442" customFormat="1" ht="10.199999999999999" x14ac:dyDescent="0.2">
      <c r="A52" s="1631" t="s">
        <v>3447</v>
      </c>
      <c r="B52" s="1621" t="s">
        <v>930</v>
      </c>
      <c r="C52" s="1641">
        <v>2</v>
      </c>
      <c r="D52" s="1641">
        <v>20000000</v>
      </c>
      <c r="E52" s="1633">
        <v>2</v>
      </c>
      <c r="F52" s="1643">
        <v>1000000</v>
      </c>
      <c r="G52" s="127">
        <f t="shared" si="6"/>
        <v>4</v>
      </c>
      <c r="H52" s="1642">
        <f t="shared" si="6"/>
        <v>21000000</v>
      </c>
      <c r="I52" s="519"/>
      <c r="J52" s="519"/>
      <c r="K52" s="519"/>
      <c r="L52" s="519"/>
      <c r="M52" s="519"/>
      <c r="N52" s="519"/>
      <c r="O52" s="519"/>
      <c r="P52" s="519"/>
      <c r="Q52" s="519"/>
      <c r="R52" s="519"/>
      <c r="S52" s="519"/>
      <c r="T52" s="519"/>
      <c r="U52" s="519"/>
    </row>
    <row r="53" spans="1:21" s="442" customFormat="1" ht="10.199999999999999" x14ac:dyDescent="0.2">
      <c r="A53" s="1572" t="s">
        <v>18</v>
      </c>
      <c r="B53" s="1621" t="s">
        <v>934</v>
      </c>
      <c r="C53" s="1641">
        <v>3</v>
      </c>
      <c r="D53" s="1641">
        <v>33000000</v>
      </c>
      <c r="E53" s="1633">
        <v>0</v>
      </c>
      <c r="F53" s="1633">
        <v>0</v>
      </c>
      <c r="G53" s="127">
        <f t="shared" si="6"/>
        <v>3</v>
      </c>
      <c r="H53" s="1642">
        <f t="shared" si="6"/>
        <v>33000000</v>
      </c>
      <c r="I53" s="519"/>
      <c r="J53" s="519"/>
      <c r="K53" s="519"/>
      <c r="L53" s="519"/>
      <c r="M53" s="519"/>
      <c r="N53" s="519"/>
      <c r="O53" s="519"/>
      <c r="P53" s="519"/>
      <c r="Q53" s="519"/>
      <c r="R53" s="519"/>
      <c r="S53" s="519"/>
      <c r="T53" s="519"/>
      <c r="U53" s="519"/>
    </row>
    <row r="54" spans="1:21" s="442" customFormat="1" ht="10.199999999999999" x14ac:dyDescent="0.2">
      <c r="A54" s="1621" t="s">
        <v>3448</v>
      </c>
      <c r="B54" s="1621" t="s">
        <v>3449</v>
      </c>
      <c r="C54" s="1641">
        <v>2</v>
      </c>
      <c r="D54" s="1641">
        <v>19700000</v>
      </c>
      <c r="E54" s="1633">
        <v>0</v>
      </c>
      <c r="F54" s="1633">
        <v>0</v>
      </c>
      <c r="G54" s="127">
        <f t="shared" si="6"/>
        <v>2</v>
      </c>
      <c r="H54" s="1642">
        <f t="shared" si="6"/>
        <v>19700000</v>
      </c>
      <c r="I54" s="519"/>
      <c r="J54" s="519"/>
      <c r="K54" s="519"/>
      <c r="L54" s="519"/>
      <c r="M54" s="519"/>
      <c r="N54" s="519"/>
      <c r="O54" s="519"/>
      <c r="P54" s="519"/>
      <c r="Q54" s="519"/>
      <c r="R54" s="519"/>
      <c r="S54" s="519"/>
      <c r="T54" s="519"/>
      <c r="U54" s="519"/>
    </row>
    <row r="55" spans="1:21" s="442" customFormat="1" ht="6.75" customHeight="1" x14ac:dyDescent="0.2">
      <c r="A55" s="1621"/>
      <c r="B55" s="1621"/>
      <c r="C55" s="788"/>
      <c r="D55" s="1644"/>
      <c r="E55" s="1645"/>
      <c r="F55" s="1646"/>
      <c r="G55" s="578"/>
      <c r="H55" s="1647"/>
      <c r="I55" s="519"/>
      <c r="J55" s="519"/>
      <c r="K55" s="519"/>
      <c r="L55" s="519"/>
      <c r="M55" s="519"/>
      <c r="N55" s="519"/>
      <c r="O55" s="519"/>
      <c r="P55" s="519"/>
      <c r="Q55" s="519"/>
      <c r="R55" s="519"/>
      <c r="S55" s="519"/>
      <c r="T55" s="519"/>
      <c r="U55" s="519"/>
    </row>
    <row r="56" spans="1:21" s="442" customFormat="1" ht="10.199999999999999" x14ac:dyDescent="0.2">
      <c r="A56" s="2" t="s">
        <v>197</v>
      </c>
      <c r="B56" s="1621"/>
      <c r="C56" s="788"/>
      <c r="D56" s="1644"/>
      <c r="E56" s="1648"/>
      <c r="F56" s="1649"/>
      <c r="G56" s="578"/>
      <c r="H56" s="1647"/>
      <c r="I56" s="519"/>
      <c r="J56" s="519"/>
      <c r="K56" s="519"/>
      <c r="L56" s="519"/>
      <c r="M56" s="519"/>
      <c r="N56" s="519"/>
      <c r="O56" s="519"/>
      <c r="P56" s="519"/>
      <c r="Q56" s="519"/>
      <c r="R56" s="519"/>
      <c r="S56" s="519"/>
      <c r="T56" s="519"/>
      <c r="U56" s="519"/>
    </row>
    <row r="57" spans="1:21" s="442" customFormat="1" ht="10.199999999999999" x14ac:dyDescent="0.2">
      <c r="A57" s="519" t="s">
        <v>3399</v>
      </c>
      <c r="B57" s="519"/>
      <c r="C57" s="519"/>
      <c r="D57" s="519"/>
      <c r="E57" s="519"/>
      <c r="F57" s="519"/>
      <c r="G57" s="519"/>
      <c r="H57" s="519"/>
      <c r="I57" s="519"/>
      <c r="J57" s="519"/>
      <c r="K57" s="519"/>
      <c r="L57" s="519"/>
      <c r="M57" s="519"/>
      <c r="N57" s="519"/>
      <c r="O57" s="519"/>
      <c r="P57" s="519"/>
      <c r="Q57" s="519"/>
      <c r="R57" s="519"/>
      <c r="S57" s="519"/>
      <c r="T57" s="519"/>
      <c r="U57" s="519"/>
    </row>
  </sheetData>
  <mergeCells count="13">
    <mergeCell ref="A26:B26"/>
    <mergeCell ref="A41:A42"/>
    <mergeCell ref="B41:B42"/>
    <mergeCell ref="C41:H41"/>
    <mergeCell ref="A43:B43"/>
    <mergeCell ref="A4:A5"/>
    <mergeCell ref="B4:B5"/>
    <mergeCell ref="C4:H4"/>
    <mergeCell ref="I4:N4"/>
    <mergeCell ref="A24:A25"/>
    <mergeCell ref="B24:B25"/>
    <mergeCell ref="C24:H24"/>
    <mergeCell ref="I24:N24"/>
  </mergeCells>
  <pageMargins left="0.7" right="0.7" top="0.75" bottom="0.75" header="0.3" footer="0.3"/>
  <pageSetup paperSize="14" scale="77" orientation="landscape" r:id="rId1"/>
  <rowBreaks count="1" manualBreakCount="1">
    <brk id="38" max="1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2:R50"/>
  <sheetViews>
    <sheetView workbookViewId="0"/>
  </sheetViews>
  <sheetFormatPr baseColWidth="10" defaultColWidth="11.44140625" defaultRowHeight="10.199999999999999" x14ac:dyDescent="0.2"/>
  <cols>
    <col min="1" max="1" width="37.5546875" style="15" customWidth="1"/>
    <col min="2" max="2" width="9.33203125" style="15" customWidth="1"/>
    <col min="3" max="3" width="17.6640625" style="15" customWidth="1"/>
    <col min="4" max="4" width="26.88671875" style="15" customWidth="1"/>
    <col min="5" max="5" width="20.6640625" style="15" customWidth="1"/>
    <col min="6" max="16384" width="11.44140625" style="15"/>
  </cols>
  <sheetData>
    <row r="2" spans="1:5" ht="23.25" customHeight="1" x14ac:dyDescent="0.2">
      <c r="A2" s="52" t="s">
        <v>87</v>
      </c>
      <c r="B2" s="52"/>
      <c r="C2" s="52"/>
      <c r="D2" s="52"/>
      <c r="E2" s="52"/>
    </row>
    <row r="3" spans="1:5" x14ac:dyDescent="0.2">
      <c r="A3" s="28"/>
      <c r="B3" s="28"/>
      <c r="C3" s="28"/>
      <c r="D3" s="28"/>
      <c r="E3" s="28"/>
    </row>
    <row r="4" spans="1:5" ht="12.75" customHeight="1" x14ac:dyDescent="0.2">
      <c r="A4" s="50" t="s">
        <v>76</v>
      </c>
      <c r="B4" s="50" t="s">
        <v>42</v>
      </c>
      <c r="C4" s="47" t="s">
        <v>49</v>
      </c>
      <c r="D4" s="48"/>
      <c r="E4" s="49"/>
    </row>
    <row r="5" spans="1:5" ht="30.75" customHeight="1" x14ac:dyDescent="0.2">
      <c r="A5" s="51"/>
      <c r="B5" s="51"/>
      <c r="C5" s="39" t="s">
        <v>20</v>
      </c>
      <c r="D5" s="39" t="s">
        <v>75</v>
      </c>
      <c r="E5" s="39" t="s">
        <v>74</v>
      </c>
    </row>
    <row r="6" spans="1:5" x14ac:dyDescent="0.2">
      <c r="A6" s="23" t="s">
        <v>3</v>
      </c>
      <c r="B6" s="29">
        <f>SUM(B7+B11+B13+B16+B19+B24+B27+B34+B40+B43+B45)</f>
        <v>1329</v>
      </c>
      <c r="C6" s="29">
        <f>SUM(C7+C11+C13+C16+C19+C24+C27+C34+C40+C43+C45)</f>
        <v>538</v>
      </c>
      <c r="D6" s="29">
        <f t="shared" ref="D6:E6" si="0">SUM(D7+D11+D13+D16+D19+D24+D27+D34+D40+D43+D45)</f>
        <v>695</v>
      </c>
      <c r="E6" s="29">
        <f t="shared" si="0"/>
        <v>96</v>
      </c>
    </row>
    <row r="7" spans="1:5" x14ac:dyDescent="0.2">
      <c r="A7" s="28" t="s">
        <v>21</v>
      </c>
      <c r="B7" s="30">
        <f>SUM(C7:E7)</f>
        <v>24</v>
      </c>
      <c r="C7" s="29">
        <f>SUM(C8:C10)</f>
        <v>7</v>
      </c>
      <c r="D7" s="29">
        <f t="shared" ref="D7:E7" si="1">SUM(D8:D10)</f>
        <v>12</v>
      </c>
      <c r="E7" s="29">
        <f t="shared" si="1"/>
        <v>5</v>
      </c>
    </row>
    <row r="8" spans="1:5" x14ac:dyDescent="0.2">
      <c r="A8" s="31" t="s">
        <v>54</v>
      </c>
      <c r="B8" s="30">
        <f t="shared" ref="B8:B46" si="2">SUM(C8:E8)</f>
        <v>12</v>
      </c>
      <c r="C8" s="35">
        <v>0</v>
      </c>
      <c r="D8" s="35">
        <v>12</v>
      </c>
      <c r="E8" s="35">
        <v>0</v>
      </c>
    </row>
    <row r="9" spans="1:5" x14ac:dyDescent="0.2">
      <c r="A9" s="31" t="s">
        <v>53</v>
      </c>
      <c r="B9" s="30">
        <f t="shared" si="2"/>
        <v>10</v>
      </c>
      <c r="C9" s="35">
        <v>7</v>
      </c>
      <c r="D9" s="35">
        <v>0</v>
      </c>
      <c r="E9" s="35">
        <v>3</v>
      </c>
    </row>
    <row r="10" spans="1:5" x14ac:dyDescent="0.2">
      <c r="A10" s="31" t="s">
        <v>22</v>
      </c>
      <c r="B10" s="30">
        <f t="shared" si="2"/>
        <v>2</v>
      </c>
      <c r="C10" s="35">
        <v>0</v>
      </c>
      <c r="D10" s="35">
        <v>0</v>
      </c>
      <c r="E10" s="35">
        <v>2</v>
      </c>
    </row>
    <row r="11" spans="1:5" x14ac:dyDescent="0.2">
      <c r="A11" s="28" t="s">
        <v>23</v>
      </c>
      <c r="B11" s="30">
        <f t="shared" si="2"/>
        <v>3</v>
      </c>
      <c r="C11" s="29">
        <f>SUM(C12)</f>
        <v>3</v>
      </c>
      <c r="D11" s="29">
        <f t="shared" ref="D11:E11" si="3">SUM(D12)</f>
        <v>0</v>
      </c>
      <c r="E11" s="29">
        <f t="shared" si="3"/>
        <v>0</v>
      </c>
    </row>
    <row r="12" spans="1:5" x14ac:dyDescent="0.2">
      <c r="A12" s="31" t="s">
        <v>24</v>
      </c>
      <c r="B12" s="30">
        <f t="shared" si="2"/>
        <v>3</v>
      </c>
      <c r="C12" s="35">
        <v>3</v>
      </c>
      <c r="D12" s="35">
        <v>0</v>
      </c>
      <c r="E12" s="35">
        <v>0</v>
      </c>
    </row>
    <row r="13" spans="1:5" x14ac:dyDescent="0.2">
      <c r="A13" s="28" t="s">
        <v>55</v>
      </c>
      <c r="B13" s="30">
        <f t="shared" si="2"/>
        <v>55</v>
      </c>
      <c r="C13" s="29">
        <f>SUM(C14:C15)</f>
        <v>42</v>
      </c>
      <c r="D13" s="29">
        <f t="shared" ref="D13:E13" si="4">SUM(D14:D15)</f>
        <v>0</v>
      </c>
      <c r="E13" s="29">
        <f t="shared" si="4"/>
        <v>13</v>
      </c>
    </row>
    <row r="14" spans="1:5" x14ac:dyDescent="0.2">
      <c r="A14" s="31" t="s">
        <v>56</v>
      </c>
      <c r="B14" s="30">
        <f t="shared" si="2"/>
        <v>40</v>
      </c>
      <c r="C14" s="35">
        <v>27</v>
      </c>
      <c r="D14" s="35">
        <v>0</v>
      </c>
      <c r="E14" s="35">
        <v>13</v>
      </c>
    </row>
    <row r="15" spans="1:5" x14ac:dyDescent="0.2">
      <c r="A15" s="31" t="s">
        <v>25</v>
      </c>
      <c r="B15" s="30">
        <f t="shared" si="2"/>
        <v>15</v>
      </c>
      <c r="C15" s="35">
        <v>15</v>
      </c>
      <c r="D15" s="35">
        <v>0</v>
      </c>
      <c r="E15" s="35">
        <v>0</v>
      </c>
    </row>
    <row r="16" spans="1:5" x14ac:dyDescent="0.2">
      <c r="A16" s="28" t="s">
        <v>26</v>
      </c>
      <c r="B16" s="30">
        <f t="shared" si="2"/>
        <v>32</v>
      </c>
      <c r="C16" s="29">
        <f>SUM(C17:C18)</f>
        <v>32</v>
      </c>
      <c r="D16" s="29">
        <f t="shared" ref="D16:E16" si="5">SUM(D17:D18)</f>
        <v>0</v>
      </c>
      <c r="E16" s="29">
        <f t="shared" si="5"/>
        <v>0</v>
      </c>
    </row>
    <row r="17" spans="1:5" x14ac:dyDescent="0.2">
      <c r="A17" s="31" t="s">
        <v>27</v>
      </c>
      <c r="B17" s="30">
        <f t="shared" si="2"/>
        <v>8</v>
      </c>
      <c r="C17" s="35">
        <v>8</v>
      </c>
      <c r="D17" s="35">
        <v>0</v>
      </c>
      <c r="E17" s="35">
        <v>0</v>
      </c>
    </row>
    <row r="18" spans="1:5" x14ac:dyDescent="0.2">
      <c r="A18" s="31" t="s">
        <v>28</v>
      </c>
      <c r="B18" s="30">
        <f t="shared" si="2"/>
        <v>24</v>
      </c>
      <c r="C18" s="35">
        <v>24</v>
      </c>
      <c r="D18" s="35">
        <v>0</v>
      </c>
      <c r="E18" s="35">
        <v>0</v>
      </c>
    </row>
    <row r="19" spans="1:5" x14ac:dyDescent="0.2">
      <c r="A19" s="28" t="s">
        <v>29</v>
      </c>
      <c r="B19" s="30">
        <f t="shared" si="2"/>
        <v>127</v>
      </c>
      <c r="C19" s="29">
        <f>SUM(C20:C23)</f>
        <v>80</v>
      </c>
      <c r="D19" s="29">
        <f t="shared" ref="D19:E19" si="6">SUM(D20:D23)</f>
        <v>43</v>
      </c>
      <c r="E19" s="29">
        <f t="shared" si="6"/>
        <v>4</v>
      </c>
    </row>
    <row r="20" spans="1:5" x14ac:dyDescent="0.2">
      <c r="A20" s="31" t="s">
        <v>30</v>
      </c>
      <c r="B20" s="30">
        <f t="shared" si="2"/>
        <v>80</v>
      </c>
      <c r="C20" s="35">
        <v>80</v>
      </c>
      <c r="D20" s="35">
        <v>0</v>
      </c>
      <c r="E20" s="35">
        <v>0</v>
      </c>
    </row>
    <row r="21" spans="1:5" x14ac:dyDescent="0.2">
      <c r="A21" s="31" t="s">
        <v>57</v>
      </c>
      <c r="B21" s="30">
        <f t="shared" si="2"/>
        <v>40</v>
      </c>
      <c r="C21" s="35">
        <v>0</v>
      </c>
      <c r="D21" s="35">
        <v>40</v>
      </c>
      <c r="E21" s="35">
        <v>0</v>
      </c>
    </row>
    <row r="22" spans="1:5" x14ac:dyDescent="0.2">
      <c r="A22" s="31" t="s">
        <v>58</v>
      </c>
      <c r="B22" s="30">
        <f t="shared" si="2"/>
        <v>3</v>
      </c>
      <c r="C22" s="35">
        <v>0</v>
      </c>
      <c r="D22" s="35">
        <v>3</v>
      </c>
      <c r="E22" s="35">
        <v>0</v>
      </c>
    </row>
    <row r="23" spans="1:5" x14ac:dyDescent="0.2">
      <c r="A23" s="31" t="s">
        <v>59</v>
      </c>
      <c r="B23" s="30">
        <f t="shared" si="2"/>
        <v>4</v>
      </c>
      <c r="C23" s="35">
        <v>0</v>
      </c>
      <c r="D23" s="35">
        <v>0</v>
      </c>
      <c r="E23" s="35">
        <v>4</v>
      </c>
    </row>
    <row r="24" spans="1:5" x14ac:dyDescent="0.2">
      <c r="A24" s="28" t="s">
        <v>70</v>
      </c>
      <c r="B24" s="30">
        <f t="shared" si="2"/>
        <v>61</v>
      </c>
      <c r="C24" s="29">
        <f>SUM(C25:C26)</f>
        <v>1</v>
      </c>
      <c r="D24" s="29">
        <f t="shared" ref="D24:E24" si="7">SUM(D25:D26)</f>
        <v>14</v>
      </c>
      <c r="E24" s="29">
        <f t="shared" si="7"/>
        <v>46</v>
      </c>
    </row>
    <row r="25" spans="1:5" x14ac:dyDescent="0.2">
      <c r="A25" s="31" t="s">
        <v>31</v>
      </c>
      <c r="B25" s="30">
        <f t="shared" si="2"/>
        <v>14</v>
      </c>
      <c r="C25" s="35">
        <v>0</v>
      </c>
      <c r="D25" s="35">
        <v>14</v>
      </c>
      <c r="E25" s="35">
        <v>0</v>
      </c>
    </row>
    <row r="26" spans="1:5" x14ac:dyDescent="0.2">
      <c r="A26" s="31" t="s">
        <v>32</v>
      </c>
      <c r="B26" s="30">
        <f t="shared" si="2"/>
        <v>47</v>
      </c>
      <c r="C26" s="35">
        <v>1</v>
      </c>
      <c r="D26" s="35">
        <v>0</v>
      </c>
      <c r="E26" s="35">
        <v>46</v>
      </c>
    </row>
    <row r="27" spans="1:5" x14ac:dyDescent="0.2">
      <c r="A27" s="28" t="s">
        <v>33</v>
      </c>
      <c r="B27" s="30">
        <f t="shared" si="2"/>
        <v>74</v>
      </c>
      <c r="C27" s="29">
        <f>SUM(C28:C33)</f>
        <v>49</v>
      </c>
      <c r="D27" s="29">
        <f t="shared" ref="D27:E27" si="8">SUM(D28:D33)</f>
        <v>24</v>
      </c>
      <c r="E27" s="29">
        <f t="shared" si="8"/>
        <v>1</v>
      </c>
    </row>
    <row r="28" spans="1:5" x14ac:dyDescent="0.2">
      <c r="A28" s="31" t="s">
        <v>60</v>
      </c>
      <c r="B28" s="30">
        <f t="shared" si="2"/>
        <v>10</v>
      </c>
      <c r="C28" s="35">
        <v>10</v>
      </c>
      <c r="D28" s="35">
        <v>0</v>
      </c>
      <c r="E28" s="35">
        <v>0</v>
      </c>
    </row>
    <row r="29" spans="1:5" x14ac:dyDescent="0.2">
      <c r="A29" s="31" t="s">
        <v>34</v>
      </c>
      <c r="B29" s="30">
        <f t="shared" si="2"/>
        <v>14</v>
      </c>
      <c r="C29" s="35">
        <v>14</v>
      </c>
      <c r="D29" s="35">
        <v>0</v>
      </c>
      <c r="E29" s="35">
        <v>0</v>
      </c>
    </row>
    <row r="30" spans="1:5" x14ac:dyDescent="0.2">
      <c r="A30" s="31" t="s">
        <v>61</v>
      </c>
      <c r="B30" s="30">
        <f t="shared" si="2"/>
        <v>25</v>
      </c>
      <c r="C30" s="35">
        <v>25</v>
      </c>
      <c r="D30" s="35">
        <v>0</v>
      </c>
      <c r="E30" s="35">
        <v>0</v>
      </c>
    </row>
    <row r="31" spans="1:5" x14ac:dyDescent="0.2">
      <c r="A31" s="31" t="s">
        <v>35</v>
      </c>
      <c r="B31" s="30">
        <f t="shared" si="2"/>
        <v>2</v>
      </c>
      <c r="C31" s="35">
        <v>0</v>
      </c>
      <c r="D31" s="35">
        <v>2</v>
      </c>
      <c r="E31" s="35">
        <v>0</v>
      </c>
    </row>
    <row r="32" spans="1:5" x14ac:dyDescent="0.2">
      <c r="A32" s="31" t="s">
        <v>62</v>
      </c>
      <c r="B32" s="30">
        <f t="shared" si="2"/>
        <v>22</v>
      </c>
      <c r="C32" s="35">
        <v>0</v>
      </c>
      <c r="D32" s="35">
        <v>22</v>
      </c>
      <c r="E32" s="35">
        <v>0</v>
      </c>
    </row>
    <row r="33" spans="1:5" x14ac:dyDescent="0.2">
      <c r="A33" s="31" t="s">
        <v>63</v>
      </c>
      <c r="B33" s="30">
        <f t="shared" si="2"/>
        <v>1</v>
      </c>
      <c r="C33" s="35">
        <v>0</v>
      </c>
      <c r="D33" s="35">
        <v>0</v>
      </c>
      <c r="E33" s="35">
        <v>1</v>
      </c>
    </row>
    <row r="34" spans="1:5" x14ac:dyDescent="0.2">
      <c r="A34" s="28" t="s">
        <v>64</v>
      </c>
      <c r="B34" s="30">
        <f t="shared" si="2"/>
        <v>370</v>
      </c>
      <c r="C34" s="29">
        <f>SUM(C35:C39)</f>
        <v>324</v>
      </c>
      <c r="D34" s="29">
        <f t="shared" ref="D34:E34" si="9">SUM(D35:D39)</f>
        <v>32</v>
      </c>
      <c r="E34" s="29">
        <f t="shared" si="9"/>
        <v>14</v>
      </c>
    </row>
    <row r="35" spans="1:5" x14ac:dyDescent="0.2">
      <c r="A35" s="31" t="s">
        <v>36</v>
      </c>
      <c r="B35" s="30">
        <f t="shared" si="2"/>
        <v>65</v>
      </c>
      <c r="C35" s="35">
        <v>51</v>
      </c>
      <c r="D35" s="35">
        <v>0</v>
      </c>
      <c r="E35" s="35">
        <v>14</v>
      </c>
    </row>
    <row r="36" spans="1:5" x14ac:dyDescent="0.2">
      <c r="A36" s="31" t="s">
        <v>50</v>
      </c>
      <c r="B36" s="30">
        <f t="shared" si="2"/>
        <v>32</v>
      </c>
      <c r="C36" s="35">
        <v>0</v>
      </c>
      <c r="D36" s="35">
        <v>32</v>
      </c>
      <c r="E36" s="35">
        <v>0</v>
      </c>
    </row>
    <row r="37" spans="1:5" x14ac:dyDescent="0.2">
      <c r="A37" s="31" t="s">
        <v>37</v>
      </c>
      <c r="B37" s="30">
        <f t="shared" si="2"/>
        <v>203</v>
      </c>
      <c r="C37" s="35">
        <v>203</v>
      </c>
      <c r="D37" s="35">
        <v>0</v>
      </c>
      <c r="E37" s="35">
        <v>0</v>
      </c>
    </row>
    <row r="38" spans="1:5" x14ac:dyDescent="0.2">
      <c r="A38" s="31" t="s">
        <v>38</v>
      </c>
      <c r="B38" s="30">
        <f t="shared" si="2"/>
        <v>42</v>
      </c>
      <c r="C38" s="35">
        <v>42</v>
      </c>
      <c r="D38" s="35">
        <v>0</v>
      </c>
      <c r="E38" s="35">
        <v>0</v>
      </c>
    </row>
    <row r="39" spans="1:5" x14ac:dyDescent="0.2">
      <c r="A39" s="31" t="s">
        <v>39</v>
      </c>
      <c r="B39" s="30">
        <f t="shared" si="2"/>
        <v>28</v>
      </c>
      <c r="C39" s="35">
        <v>28</v>
      </c>
      <c r="D39" s="35">
        <v>0</v>
      </c>
      <c r="E39" s="35">
        <v>0</v>
      </c>
    </row>
    <row r="40" spans="1:5" x14ac:dyDescent="0.2">
      <c r="A40" s="28" t="s">
        <v>65</v>
      </c>
      <c r="B40" s="30">
        <f t="shared" si="2"/>
        <v>21</v>
      </c>
      <c r="C40" s="29">
        <f>SUM(C41:C42)</f>
        <v>0</v>
      </c>
      <c r="D40" s="29">
        <f t="shared" ref="D40:E40" si="10">SUM(D41:D42)</f>
        <v>8</v>
      </c>
      <c r="E40" s="29">
        <f t="shared" si="10"/>
        <v>13</v>
      </c>
    </row>
    <row r="41" spans="1:5" x14ac:dyDescent="0.2">
      <c r="A41" s="31" t="s">
        <v>66</v>
      </c>
      <c r="B41" s="30">
        <f t="shared" si="2"/>
        <v>8</v>
      </c>
      <c r="C41" s="29">
        <v>0</v>
      </c>
      <c r="D41" s="35">
        <v>8</v>
      </c>
      <c r="E41" s="35">
        <v>0</v>
      </c>
    </row>
    <row r="42" spans="1:5" x14ac:dyDescent="0.2">
      <c r="A42" s="31" t="s">
        <v>67</v>
      </c>
      <c r="B42" s="30">
        <f t="shared" si="2"/>
        <v>13</v>
      </c>
      <c r="C42" s="29">
        <v>0</v>
      </c>
      <c r="D42" s="35">
        <v>0</v>
      </c>
      <c r="E42" s="35">
        <v>13</v>
      </c>
    </row>
    <row r="43" spans="1:5" x14ac:dyDescent="0.2">
      <c r="A43" s="28" t="s">
        <v>40</v>
      </c>
      <c r="B43" s="30">
        <f t="shared" si="2"/>
        <v>41</v>
      </c>
      <c r="C43" s="29">
        <f>SUM(C44)</f>
        <v>0</v>
      </c>
      <c r="D43" s="29">
        <f t="shared" ref="D43:E43" si="11">SUM(D44)</f>
        <v>41</v>
      </c>
      <c r="E43" s="29">
        <f t="shared" si="11"/>
        <v>0</v>
      </c>
    </row>
    <row r="44" spans="1:5" x14ac:dyDescent="0.2">
      <c r="A44" s="31" t="s">
        <v>71</v>
      </c>
      <c r="B44" s="30">
        <f t="shared" si="2"/>
        <v>41</v>
      </c>
      <c r="C44" s="29">
        <v>0</v>
      </c>
      <c r="D44" s="35">
        <v>41</v>
      </c>
      <c r="E44" s="35">
        <v>0</v>
      </c>
    </row>
    <row r="45" spans="1:5" x14ac:dyDescent="0.2">
      <c r="A45" s="28" t="s">
        <v>68</v>
      </c>
      <c r="B45" s="30">
        <f t="shared" si="2"/>
        <v>521</v>
      </c>
      <c r="C45" s="29">
        <f>SUM(C46)</f>
        <v>0</v>
      </c>
      <c r="D45" s="29">
        <f t="shared" ref="D45:E45" si="12">SUM(D46)</f>
        <v>521</v>
      </c>
      <c r="E45" s="29">
        <f t="shared" si="12"/>
        <v>0</v>
      </c>
    </row>
    <row r="46" spans="1:5" x14ac:dyDescent="0.2">
      <c r="A46" s="31" t="s">
        <v>41</v>
      </c>
      <c r="B46" s="30">
        <f t="shared" si="2"/>
        <v>521</v>
      </c>
      <c r="C46" s="29">
        <v>0</v>
      </c>
      <c r="D46" s="35">
        <v>521</v>
      </c>
      <c r="E46" s="35">
        <v>0</v>
      </c>
    </row>
    <row r="47" spans="1:5" x14ac:dyDescent="0.2">
      <c r="A47" s="31"/>
      <c r="B47" s="31"/>
      <c r="C47" s="29"/>
      <c r="D47" s="35"/>
      <c r="E47" s="35"/>
    </row>
    <row r="48" spans="1:5" ht="12" customHeight="1" x14ac:dyDescent="0.2">
      <c r="A48" s="46" t="s">
        <v>88</v>
      </c>
      <c r="B48" s="46"/>
      <c r="C48" s="46"/>
      <c r="D48" s="46"/>
      <c r="E48" s="46"/>
    </row>
    <row r="49" spans="1:18" x14ac:dyDescent="0.2">
      <c r="A49" s="11" t="s">
        <v>19</v>
      </c>
      <c r="B49" s="11"/>
      <c r="C49" s="11"/>
      <c r="D49" s="11"/>
      <c r="E49" s="11"/>
      <c r="F49" s="11"/>
      <c r="G49" s="11"/>
      <c r="H49" s="11"/>
      <c r="I49" s="11"/>
      <c r="J49" s="11"/>
      <c r="K49" s="11"/>
      <c r="L49" s="11"/>
      <c r="M49" s="11"/>
      <c r="N49" s="11"/>
      <c r="O49" s="11"/>
      <c r="P49" s="11"/>
      <c r="Q49" s="11"/>
      <c r="R49" s="11"/>
    </row>
    <row r="50" spans="1:18" ht="24.75" customHeight="1" x14ac:dyDescent="0.2">
      <c r="A50" s="46" t="s">
        <v>79</v>
      </c>
      <c r="B50" s="46"/>
      <c r="C50" s="46"/>
      <c r="D50" s="46"/>
      <c r="E50" s="46"/>
    </row>
  </sheetData>
  <mergeCells count="6">
    <mergeCell ref="A50:E50"/>
    <mergeCell ref="C4:E4"/>
    <mergeCell ref="A4:A5"/>
    <mergeCell ref="A2:E2"/>
    <mergeCell ref="A48:E48"/>
    <mergeCell ref="B4:B5"/>
  </mergeCells>
  <pageMargins left="0.7" right="0.7" top="0.51" bottom="0.55000000000000004" header="0.3" footer="0.3"/>
  <pageSetup paperSize="14" scale="94" orientation="landscape" verticalDpi="599"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0B5BAE-1371-4938-A652-86F4B9BD5275}">
  <sheetPr codeName="Hoja30"/>
  <dimension ref="A2:W29"/>
  <sheetViews>
    <sheetView zoomScaleNormal="100" zoomScaleSheetLayoutView="100" workbookViewId="0">
      <selection activeCell="C21" sqref="C21"/>
    </sheetView>
  </sheetViews>
  <sheetFormatPr baseColWidth="10" defaultColWidth="11.44140625" defaultRowHeight="10.199999999999999" x14ac:dyDescent="0.2"/>
  <cols>
    <col min="1" max="1" width="28.33203125" style="235" customWidth="1"/>
    <col min="2" max="2" width="11.5546875" style="235" customWidth="1"/>
    <col min="3" max="3" width="16.33203125" style="235" bestFit="1" customWidth="1"/>
    <col min="4" max="4" width="11.33203125" style="235" customWidth="1"/>
    <col min="5" max="5" width="14.5546875" style="235" bestFit="1" customWidth="1"/>
    <col min="6" max="6" width="11.109375" style="235" customWidth="1"/>
    <col min="7" max="7" width="16" style="235" bestFit="1" customWidth="1"/>
    <col min="8" max="8" width="11.109375" style="235" customWidth="1"/>
    <col min="9" max="9" width="14.109375" style="235" bestFit="1" customWidth="1"/>
    <col min="10" max="10" width="11.33203125" style="235" customWidth="1"/>
    <col min="11" max="11" width="15.88671875" style="235" bestFit="1" customWidth="1"/>
    <col min="12" max="12" width="11.109375" style="235" customWidth="1"/>
    <col min="13" max="13" width="14.33203125" style="235" bestFit="1" customWidth="1"/>
    <col min="14" max="14" width="10.33203125" style="235" customWidth="1"/>
    <col min="15" max="15" width="14.109375" style="235" bestFit="1" customWidth="1"/>
    <col min="16" max="16" width="10.88671875" style="235" customWidth="1"/>
    <col min="17" max="17" width="14" style="235" customWidth="1"/>
    <col min="18" max="18" width="10.109375" style="235" customWidth="1"/>
    <col min="19" max="19" width="14.33203125" style="235" bestFit="1" customWidth="1"/>
    <col min="20" max="20" width="6.5546875" style="235" customWidth="1"/>
    <col min="21" max="21" width="12.44140625" style="235" bestFit="1" customWidth="1"/>
    <col min="22" max="22" width="6.5546875" style="235" customWidth="1"/>
    <col min="23" max="23" width="14" style="235" customWidth="1"/>
    <col min="24" max="16384" width="11.44140625" style="235"/>
  </cols>
  <sheetData>
    <row r="2" spans="1:21" ht="33" customHeight="1" x14ac:dyDescent="0.2">
      <c r="A2" s="297" t="s">
        <v>567</v>
      </c>
      <c r="B2" s="297"/>
      <c r="C2" s="297"/>
      <c r="D2" s="297"/>
      <c r="E2" s="297"/>
      <c r="F2" s="297"/>
      <c r="G2" s="297"/>
      <c r="H2" s="297"/>
      <c r="I2" s="297"/>
      <c r="J2" s="297"/>
      <c r="K2" s="297"/>
      <c r="L2" s="250"/>
      <c r="M2" s="250"/>
      <c r="N2" s="250"/>
      <c r="O2" s="250"/>
      <c r="P2" s="250"/>
      <c r="Q2" s="250"/>
      <c r="R2" s="250"/>
      <c r="S2" s="250"/>
      <c r="T2" s="250"/>
      <c r="U2" s="250"/>
    </row>
    <row r="4" spans="1:21" ht="78.75" customHeight="1" x14ac:dyDescent="0.2">
      <c r="A4" s="298" t="s">
        <v>568</v>
      </c>
      <c r="B4" s="241" t="s">
        <v>42</v>
      </c>
      <c r="C4" s="241"/>
      <c r="D4" s="276" t="s">
        <v>569</v>
      </c>
      <c r="E4" s="276"/>
      <c r="F4" s="276" t="s">
        <v>570</v>
      </c>
      <c r="G4" s="276"/>
      <c r="H4" s="299" t="s">
        <v>571</v>
      </c>
      <c r="I4" s="299"/>
      <c r="J4" s="276" t="s">
        <v>572</v>
      </c>
      <c r="K4" s="276"/>
      <c r="L4" s="276" t="s">
        <v>573</v>
      </c>
      <c r="M4" s="276"/>
      <c r="N4" s="276" t="s">
        <v>574</v>
      </c>
      <c r="O4" s="276"/>
      <c r="P4" s="276" t="s">
        <v>575</v>
      </c>
      <c r="Q4" s="276"/>
      <c r="R4" s="276" t="s">
        <v>576</v>
      </c>
      <c r="S4" s="276"/>
      <c r="T4" s="244"/>
    </row>
    <row r="5" spans="1:21" ht="20.399999999999999" x14ac:dyDescent="0.2">
      <c r="A5" s="298"/>
      <c r="B5" s="246" t="s">
        <v>558</v>
      </c>
      <c r="C5" s="246" t="s">
        <v>559</v>
      </c>
      <c r="D5" s="246" t="s">
        <v>558</v>
      </c>
      <c r="E5" s="246" t="s">
        <v>559</v>
      </c>
      <c r="F5" s="246" t="s">
        <v>558</v>
      </c>
      <c r="G5" s="246" t="s">
        <v>559</v>
      </c>
      <c r="H5" s="246" t="s">
        <v>558</v>
      </c>
      <c r="I5" s="246" t="s">
        <v>559</v>
      </c>
      <c r="J5" s="246" t="s">
        <v>558</v>
      </c>
      <c r="K5" s="246" t="s">
        <v>559</v>
      </c>
      <c r="L5" s="246" t="s">
        <v>577</v>
      </c>
      <c r="M5" s="246" t="s">
        <v>559</v>
      </c>
      <c r="N5" s="246" t="s">
        <v>558</v>
      </c>
      <c r="O5" s="246" t="s">
        <v>559</v>
      </c>
      <c r="P5" s="246" t="s">
        <v>558</v>
      </c>
      <c r="Q5" s="246" t="s">
        <v>559</v>
      </c>
      <c r="R5" s="246" t="s">
        <v>558</v>
      </c>
      <c r="S5" s="246" t="s">
        <v>559</v>
      </c>
      <c r="T5" s="278"/>
    </row>
    <row r="6" spans="1:21" s="283" customFormat="1" x14ac:dyDescent="0.2">
      <c r="A6" s="283" t="s">
        <v>3</v>
      </c>
      <c r="B6" s="300">
        <f>SUM(D6+F6+H6+J6+L6+N6+P6+R6)</f>
        <v>717</v>
      </c>
      <c r="C6" s="300">
        <f>SUM(E6+G6+I6+K6+M6+O6+Q6+S6)</f>
        <v>4523797930</v>
      </c>
      <c r="D6" s="300">
        <f t="shared" ref="D6:S6" si="0">SUM(D7:D21)</f>
        <v>104</v>
      </c>
      <c r="E6" s="300">
        <f t="shared" si="0"/>
        <v>573278978</v>
      </c>
      <c r="F6" s="300">
        <f t="shared" si="0"/>
        <v>174</v>
      </c>
      <c r="G6" s="300">
        <f t="shared" si="0"/>
        <v>1404270646</v>
      </c>
      <c r="H6" s="300">
        <f t="shared" si="0"/>
        <v>23</v>
      </c>
      <c r="I6" s="300">
        <f t="shared" si="0"/>
        <v>140176937</v>
      </c>
      <c r="J6" s="300">
        <f t="shared" si="0"/>
        <v>142</v>
      </c>
      <c r="K6" s="300">
        <f t="shared" si="0"/>
        <v>1019789962</v>
      </c>
      <c r="L6" s="300">
        <f t="shared" si="0"/>
        <v>29</v>
      </c>
      <c r="M6" s="300">
        <f t="shared" si="0"/>
        <v>152373703</v>
      </c>
      <c r="N6" s="300">
        <f t="shared" si="0"/>
        <v>46</v>
      </c>
      <c r="O6" s="300">
        <f t="shared" si="0"/>
        <v>277191044</v>
      </c>
      <c r="P6" s="300">
        <f t="shared" si="0"/>
        <v>80</v>
      </c>
      <c r="Q6" s="300">
        <f t="shared" si="0"/>
        <v>708151490</v>
      </c>
      <c r="R6" s="300">
        <f t="shared" si="0"/>
        <v>119</v>
      </c>
      <c r="S6" s="300">
        <f t="shared" si="0"/>
        <v>248565170</v>
      </c>
    </row>
    <row r="7" spans="1:21" x14ac:dyDescent="0.2">
      <c r="A7" s="301" t="s">
        <v>4</v>
      </c>
      <c r="B7" s="300">
        <f t="shared" ref="B7:C21" si="1">SUM(D7+F7+H7+J7+L7+N7+P7+R7)</f>
        <v>38</v>
      </c>
      <c r="C7" s="300">
        <f t="shared" si="1"/>
        <v>168553811</v>
      </c>
      <c r="D7" s="302">
        <v>8</v>
      </c>
      <c r="E7" s="302">
        <v>30719588</v>
      </c>
      <c r="F7" s="302">
        <v>9</v>
      </c>
      <c r="G7" s="302">
        <v>47827297</v>
      </c>
      <c r="H7" s="302">
        <v>0</v>
      </c>
      <c r="I7" s="302">
        <v>0</v>
      </c>
      <c r="J7" s="302">
        <v>8</v>
      </c>
      <c r="K7" s="302">
        <v>51872685</v>
      </c>
      <c r="L7" s="302">
        <v>0</v>
      </c>
      <c r="M7" s="302">
        <v>0</v>
      </c>
      <c r="N7" s="302">
        <v>2</v>
      </c>
      <c r="O7" s="302">
        <v>15402862</v>
      </c>
      <c r="P7" s="302">
        <v>1</v>
      </c>
      <c r="Q7" s="302">
        <v>6948550</v>
      </c>
      <c r="R7" s="302">
        <v>10</v>
      </c>
      <c r="S7" s="302">
        <v>15782829</v>
      </c>
    </row>
    <row r="8" spans="1:21" x14ac:dyDescent="0.2">
      <c r="A8" s="301" t="s">
        <v>5</v>
      </c>
      <c r="B8" s="300">
        <f t="shared" si="1"/>
        <v>29</v>
      </c>
      <c r="C8" s="300">
        <f t="shared" si="1"/>
        <v>125812414</v>
      </c>
      <c r="D8" s="302">
        <v>2</v>
      </c>
      <c r="E8" s="302">
        <v>4217999</v>
      </c>
      <c r="F8" s="302">
        <v>5</v>
      </c>
      <c r="G8" s="302">
        <v>29262694</v>
      </c>
      <c r="H8" s="302">
        <v>1</v>
      </c>
      <c r="I8" s="302">
        <v>4043528</v>
      </c>
      <c r="J8" s="302">
        <v>5</v>
      </c>
      <c r="K8" s="302">
        <v>23369634</v>
      </c>
      <c r="L8" s="302">
        <v>4</v>
      </c>
      <c r="M8" s="302">
        <v>19019260</v>
      </c>
      <c r="N8" s="302">
        <v>4</v>
      </c>
      <c r="O8" s="302">
        <v>15491961</v>
      </c>
      <c r="P8" s="302">
        <v>5</v>
      </c>
      <c r="Q8" s="302">
        <v>21957099</v>
      </c>
      <c r="R8" s="302">
        <v>3</v>
      </c>
      <c r="S8" s="302">
        <v>8450239</v>
      </c>
    </row>
    <row r="9" spans="1:21" x14ac:dyDescent="0.2">
      <c r="A9" s="301" t="s">
        <v>6</v>
      </c>
      <c r="B9" s="300">
        <f t="shared" si="1"/>
        <v>27</v>
      </c>
      <c r="C9" s="300">
        <f t="shared" si="1"/>
        <v>150995955</v>
      </c>
      <c r="D9" s="302">
        <v>4</v>
      </c>
      <c r="E9" s="302">
        <v>22780740</v>
      </c>
      <c r="F9" s="302">
        <v>7</v>
      </c>
      <c r="G9" s="302">
        <v>45485860</v>
      </c>
      <c r="H9" s="302">
        <v>1</v>
      </c>
      <c r="I9" s="302">
        <v>5664500</v>
      </c>
      <c r="J9" s="302">
        <v>6</v>
      </c>
      <c r="K9" s="302">
        <v>42437806</v>
      </c>
      <c r="L9" s="302">
        <v>1</v>
      </c>
      <c r="M9" s="302">
        <v>4877772</v>
      </c>
      <c r="N9" s="302">
        <v>3</v>
      </c>
      <c r="O9" s="302">
        <v>12523673</v>
      </c>
      <c r="P9" s="302">
        <v>1</v>
      </c>
      <c r="Q9" s="302">
        <v>7707192</v>
      </c>
      <c r="R9" s="302">
        <v>4</v>
      </c>
      <c r="S9" s="302">
        <v>9518412</v>
      </c>
    </row>
    <row r="10" spans="1:21" x14ac:dyDescent="0.2">
      <c r="A10" s="301" t="s">
        <v>7</v>
      </c>
      <c r="B10" s="300">
        <f t="shared" si="1"/>
        <v>28</v>
      </c>
      <c r="C10" s="300">
        <f>SUM(E10+G10+I10+K10+M10+O10+Q10+S10)</f>
        <v>135432325</v>
      </c>
      <c r="D10" s="302">
        <v>3</v>
      </c>
      <c r="E10" s="302">
        <v>6730810</v>
      </c>
      <c r="F10" s="302">
        <v>10</v>
      </c>
      <c r="G10" s="302">
        <v>57335733</v>
      </c>
      <c r="H10" s="302">
        <v>1</v>
      </c>
      <c r="I10" s="302">
        <v>5192330</v>
      </c>
      <c r="J10" s="302">
        <v>7</v>
      </c>
      <c r="K10" s="302">
        <v>41821178</v>
      </c>
      <c r="L10" s="302">
        <v>0</v>
      </c>
      <c r="M10" s="302">
        <v>0</v>
      </c>
      <c r="N10" s="302">
        <v>3</v>
      </c>
      <c r="O10" s="302">
        <v>12252674</v>
      </c>
      <c r="P10" s="302">
        <v>1</v>
      </c>
      <c r="Q10" s="302">
        <v>4800000</v>
      </c>
      <c r="R10" s="302">
        <v>3</v>
      </c>
      <c r="S10" s="302">
        <v>7299600</v>
      </c>
    </row>
    <row r="11" spans="1:21" x14ac:dyDescent="0.2">
      <c r="A11" s="301" t="s">
        <v>8</v>
      </c>
      <c r="B11" s="300">
        <f t="shared" si="1"/>
        <v>30</v>
      </c>
      <c r="C11" s="300">
        <f t="shared" si="1"/>
        <v>173424115</v>
      </c>
      <c r="D11" s="302">
        <v>5</v>
      </c>
      <c r="E11" s="302">
        <v>24838170</v>
      </c>
      <c r="F11" s="302">
        <v>10</v>
      </c>
      <c r="G11" s="302">
        <v>71209229</v>
      </c>
      <c r="H11" s="302">
        <v>2</v>
      </c>
      <c r="I11" s="302">
        <v>4706535</v>
      </c>
      <c r="J11" s="302">
        <v>7</v>
      </c>
      <c r="K11" s="302">
        <v>53362219</v>
      </c>
      <c r="L11" s="302">
        <v>1</v>
      </c>
      <c r="M11" s="302">
        <v>3605000</v>
      </c>
      <c r="N11" s="302">
        <v>1</v>
      </c>
      <c r="O11" s="302">
        <v>5858400</v>
      </c>
      <c r="P11" s="302">
        <v>0</v>
      </c>
      <c r="Q11" s="302">
        <v>0</v>
      </c>
      <c r="R11" s="302">
        <v>4</v>
      </c>
      <c r="S11" s="302">
        <v>9844562</v>
      </c>
    </row>
    <row r="12" spans="1:21" x14ac:dyDescent="0.2">
      <c r="A12" s="301" t="s">
        <v>9</v>
      </c>
      <c r="B12" s="300">
        <f t="shared" si="1"/>
        <v>94</v>
      </c>
      <c r="C12" s="300">
        <f t="shared" si="1"/>
        <v>683020032</v>
      </c>
      <c r="D12" s="302">
        <v>19</v>
      </c>
      <c r="E12" s="302">
        <v>113109311</v>
      </c>
      <c r="F12" s="302">
        <v>21</v>
      </c>
      <c r="G12" s="302">
        <v>194553547</v>
      </c>
      <c r="H12" s="302">
        <v>2</v>
      </c>
      <c r="I12" s="302">
        <v>25806752</v>
      </c>
      <c r="J12" s="302">
        <v>25</v>
      </c>
      <c r="K12" s="302">
        <v>188260486</v>
      </c>
      <c r="L12" s="302">
        <v>1</v>
      </c>
      <c r="M12" s="302">
        <v>4502200</v>
      </c>
      <c r="N12" s="302">
        <v>5</v>
      </c>
      <c r="O12" s="302">
        <v>37293720</v>
      </c>
      <c r="P12" s="302">
        <v>10</v>
      </c>
      <c r="Q12" s="302">
        <v>85734293</v>
      </c>
      <c r="R12" s="302">
        <v>11</v>
      </c>
      <c r="S12" s="302">
        <v>33759723</v>
      </c>
    </row>
    <row r="13" spans="1:21" x14ac:dyDescent="0.2">
      <c r="A13" s="301" t="s">
        <v>10</v>
      </c>
      <c r="B13" s="300">
        <f>SUM(D13+F13+H13+J13+L13+N13+P13+R13)</f>
        <v>135</v>
      </c>
      <c r="C13" s="300">
        <f>SUM(E13+G13+I13+K13+M13+O13+Q13+S13)</f>
        <v>1142429194</v>
      </c>
      <c r="D13" s="302">
        <v>14</v>
      </c>
      <c r="E13" s="302">
        <v>94648534</v>
      </c>
      <c r="F13" s="302">
        <v>27</v>
      </c>
      <c r="G13" s="302">
        <v>322427285</v>
      </c>
      <c r="H13" s="302">
        <v>5</v>
      </c>
      <c r="I13" s="302">
        <v>43068877</v>
      </c>
      <c r="J13" s="302">
        <v>26</v>
      </c>
      <c r="K13" s="302">
        <v>224187727</v>
      </c>
      <c r="L13" s="302">
        <v>5</v>
      </c>
      <c r="M13" s="302">
        <v>24901123</v>
      </c>
      <c r="N13" s="302">
        <v>10</v>
      </c>
      <c r="O13" s="302">
        <v>76993417</v>
      </c>
      <c r="P13" s="302">
        <v>31</v>
      </c>
      <c r="Q13" s="302">
        <v>319131427</v>
      </c>
      <c r="R13" s="302">
        <v>17</v>
      </c>
      <c r="S13" s="302">
        <v>37070804</v>
      </c>
    </row>
    <row r="14" spans="1:21" x14ac:dyDescent="0.2">
      <c r="A14" s="301" t="s">
        <v>134</v>
      </c>
      <c r="B14" s="300">
        <f t="shared" si="1"/>
        <v>49</v>
      </c>
      <c r="C14" s="300">
        <f t="shared" si="1"/>
        <v>317482756</v>
      </c>
      <c r="D14" s="302">
        <v>7</v>
      </c>
      <c r="E14" s="302">
        <v>47604604</v>
      </c>
      <c r="F14" s="302">
        <v>20</v>
      </c>
      <c r="G14" s="302">
        <v>143694669</v>
      </c>
      <c r="H14" s="302">
        <v>1</v>
      </c>
      <c r="I14" s="302">
        <v>6461169</v>
      </c>
      <c r="J14" s="302">
        <v>11</v>
      </c>
      <c r="K14" s="302">
        <v>86063988</v>
      </c>
      <c r="L14" s="302">
        <v>0</v>
      </c>
      <c r="M14" s="302">
        <v>0</v>
      </c>
      <c r="N14" s="302">
        <v>2</v>
      </c>
      <c r="O14" s="302">
        <v>7188500</v>
      </c>
      <c r="P14" s="302">
        <v>2</v>
      </c>
      <c r="Q14" s="302">
        <v>14237220</v>
      </c>
      <c r="R14" s="302">
        <v>6</v>
      </c>
      <c r="S14" s="302">
        <v>12232606</v>
      </c>
    </row>
    <row r="15" spans="1:21" x14ac:dyDescent="0.2">
      <c r="A15" s="301" t="s">
        <v>12</v>
      </c>
      <c r="B15" s="300">
        <f t="shared" si="1"/>
        <v>42</v>
      </c>
      <c r="C15" s="300">
        <f t="shared" si="1"/>
        <v>236952661</v>
      </c>
      <c r="D15" s="302">
        <v>4</v>
      </c>
      <c r="E15" s="302">
        <v>19984750</v>
      </c>
      <c r="F15" s="302">
        <v>10</v>
      </c>
      <c r="G15" s="302">
        <v>93234054</v>
      </c>
      <c r="H15" s="302">
        <v>2</v>
      </c>
      <c r="I15" s="302">
        <v>7480452</v>
      </c>
      <c r="J15" s="302">
        <v>8</v>
      </c>
      <c r="K15" s="302">
        <v>50355998</v>
      </c>
      <c r="L15" s="302">
        <v>8</v>
      </c>
      <c r="M15" s="302">
        <v>38382098</v>
      </c>
      <c r="N15" s="302">
        <v>1</v>
      </c>
      <c r="O15" s="302">
        <v>6000000</v>
      </c>
      <c r="P15" s="302">
        <v>3</v>
      </c>
      <c r="Q15" s="302">
        <v>11893845</v>
      </c>
      <c r="R15" s="302">
        <v>6</v>
      </c>
      <c r="S15" s="302">
        <v>9621464</v>
      </c>
    </row>
    <row r="16" spans="1:21" x14ac:dyDescent="0.2">
      <c r="A16" s="301" t="s">
        <v>13</v>
      </c>
      <c r="B16" s="300">
        <f t="shared" si="1"/>
        <v>73</v>
      </c>
      <c r="C16" s="300">
        <f t="shared" si="1"/>
        <v>480629131</v>
      </c>
      <c r="D16" s="302">
        <v>12</v>
      </c>
      <c r="E16" s="302">
        <v>69628140</v>
      </c>
      <c r="F16" s="302">
        <v>17</v>
      </c>
      <c r="G16" s="302">
        <v>147961601</v>
      </c>
      <c r="H16" s="302">
        <v>3</v>
      </c>
      <c r="I16" s="302">
        <v>18419959</v>
      </c>
      <c r="J16" s="302">
        <v>12</v>
      </c>
      <c r="K16" s="302">
        <v>85781085</v>
      </c>
      <c r="L16" s="302">
        <v>4</v>
      </c>
      <c r="M16" s="302">
        <v>18725000</v>
      </c>
      <c r="N16" s="302">
        <v>3</v>
      </c>
      <c r="O16" s="302">
        <v>19047000</v>
      </c>
      <c r="P16" s="302">
        <v>10</v>
      </c>
      <c r="Q16" s="302">
        <v>100983933</v>
      </c>
      <c r="R16" s="302">
        <v>12</v>
      </c>
      <c r="S16" s="302">
        <v>20082413</v>
      </c>
    </row>
    <row r="17" spans="1:23" x14ac:dyDescent="0.2">
      <c r="A17" s="301" t="s">
        <v>47</v>
      </c>
      <c r="B17" s="300">
        <f t="shared" si="1"/>
        <v>51</v>
      </c>
      <c r="C17" s="300">
        <f t="shared" si="1"/>
        <v>282263713</v>
      </c>
      <c r="D17" s="302">
        <v>9</v>
      </c>
      <c r="E17" s="302">
        <v>56165221</v>
      </c>
      <c r="F17" s="302">
        <v>10</v>
      </c>
      <c r="G17" s="302">
        <v>70848457</v>
      </c>
      <c r="H17" s="302">
        <v>1</v>
      </c>
      <c r="I17" s="302">
        <v>5937500</v>
      </c>
      <c r="J17" s="302">
        <v>6</v>
      </c>
      <c r="K17" s="302">
        <v>32337637</v>
      </c>
      <c r="L17" s="302">
        <v>0</v>
      </c>
      <c r="M17" s="302">
        <v>0</v>
      </c>
      <c r="N17" s="302">
        <v>7</v>
      </c>
      <c r="O17" s="302">
        <v>46965820</v>
      </c>
      <c r="P17" s="302">
        <v>6</v>
      </c>
      <c r="Q17" s="302">
        <v>46139163</v>
      </c>
      <c r="R17" s="302">
        <v>12</v>
      </c>
      <c r="S17" s="302">
        <v>23869915</v>
      </c>
    </row>
    <row r="18" spans="1:23" x14ac:dyDescent="0.2">
      <c r="A18" s="301" t="s">
        <v>135</v>
      </c>
      <c r="B18" s="300">
        <f t="shared" si="1"/>
        <v>28</v>
      </c>
      <c r="C18" s="300">
        <f t="shared" si="1"/>
        <v>127948013</v>
      </c>
      <c r="D18" s="302">
        <v>5</v>
      </c>
      <c r="E18" s="302">
        <v>21588202</v>
      </c>
      <c r="F18" s="302">
        <v>5</v>
      </c>
      <c r="G18" s="302">
        <v>25653098</v>
      </c>
      <c r="H18" s="302">
        <v>1</v>
      </c>
      <c r="I18" s="302">
        <v>1366020</v>
      </c>
      <c r="J18" s="302">
        <v>4</v>
      </c>
      <c r="K18" s="302">
        <v>23327916</v>
      </c>
      <c r="L18" s="302">
        <v>2</v>
      </c>
      <c r="M18" s="302">
        <v>21375250</v>
      </c>
      <c r="N18" s="302">
        <v>2</v>
      </c>
      <c r="O18" s="302">
        <v>7456100</v>
      </c>
      <c r="P18" s="302">
        <v>3</v>
      </c>
      <c r="Q18" s="302">
        <v>20279028</v>
      </c>
      <c r="R18" s="302">
        <v>6</v>
      </c>
      <c r="S18" s="302">
        <v>6902399</v>
      </c>
    </row>
    <row r="19" spans="1:23" x14ac:dyDescent="0.2">
      <c r="A19" s="301" t="s">
        <v>136</v>
      </c>
      <c r="B19" s="300">
        <f t="shared" si="1"/>
        <v>29</v>
      </c>
      <c r="C19" s="300">
        <f t="shared" si="1"/>
        <v>146295096</v>
      </c>
      <c r="D19" s="302">
        <v>1</v>
      </c>
      <c r="E19" s="302">
        <v>4996000</v>
      </c>
      <c r="F19" s="302">
        <v>8</v>
      </c>
      <c r="G19" s="302">
        <v>57313735</v>
      </c>
      <c r="H19" s="302">
        <v>2</v>
      </c>
      <c r="I19" s="302">
        <v>7980315</v>
      </c>
      <c r="J19" s="302">
        <v>5</v>
      </c>
      <c r="K19" s="302">
        <v>36576016</v>
      </c>
      <c r="L19" s="302">
        <v>0</v>
      </c>
      <c r="M19" s="302">
        <v>0</v>
      </c>
      <c r="N19" s="302">
        <v>1</v>
      </c>
      <c r="O19" s="302">
        <v>5770000</v>
      </c>
      <c r="P19" s="302">
        <v>2</v>
      </c>
      <c r="Q19" s="302">
        <v>11677833</v>
      </c>
      <c r="R19" s="302">
        <v>10</v>
      </c>
      <c r="S19" s="302">
        <v>21981197</v>
      </c>
    </row>
    <row r="20" spans="1:23" x14ac:dyDescent="0.2">
      <c r="A20" s="301" t="s">
        <v>17</v>
      </c>
      <c r="B20" s="300">
        <f t="shared" si="1"/>
        <v>34</v>
      </c>
      <c r="C20" s="300">
        <f t="shared" si="1"/>
        <v>197114951</v>
      </c>
      <c r="D20" s="302">
        <v>3</v>
      </c>
      <c r="E20" s="302">
        <v>21559733</v>
      </c>
      <c r="F20" s="302">
        <v>9</v>
      </c>
      <c r="G20" s="302">
        <v>62670798</v>
      </c>
      <c r="H20" s="302">
        <v>0</v>
      </c>
      <c r="I20" s="302">
        <v>0</v>
      </c>
      <c r="J20" s="302">
        <v>8</v>
      </c>
      <c r="K20" s="302">
        <v>52503246</v>
      </c>
      <c r="L20" s="302">
        <v>0</v>
      </c>
      <c r="M20" s="302">
        <v>0</v>
      </c>
      <c r="N20" s="302">
        <v>1</v>
      </c>
      <c r="O20" s="302">
        <v>3770000</v>
      </c>
      <c r="P20" s="302">
        <v>3</v>
      </c>
      <c r="Q20" s="302">
        <v>37540807</v>
      </c>
      <c r="R20" s="302">
        <v>10</v>
      </c>
      <c r="S20" s="302">
        <v>19070367</v>
      </c>
    </row>
    <row r="21" spans="1:23" x14ac:dyDescent="0.2">
      <c r="A21" s="235" t="s">
        <v>18</v>
      </c>
      <c r="B21" s="300">
        <f t="shared" si="1"/>
        <v>30</v>
      </c>
      <c r="C21" s="300">
        <f t="shared" si="1"/>
        <v>155443763</v>
      </c>
      <c r="D21" s="302">
        <v>8</v>
      </c>
      <c r="E21" s="302">
        <v>34707176</v>
      </c>
      <c r="F21" s="302">
        <v>6</v>
      </c>
      <c r="G21" s="302">
        <v>34792589</v>
      </c>
      <c r="H21" s="302">
        <v>1</v>
      </c>
      <c r="I21" s="302">
        <v>4049000</v>
      </c>
      <c r="J21" s="302">
        <v>4</v>
      </c>
      <c r="K21" s="302">
        <v>27532341</v>
      </c>
      <c r="L21" s="302">
        <v>3</v>
      </c>
      <c r="M21" s="302">
        <v>16986000</v>
      </c>
      <c r="N21" s="302">
        <v>1</v>
      </c>
      <c r="O21" s="302">
        <v>5176917</v>
      </c>
      <c r="P21" s="302">
        <v>2</v>
      </c>
      <c r="Q21" s="302">
        <v>19121100</v>
      </c>
      <c r="R21" s="302">
        <v>5</v>
      </c>
      <c r="S21" s="302">
        <v>13078640</v>
      </c>
    </row>
    <row r="23" spans="1:23" ht="13.5" customHeight="1" x14ac:dyDescent="0.2">
      <c r="A23" s="303" t="s">
        <v>578</v>
      </c>
      <c r="B23" s="303"/>
      <c r="C23" s="303"/>
      <c r="D23" s="303"/>
      <c r="E23" s="303"/>
      <c r="F23" s="303"/>
      <c r="G23" s="303"/>
      <c r="H23" s="303"/>
      <c r="I23" s="303"/>
      <c r="J23" s="303"/>
      <c r="K23" s="303"/>
      <c r="L23" s="303"/>
      <c r="M23" s="303"/>
      <c r="N23" s="303"/>
      <c r="O23" s="303"/>
      <c r="P23" s="260"/>
      <c r="Q23" s="260"/>
      <c r="R23" s="260"/>
      <c r="S23" s="260"/>
      <c r="T23" s="260"/>
      <c r="U23" s="260"/>
    </row>
    <row r="24" spans="1:23" x14ac:dyDescent="0.2">
      <c r="A24" s="235" t="s">
        <v>579</v>
      </c>
      <c r="P24" s="2"/>
      <c r="Q24" s="2"/>
    </row>
    <row r="25" spans="1:23" x14ac:dyDescent="0.2">
      <c r="A25" s="235" t="s">
        <v>580</v>
      </c>
    </row>
    <row r="26" spans="1:23" x14ac:dyDescent="0.2">
      <c r="A26" s="235" t="s">
        <v>581</v>
      </c>
      <c r="B26" s="287"/>
      <c r="C26" s="287"/>
      <c r="D26" s="287"/>
      <c r="E26" s="287"/>
      <c r="F26" s="287"/>
      <c r="G26" s="287"/>
      <c r="H26" s="287"/>
      <c r="I26" s="287"/>
      <c r="J26" s="287"/>
      <c r="K26" s="287"/>
      <c r="L26" s="287"/>
      <c r="M26" s="287"/>
      <c r="N26" s="287"/>
      <c r="O26" s="287"/>
    </row>
    <row r="27" spans="1:23" x14ac:dyDescent="0.2">
      <c r="A27" s="235" t="s">
        <v>582</v>
      </c>
      <c r="B27" s="287"/>
      <c r="C27" s="287"/>
      <c r="D27" s="287"/>
      <c r="E27" s="287"/>
      <c r="F27" s="287"/>
      <c r="G27" s="287"/>
      <c r="H27" s="287"/>
      <c r="I27" s="287"/>
      <c r="J27" s="287"/>
      <c r="K27" s="287"/>
      <c r="L27" s="287"/>
      <c r="M27" s="287"/>
      <c r="N27" s="287"/>
      <c r="O27" s="287"/>
      <c r="P27" s="287"/>
      <c r="Q27" s="287"/>
      <c r="R27" s="287"/>
      <c r="S27" s="287"/>
      <c r="T27" s="287"/>
      <c r="U27" s="287"/>
      <c r="V27" s="287"/>
      <c r="W27" s="287"/>
    </row>
    <row r="28" spans="1:23" ht="10.5" customHeight="1" x14ac:dyDescent="0.2">
      <c r="A28" s="296" t="s">
        <v>19</v>
      </c>
      <c r="B28" s="296"/>
      <c r="C28" s="304"/>
      <c r="D28" s="304"/>
      <c r="E28" s="304"/>
      <c r="F28" s="304"/>
      <c r="G28" s="304"/>
      <c r="H28" s="304"/>
    </row>
    <row r="29" spans="1:23" x14ac:dyDescent="0.2">
      <c r="A29" s="235" t="s">
        <v>546</v>
      </c>
    </row>
  </sheetData>
  <mergeCells count="13">
    <mergeCell ref="L4:M4"/>
    <mergeCell ref="N4:O4"/>
    <mergeCell ref="P4:Q4"/>
    <mergeCell ref="R4:S4"/>
    <mergeCell ref="A23:O23"/>
    <mergeCell ref="A28:B28"/>
    <mergeCell ref="A2:K2"/>
    <mergeCell ref="A4:A5"/>
    <mergeCell ref="B4:C4"/>
    <mergeCell ref="D4:E4"/>
    <mergeCell ref="F4:G4"/>
    <mergeCell ref="H4:I4"/>
    <mergeCell ref="J4:K4"/>
  </mergeCells>
  <pageMargins left="0.39370078740157483" right="0.39370078740157483" top="0.59055118110236227" bottom="0.39370078740157483" header="0" footer="0"/>
  <pageSetup paperSize="14" scale="60" orientation="landscape" r:id="rId1"/>
  <headerFooter alignWithMargins="0"/>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C9CB66-DB9F-4BC8-A5F4-D27000C07A14}">
  <sheetPr codeName="Hoja300"/>
  <dimension ref="A2:U26"/>
  <sheetViews>
    <sheetView zoomScaleNormal="100" workbookViewId="0">
      <selection activeCell="A2" sqref="A2"/>
    </sheetView>
  </sheetViews>
  <sheetFormatPr baseColWidth="10" defaultRowHeight="13.2" x14ac:dyDescent="0.25"/>
  <cols>
    <col min="1" max="1" width="15.6640625" customWidth="1"/>
    <col min="2" max="2" width="5.6640625" bestFit="1" customWidth="1"/>
    <col min="3" max="3" width="8.33203125" bestFit="1" customWidth="1"/>
    <col min="4" max="4" width="6.33203125" bestFit="1" customWidth="1"/>
    <col min="5" max="5" width="12.44140625" bestFit="1" customWidth="1"/>
    <col min="6" max="6" width="5.6640625" bestFit="1" customWidth="1"/>
    <col min="7" max="7" width="8.33203125" bestFit="1" customWidth="1"/>
    <col min="8" max="8" width="6.33203125" bestFit="1" customWidth="1"/>
    <col min="9" max="9" width="12.44140625" bestFit="1" customWidth="1"/>
    <col min="10" max="10" width="5.6640625" bestFit="1" customWidth="1"/>
    <col min="11" max="11" width="8.33203125" bestFit="1" customWidth="1"/>
    <col min="12" max="12" width="6.33203125" bestFit="1" customWidth="1"/>
    <col min="13" max="13" width="12.44140625" bestFit="1" customWidth="1"/>
    <col min="14" max="14" width="5.6640625" bestFit="1" customWidth="1"/>
    <col min="15" max="15" width="8.33203125" bestFit="1" customWidth="1"/>
    <col min="16" max="16" width="6.33203125" bestFit="1" customWidth="1"/>
    <col min="17" max="17" width="12.44140625" bestFit="1" customWidth="1"/>
    <col min="18" max="18" width="5.6640625" bestFit="1" customWidth="1"/>
    <col min="19" max="19" width="9.6640625" bestFit="1" customWidth="1"/>
    <col min="20" max="20" width="6.33203125" bestFit="1" customWidth="1"/>
    <col min="21" max="21" width="12.44140625" bestFit="1" customWidth="1"/>
  </cols>
  <sheetData>
    <row r="2" spans="1:21" ht="24" customHeight="1" x14ac:dyDescent="0.25">
      <c r="A2" s="234" t="s">
        <v>3376</v>
      </c>
      <c r="B2" s="234"/>
      <c r="C2" s="234"/>
      <c r="D2" s="234"/>
      <c r="E2" s="234"/>
      <c r="F2" s="234"/>
      <c r="G2" s="234"/>
      <c r="H2" s="234"/>
      <c r="I2" s="234"/>
      <c r="J2" s="234"/>
      <c r="K2" s="234"/>
      <c r="L2" s="234"/>
      <c r="M2" s="234"/>
      <c r="N2" s="234"/>
      <c r="O2" s="234"/>
      <c r="P2" s="234"/>
      <c r="Q2" s="234"/>
      <c r="R2" s="234"/>
      <c r="S2" s="234"/>
      <c r="T2" s="234"/>
      <c r="U2" s="234"/>
    </row>
    <row r="3" spans="1:21" s="1600" customFormat="1" ht="10.199999999999999" x14ac:dyDescent="0.2">
      <c r="A3" s="1598"/>
      <c r="B3" s="1598"/>
      <c r="C3" s="1598"/>
      <c r="D3" s="1598"/>
      <c r="E3" s="1598"/>
      <c r="F3" s="1598"/>
      <c r="G3" s="1598"/>
      <c r="H3" s="1598"/>
      <c r="I3" s="1598"/>
      <c r="J3" s="1599"/>
      <c r="K3" s="1599"/>
      <c r="L3" s="1599"/>
      <c r="M3" s="1599"/>
      <c r="N3" s="1599"/>
      <c r="O3" s="1599"/>
      <c r="P3" s="1599"/>
      <c r="Q3" s="1599"/>
      <c r="R3" s="1599"/>
      <c r="S3" s="1599"/>
      <c r="T3" s="1599"/>
      <c r="U3" s="1599"/>
    </row>
    <row r="4" spans="1:21" s="442" customFormat="1" ht="16.5" customHeight="1" x14ac:dyDescent="0.2">
      <c r="A4" s="1650" t="s">
        <v>0</v>
      </c>
      <c r="B4" s="1651">
        <v>2009</v>
      </c>
      <c r="C4" s="1652"/>
      <c r="D4" s="1652"/>
      <c r="E4" s="1653"/>
      <c r="F4" s="1651">
        <v>2010</v>
      </c>
      <c r="G4" s="1652"/>
      <c r="H4" s="1652"/>
      <c r="I4" s="1654"/>
      <c r="J4" s="1651">
        <v>2011</v>
      </c>
      <c r="K4" s="1652"/>
      <c r="L4" s="1652"/>
      <c r="M4" s="1654"/>
      <c r="N4" s="1651">
        <v>2012</v>
      </c>
      <c r="O4" s="1652"/>
      <c r="P4" s="1652"/>
      <c r="Q4" s="1654"/>
      <c r="R4" s="1651">
        <v>2013</v>
      </c>
      <c r="S4" s="1652"/>
      <c r="T4" s="1652"/>
      <c r="U4" s="1654"/>
    </row>
    <row r="5" spans="1:21" s="442" customFormat="1" ht="16.5" customHeight="1" x14ac:dyDescent="0.2">
      <c r="A5" s="1650"/>
      <c r="B5" s="1655" t="s">
        <v>42</v>
      </c>
      <c r="C5" s="1655" t="s">
        <v>3470</v>
      </c>
      <c r="D5" s="1655" t="s">
        <v>3471</v>
      </c>
      <c r="E5" s="1655" t="s">
        <v>3472</v>
      </c>
      <c r="F5" s="1655" t="s">
        <v>42</v>
      </c>
      <c r="G5" s="1655" t="s">
        <v>3470</v>
      </c>
      <c r="H5" s="1655" t="s">
        <v>3471</v>
      </c>
      <c r="I5" s="1655" t="s">
        <v>3472</v>
      </c>
      <c r="J5" s="1655" t="s">
        <v>42</v>
      </c>
      <c r="K5" s="1655" t="s">
        <v>3470</v>
      </c>
      <c r="L5" s="1655" t="s">
        <v>3471</v>
      </c>
      <c r="M5" s="1655" t="s">
        <v>3472</v>
      </c>
      <c r="N5" s="1655" t="s">
        <v>42</v>
      </c>
      <c r="O5" s="1655" t="s">
        <v>3470</v>
      </c>
      <c r="P5" s="1655" t="s">
        <v>3471</v>
      </c>
      <c r="Q5" s="1655" t="s">
        <v>3472</v>
      </c>
      <c r="R5" s="1655" t="s">
        <v>42</v>
      </c>
      <c r="S5" s="1655" t="s">
        <v>3473</v>
      </c>
      <c r="T5" s="1655" t="s">
        <v>3471</v>
      </c>
      <c r="U5" s="1655" t="s">
        <v>3472</v>
      </c>
    </row>
    <row r="6" spans="1:21" s="442" customFormat="1" ht="10.199999999999999" x14ac:dyDescent="0.2">
      <c r="A6" s="1601" t="s">
        <v>3</v>
      </c>
      <c r="B6" s="1604">
        <f t="shared" ref="B6:B21" si="0">SUM(C6:D6)</f>
        <v>28</v>
      </c>
      <c r="C6" s="1605">
        <f>SUM(C7:C21)</f>
        <v>8</v>
      </c>
      <c r="D6" s="1605">
        <f>SUM(D7:D21)</f>
        <v>20</v>
      </c>
      <c r="E6" s="1605">
        <f>SUM(E7:E21)</f>
        <v>29117000</v>
      </c>
      <c r="F6" s="1605">
        <f t="shared" ref="F6:F21" si="1">SUM(G6:H6)</f>
        <v>32</v>
      </c>
      <c r="G6" s="1605">
        <f>SUM(G7:G21)</f>
        <v>11</v>
      </c>
      <c r="H6" s="1605">
        <f>SUM(H8:H26)</f>
        <v>21</v>
      </c>
      <c r="I6" s="1605">
        <f>SUM(I7:I21)</f>
        <v>29597399</v>
      </c>
      <c r="J6" s="1605">
        <f t="shared" ref="J6:J21" si="2">SUM(K6:L6)</f>
        <v>40</v>
      </c>
      <c r="K6" s="1605">
        <f>SUM(K8:K26)</f>
        <v>19</v>
      </c>
      <c r="L6" s="1605">
        <f>SUM(L8:L26)</f>
        <v>21</v>
      </c>
      <c r="M6" s="1605">
        <f>SUM(M7:M21)</f>
        <v>44947642</v>
      </c>
      <c r="N6" s="1605">
        <f t="shared" ref="N6:N21" si="3">SUM(O6:P6)</f>
        <v>66</v>
      </c>
      <c r="O6" s="1605">
        <f>SUM(O8:O26)</f>
        <v>22</v>
      </c>
      <c r="P6" s="1605">
        <f>SUM(P8:P26)</f>
        <v>44</v>
      </c>
      <c r="Q6" s="1605">
        <f>SUM(Q7:Q21)</f>
        <v>60557000</v>
      </c>
      <c r="R6" s="1605">
        <f t="shared" ref="R6:R21" si="4">SUM(S6:T6)</f>
        <v>56</v>
      </c>
      <c r="S6" s="1605">
        <f>SUM(S7:S21)</f>
        <v>0</v>
      </c>
      <c r="T6" s="1605">
        <f>SUM(T8:T26)</f>
        <v>56</v>
      </c>
      <c r="U6" s="1605">
        <f>SUM(U7:U21)</f>
        <v>49000000</v>
      </c>
    </row>
    <row r="7" spans="1:21" s="442" customFormat="1" ht="10.199999999999999" x14ac:dyDescent="0.2">
      <c r="A7" s="1606" t="s">
        <v>4</v>
      </c>
      <c r="B7" s="1607">
        <f t="shared" si="0"/>
        <v>0</v>
      </c>
      <c r="C7" s="1608">
        <v>0</v>
      </c>
      <c r="D7" s="1609">
        <v>0</v>
      </c>
      <c r="E7" s="1609">
        <v>0</v>
      </c>
      <c r="F7" s="1605">
        <f t="shared" si="1"/>
        <v>0</v>
      </c>
      <c r="G7" s="1608">
        <v>0</v>
      </c>
      <c r="H7" s="1609">
        <v>0</v>
      </c>
      <c r="I7" s="1609">
        <v>0</v>
      </c>
      <c r="J7" s="1605">
        <f t="shared" si="2"/>
        <v>0</v>
      </c>
      <c r="K7" s="1610">
        <v>0</v>
      </c>
      <c r="L7" s="1610">
        <v>0</v>
      </c>
      <c r="M7" s="1610">
        <v>0</v>
      </c>
      <c r="N7" s="1605">
        <f t="shared" si="3"/>
        <v>5</v>
      </c>
      <c r="O7" s="1611">
        <v>1</v>
      </c>
      <c r="P7" s="1611">
        <v>4</v>
      </c>
      <c r="Q7" s="1611">
        <v>3889420</v>
      </c>
      <c r="R7" s="1605">
        <f t="shared" si="4"/>
        <v>0</v>
      </c>
      <c r="S7" s="1611">
        <v>0</v>
      </c>
      <c r="T7" s="1611">
        <v>0</v>
      </c>
      <c r="U7" s="1611">
        <v>0</v>
      </c>
    </row>
    <row r="8" spans="1:21" s="442" customFormat="1" ht="10.199999999999999" x14ac:dyDescent="0.2">
      <c r="A8" s="1606" t="s">
        <v>5</v>
      </c>
      <c r="B8" s="1607">
        <f t="shared" si="0"/>
        <v>0</v>
      </c>
      <c r="C8" s="1608">
        <v>0</v>
      </c>
      <c r="D8" s="1609">
        <v>0</v>
      </c>
      <c r="E8" s="1609">
        <v>0</v>
      </c>
      <c r="F8" s="1605">
        <f t="shared" si="1"/>
        <v>0</v>
      </c>
      <c r="G8" s="1608">
        <v>0</v>
      </c>
      <c r="H8" s="1609">
        <v>0</v>
      </c>
      <c r="I8" s="1609">
        <v>0</v>
      </c>
      <c r="J8" s="1605">
        <f t="shared" si="2"/>
        <v>7</v>
      </c>
      <c r="K8" s="1611">
        <v>4</v>
      </c>
      <c r="L8" s="1611">
        <v>3</v>
      </c>
      <c r="M8" s="1611">
        <v>10947642</v>
      </c>
      <c r="N8" s="1605">
        <f t="shared" si="3"/>
        <v>3</v>
      </c>
      <c r="O8" s="1611">
        <v>2</v>
      </c>
      <c r="P8" s="1611">
        <v>1</v>
      </c>
      <c r="Q8" s="1611">
        <v>2400000</v>
      </c>
      <c r="R8" s="1605">
        <f t="shared" si="4"/>
        <v>22</v>
      </c>
      <c r="S8" s="1611">
        <v>0</v>
      </c>
      <c r="T8" s="1611">
        <v>22</v>
      </c>
      <c r="U8" s="1611">
        <v>15000000</v>
      </c>
    </row>
    <row r="9" spans="1:21" s="442" customFormat="1" ht="10.199999999999999" x14ac:dyDescent="0.2">
      <c r="A9" s="1606" t="s">
        <v>6</v>
      </c>
      <c r="B9" s="1607">
        <f t="shared" si="0"/>
        <v>0</v>
      </c>
      <c r="C9" s="1608">
        <v>0</v>
      </c>
      <c r="D9" s="1609">
        <v>0</v>
      </c>
      <c r="E9" s="1609">
        <v>0</v>
      </c>
      <c r="F9" s="1605">
        <f t="shared" si="1"/>
        <v>0</v>
      </c>
      <c r="G9" s="1608">
        <v>0</v>
      </c>
      <c r="H9" s="1609">
        <v>0</v>
      </c>
      <c r="I9" s="1609">
        <v>0</v>
      </c>
      <c r="J9" s="1605">
        <f t="shared" si="2"/>
        <v>0</v>
      </c>
      <c r="K9" s="1610">
        <v>0</v>
      </c>
      <c r="L9" s="1610">
        <v>0</v>
      </c>
      <c r="M9" s="1610">
        <v>0</v>
      </c>
      <c r="N9" s="1605">
        <f t="shared" si="3"/>
        <v>3</v>
      </c>
      <c r="O9" s="1609">
        <v>0</v>
      </c>
      <c r="P9" s="1611">
        <v>3</v>
      </c>
      <c r="Q9" s="1611">
        <v>2589420</v>
      </c>
      <c r="R9" s="1605">
        <f t="shared" si="4"/>
        <v>0</v>
      </c>
      <c r="S9" s="1611">
        <v>0</v>
      </c>
      <c r="T9" s="1611">
        <v>0</v>
      </c>
      <c r="U9" s="1611">
        <v>0</v>
      </c>
    </row>
    <row r="10" spans="1:21" s="442" customFormat="1" ht="10.199999999999999" x14ac:dyDescent="0.2">
      <c r="A10" s="1606" t="s">
        <v>7</v>
      </c>
      <c r="B10" s="1607">
        <f t="shared" si="0"/>
        <v>0</v>
      </c>
      <c r="C10" s="1608">
        <v>0</v>
      </c>
      <c r="D10" s="1609">
        <v>0</v>
      </c>
      <c r="E10" s="1609">
        <v>0</v>
      </c>
      <c r="F10" s="1605">
        <f t="shared" si="1"/>
        <v>0</v>
      </c>
      <c r="G10" s="1608">
        <v>0</v>
      </c>
      <c r="H10" s="1609">
        <v>0</v>
      </c>
      <c r="I10" s="1609">
        <v>0</v>
      </c>
      <c r="J10" s="1605">
        <f t="shared" si="2"/>
        <v>0</v>
      </c>
      <c r="K10" s="1610">
        <v>0</v>
      </c>
      <c r="L10" s="1610">
        <v>0</v>
      </c>
      <c r="M10" s="1610">
        <v>0</v>
      </c>
      <c r="N10" s="1605">
        <f t="shared" si="3"/>
        <v>0</v>
      </c>
      <c r="O10" s="1610">
        <v>0</v>
      </c>
      <c r="P10" s="1610">
        <v>0</v>
      </c>
      <c r="Q10" s="1610">
        <v>0</v>
      </c>
      <c r="R10" s="1605">
        <f t="shared" si="4"/>
        <v>0</v>
      </c>
      <c r="S10" s="1611">
        <v>0</v>
      </c>
      <c r="T10" s="1611">
        <v>0</v>
      </c>
      <c r="U10" s="1611">
        <v>0</v>
      </c>
    </row>
    <row r="11" spans="1:21" s="442" customFormat="1" ht="10.199999999999999" x14ac:dyDescent="0.2">
      <c r="A11" s="1606" t="s">
        <v>8</v>
      </c>
      <c r="B11" s="1607">
        <f t="shared" si="0"/>
        <v>0</v>
      </c>
      <c r="C11" s="1608">
        <v>0</v>
      </c>
      <c r="D11" s="1609">
        <v>0</v>
      </c>
      <c r="E11" s="1609">
        <v>0</v>
      </c>
      <c r="F11" s="1605">
        <f t="shared" si="1"/>
        <v>0</v>
      </c>
      <c r="G11" s="1608">
        <v>0</v>
      </c>
      <c r="H11" s="1609">
        <v>0</v>
      </c>
      <c r="I11" s="1609">
        <v>0</v>
      </c>
      <c r="J11" s="1605">
        <f t="shared" si="2"/>
        <v>0</v>
      </c>
      <c r="K11" s="1610">
        <v>0</v>
      </c>
      <c r="L11" s="1610">
        <v>0</v>
      </c>
      <c r="M11" s="1610">
        <v>0</v>
      </c>
      <c r="N11" s="1605">
        <f t="shared" si="3"/>
        <v>0</v>
      </c>
      <c r="O11" s="1610">
        <v>0</v>
      </c>
      <c r="P11" s="1610">
        <v>0</v>
      </c>
      <c r="Q11" s="1610">
        <v>0</v>
      </c>
      <c r="R11" s="1605">
        <f t="shared" si="4"/>
        <v>0</v>
      </c>
      <c r="S11" s="1611">
        <v>0</v>
      </c>
      <c r="T11" s="1611">
        <v>0</v>
      </c>
      <c r="U11" s="1611">
        <v>0</v>
      </c>
    </row>
    <row r="12" spans="1:21" s="442" customFormat="1" ht="10.199999999999999" x14ac:dyDescent="0.2">
      <c r="A12" s="1606" t="s">
        <v>9</v>
      </c>
      <c r="B12" s="1607">
        <f t="shared" si="0"/>
        <v>0</v>
      </c>
      <c r="C12" s="1608">
        <v>0</v>
      </c>
      <c r="D12" s="1609">
        <v>0</v>
      </c>
      <c r="E12" s="1609">
        <v>0</v>
      </c>
      <c r="F12" s="1605">
        <f t="shared" si="1"/>
        <v>0</v>
      </c>
      <c r="G12" s="1608">
        <v>0</v>
      </c>
      <c r="H12" s="1609">
        <v>0</v>
      </c>
      <c r="I12" s="1609">
        <v>0</v>
      </c>
      <c r="J12" s="1605">
        <f t="shared" si="2"/>
        <v>0</v>
      </c>
      <c r="K12" s="1610">
        <v>0</v>
      </c>
      <c r="L12" s="1610">
        <v>0</v>
      </c>
      <c r="M12" s="1610">
        <v>0</v>
      </c>
      <c r="N12" s="1605">
        <f t="shared" si="3"/>
        <v>1</v>
      </c>
      <c r="O12" s="1609">
        <v>0</v>
      </c>
      <c r="P12" s="1611">
        <v>1</v>
      </c>
      <c r="Q12" s="1611">
        <v>1000000</v>
      </c>
      <c r="R12" s="1605">
        <f t="shared" si="4"/>
        <v>0</v>
      </c>
      <c r="S12" s="1611">
        <v>0</v>
      </c>
      <c r="T12" s="1611">
        <v>0</v>
      </c>
      <c r="U12" s="1611">
        <v>0</v>
      </c>
    </row>
    <row r="13" spans="1:21" s="442" customFormat="1" ht="10.199999999999999" x14ac:dyDescent="0.2">
      <c r="A13" s="1606" t="s">
        <v>10</v>
      </c>
      <c r="B13" s="1607">
        <f t="shared" si="0"/>
        <v>28</v>
      </c>
      <c r="C13" s="1608">
        <v>8</v>
      </c>
      <c r="D13" s="1611">
        <v>20</v>
      </c>
      <c r="E13" s="1611">
        <v>29117000</v>
      </c>
      <c r="F13" s="1605">
        <f t="shared" si="1"/>
        <v>32</v>
      </c>
      <c r="G13" s="1608">
        <v>11</v>
      </c>
      <c r="H13" s="1611">
        <v>21</v>
      </c>
      <c r="I13" s="1611">
        <v>29597399</v>
      </c>
      <c r="J13" s="1605">
        <f t="shared" si="2"/>
        <v>17</v>
      </c>
      <c r="K13" s="1611">
        <v>8</v>
      </c>
      <c r="L13" s="1611">
        <v>9</v>
      </c>
      <c r="M13" s="1611">
        <v>20000000</v>
      </c>
      <c r="N13" s="1605">
        <f t="shared" si="3"/>
        <v>20</v>
      </c>
      <c r="O13" s="1611">
        <v>9</v>
      </c>
      <c r="P13" s="1611">
        <v>11</v>
      </c>
      <c r="Q13" s="1611">
        <v>18857680</v>
      </c>
      <c r="R13" s="1605">
        <f t="shared" si="4"/>
        <v>0</v>
      </c>
      <c r="S13" s="1611">
        <v>0</v>
      </c>
      <c r="T13" s="1611">
        <v>0</v>
      </c>
      <c r="U13" s="1611">
        <v>0</v>
      </c>
    </row>
    <row r="14" spans="1:21" s="442" customFormat="1" ht="10.199999999999999" x14ac:dyDescent="0.2">
      <c r="A14" s="1606" t="s">
        <v>134</v>
      </c>
      <c r="B14" s="1607">
        <f t="shared" si="0"/>
        <v>0</v>
      </c>
      <c r="C14" s="1608">
        <v>0</v>
      </c>
      <c r="D14" s="1609">
        <v>0</v>
      </c>
      <c r="E14" s="1609">
        <v>0</v>
      </c>
      <c r="F14" s="1605">
        <f t="shared" si="1"/>
        <v>0</v>
      </c>
      <c r="G14" s="1608">
        <v>0</v>
      </c>
      <c r="H14" s="1609">
        <v>0</v>
      </c>
      <c r="I14" s="1609">
        <v>0</v>
      </c>
      <c r="J14" s="1605">
        <f t="shared" si="2"/>
        <v>0</v>
      </c>
      <c r="K14" s="1610">
        <v>0</v>
      </c>
      <c r="L14" s="1610">
        <v>0</v>
      </c>
      <c r="M14" s="1610">
        <v>0</v>
      </c>
      <c r="N14" s="1605">
        <f t="shared" si="3"/>
        <v>0</v>
      </c>
      <c r="O14" s="1610">
        <v>0</v>
      </c>
      <c r="P14" s="1610">
        <v>0</v>
      </c>
      <c r="Q14" s="1610">
        <v>0</v>
      </c>
      <c r="R14" s="1605">
        <f t="shared" si="4"/>
        <v>0</v>
      </c>
      <c r="S14" s="1611">
        <v>0</v>
      </c>
      <c r="T14" s="1611">
        <v>0</v>
      </c>
      <c r="U14" s="1611">
        <v>0</v>
      </c>
    </row>
    <row r="15" spans="1:21" s="442" customFormat="1" ht="10.199999999999999" x14ac:dyDescent="0.2">
      <c r="A15" s="1606" t="s">
        <v>12</v>
      </c>
      <c r="B15" s="1607">
        <f t="shared" si="0"/>
        <v>0</v>
      </c>
      <c r="C15" s="1608">
        <v>0</v>
      </c>
      <c r="D15" s="1609">
        <v>0</v>
      </c>
      <c r="E15" s="1609">
        <v>0</v>
      </c>
      <c r="F15" s="1605">
        <f t="shared" si="1"/>
        <v>0</v>
      </c>
      <c r="G15" s="1608">
        <v>0</v>
      </c>
      <c r="H15" s="1609">
        <v>0</v>
      </c>
      <c r="I15" s="1609">
        <v>0</v>
      </c>
      <c r="J15" s="1605">
        <f t="shared" si="2"/>
        <v>0</v>
      </c>
      <c r="K15" s="1610">
        <v>0</v>
      </c>
      <c r="L15" s="1610">
        <v>0</v>
      </c>
      <c r="M15" s="1610">
        <v>0</v>
      </c>
      <c r="N15" s="1605">
        <f t="shared" si="3"/>
        <v>0</v>
      </c>
      <c r="O15" s="1610">
        <v>0</v>
      </c>
      <c r="P15" s="1610">
        <v>0</v>
      </c>
      <c r="Q15" s="1610">
        <v>0</v>
      </c>
      <c r="R15" s="1605">
        <f t="shared" si="4"/>
        <v>0</v>
      </c>
      <c r="S15" s="1611">
        <v>0</v>
      </c>
      <c r="T15" s="1611">
        <v>0</v>
      </c>
      <c r="U15" s="1611">
        <v>0</v>
      </c>
    </row>
    <row r="16" spans="1:21" s="442" customFormat="1" ht="10.199999999999999" x14ac:dyDescent="0.2">
      <c r="A16" s="1606" t="s">
        <v>13</v>
      </c>
      <c r="B16" s="1607">
        <f t="shared" si="0"/>
        <v>0</v>
      </c>
      <c r="C16" s="1608">
        <v>0</v>
      </c>
      <c r="D16" s="1609">
        <v>0</v>
      </c>
      <c r="E16" s="1609">
        <v>0</v>
      </c>
      <c r="F16" s="1605">
        <f t="shared" si="1"/>
        <v>0</v>
      </c>
      <c r="G16" s="1608">
        <v>0</v>
      </c>
      <c r="H16" s="1609">
        <v>0</v>
      </c>
      <c r="I16" s="1609">
        <v>0</v>
      </c>
      <c r="J16" s="1605">
        <f t="shared" si="2"/>
        <v>0</v>
      </c>
      <c r="K16" s="1610">
        <v>0</v>
      </c>
      <c r="L16" s="1610">
        <v>0</v>
      </c>
      <c r="M16" s="1610">
        <v>0</v>
      </c>
      <c r="N16" s="1605">
        <f t="shared" si="3"/>
        <v>4</v>
      </c>
      <c r="O16" s="1611">
        <v>2</v>
      </c>
      <c r="P16" s="1611">
        <v>2</v>
      </c>
      <c r="Q16" s="1611">
        <v>3726280</v>
      </c>
      <c r="R16" s="1605">
        <f t="shared" si="4"/>
        <v>0</v>
      </c>
      <c r="S16" s="1611">
        <v>0</v>
      </c>
      <c r="T16" s="1611">
        <v>0</v>
      </c>
      <c r="U16" s="1611">
        <v>0</v>
      </c>
    </row>
    <row r="17" spans="1:21" s="442" customFormat="1" ht="10.199999999999999" x14ac:dyDescent="0.2">
      <c r="A17" s="1606" t="s">
        <v>47</v>
      </c>
      <c r="B17" s="1607">
        <f t="shared" si="0"/>
        <v>0</v>
      </c>
      <c r="C17" s="1608">
        <v>0</v>
      </c>
      <c r="D17" s="1609">
        <v>0</v>
      </c>
      <c r="E17" s="1609">
        <v>0</v>
      </c>
      <c r="F17" s="1605">
        <f t="shared" si="1"/>
        <v>0</v>
      </c>
      <c r="G17" s="1608">
        <v>0</v>
      </c>
      <c r="H17" s="1609">
        <v>0</v>
      </c>
      <c r="I17" s="1609">
        <v>0</v>
      </c>
      <c r="J17" s="1605">
        <f t="shared" si="2"/>
        <v>16</v>
      </c>
      <c r="K17" s="1611">
        <v>7</v>
      </c>
      <c r="L17" s="1611">
        <v>9</v>
      </c>
      <c r="M17" s="1611">
        <v>14000000</v>
      </c>
      <c r="N17" s="1605">
        <f t="shared" si="3"/>
        <v>29</v>
      </c>
      <c r="O17" s="1611">
        <v>8</v>
      </c>
      <c r="P17" s="1611">
        <v>21</v>
      </c>
      <c r="Q17" s="1611">
        <v>23378100</v>
      </c>
      <c r="R17" s="1605">
        <f t="shared" si="4"/>
        <v>0</v>
      </c>
      <c r="S17" s="1611">
        <v>0</v>
      </c>
      <c r="T17" s="1611">
        <v>0</v>
      </c>
      <c r="U17" s="1611">
        <v>0</v>
      </c>
    </row>
    <row r="18" spans="1:21" s="442" customFormat="1" ht="10.199999999999999" x14ac:dyDescent="0.2">
      <c r="A18" s="1606" t="s">
        <v>135</v>
      </c>
      <c r="B18" s="1607">
        <f t="shared" si="0"/>
        <v>0</v>
      </c>
      <c r="C18" s="1608">
        <v>0</v>
      </c>
      <c r="D18" s="1609">
        <v>0</v>
      </c>
      <c r="E18" s="1609">
        <v>0</v>
      </c>
      <c r="F18" s="1605">
        <f t="shared" si="1"/>
        <v>0</v>
      </c>
      <c r="G18" s="1608">
        <v>0</v>
      </c>
      <c r="H18" s="1609">
        <v>0</v>
      </c>
      <c r="I18" s="1609">
        <v>0</v>
      </c>
      <c r="J18" s="1605">
        <f t="shared" si="2"/>
        <v>0</v>
      </c>
      <c r="K18" s="1610">
        <v>0</v>
      </c>
      <c r="L18" s="1610">
        <v>0</v>
      </c>
      <c r="M18" s="1610">
        <v>0</v>
      </c>
      <c r="N18" s="1605">
        <f t="shared" si="3"/>
        <v>2</v>
      </c>
      <c r="O18" s="1609">
        <v>0</v>
      </c>
      <c r="P18" s="1611">
        <v>2</v>
      </c>
      <c r="Q18" s="1611">
        <v>1726280</v>
      </c>
      <c r="R18" s="1605">
        <f t="shared" si="4"/>
        <v>0</v>
      </c>
      <c r="S18" s="1611">
        <v>0</v>
      </c>
      <c r="T18" s="1611">
        <v>0</v>
      </c>
      <c r="U18" s="1611">
        <v>0</v>
      </c>
    </row>
    <row r="19" spans="1:21" s="442" customFormat="1" ht="10.199999999999999" x14ac:dyDescent="0.2">
      <c r="A19" s="1606" t="s">
        <v>136</v>
      </c>
      <c r="B19" s="1607">
        <f t="shared" si="0"/>
        <v>0</v>
      </c>
      <c r="C19" s="1608">
        <v>0</v>
      </c>
      <c r="D19" s="1609">
        <v>0</v>
      </c>
      <c r="E19" s="1609">
        <v>0</v>
      </c>
      <c r="F19" s="1605">
        <f t="shared" si="1"/>
        <v>0</v>
      </c>
      <c r="G19" s="1608">
        <v>0</v>
      </c>
      <c r="H19" s="1609">
        <v>0</v>
      </c>
      <c r="I19" s="1609">
        <v>0</v>
      </c>
      <c r="J19" s="1605">
        <f t="shared" si="2"/>
        <v>0</v>
      </c>
      <c r="K19" s="1610">
        <v>0</v>
      </c>
      <c r="L19" s="1610">
        <v>0</v>
      </c>
      <c r="M19" s="1610">
        <v>0</v>
      </c>
      <c r="N19" s="1605">
        <f t="shared" si="3"/>
        <v>4</v>
      </c>
      <c r="O19" s="1611">
        <v>1</v>
      </c>
      <c r="P19" s="1611">
        <v>3</v>
      </c>
      <c r="Q19" s="1611">
        <v>2989820</v>
      </c>
      <c r="R19" s="1605">
        <f t="shared" si="4"/>
        <v>34</v>
      </c>
      <c r="S19" s="1611">
        <v>0</v>
      </c>
      <c r="T19" s="1611">
        <v>34</v>
      </c>
      <c r="U19" s="1611">
        <v>34000000</v>
      </c>
    </row>
    <row r="20" spans="1:21" s="442" customFormat="1" ht="10.199999999999999" x14ac:dyDescent="0.2">
      <c r="A20" s="1606" t="s">
        <v>17</v>
      </c>
      <c r="B20" s="1607">
        <f t="shared" si="0"/>
        <v>0</v>
      </c>
      <c r="C20" s="1608">
        <v>0</v>
      </c>
      <c r="D20" s="1609">
        <v>0</v>
      </c>
      <c r="E20" s="1609">
        <v>0</v>
      </c>
      <c r="F20" s="1605">
        <f t="shared" si="1"/>
        <v>0</v>
      </c>
      <c r="G20" s="1608">
        <v>0</v>
      </c>
      <c r="H20" s="1609">
        <v>0</v>
      </c>
      <c r="I20" s="1609">
        <v>0</v>
      </c>
      <c r="J20" s="1605">
        <f t="shared" si="2"/>
        <v>0</v>
      </c>
      <c r="K20" s="1610">
        <v>0</v>
      </c>
      <c r="L20" s="1610">
        <v>0</v>
      </c>
      <c r="M20" s="1610">
        <v>0</v>
      </c>
      <c r="N20" s="1605">
        <f t="shared" si="3"/>
        <v>0</v>
      </c>
      <c r="O20" s="1610">
        <v>0</v>
      </c>
      <c r="P20" s="1610">
        <v>0</v>
      </c>
      <c r="Q20" s="1610">
        <v>0</v>
      </c>
      <c r="R20" s="1605">
        <f t="shared" si="4"/>
        <v>0</v>
      </c>
      <c r="S20" s="1611">
        <v>0</v>
      </c>
      <c r="T20" s="1611">
        <v>0</v>
      </c>
      <c r="U20" s="1611">
        <v>0</v>
      </c>
    </row>
    <row r="21" spans="1:21" s="442" customFormat="1" ht="10.199999999999999" x14ac:dyDescent="0.2">
      <c r="A21" s="1606" t="s">
        <v>18</v>
      </c>
      <c r="B21" s="1607">
        <f t="shared" si="0"/>
        <v>0</v>
      </c>
      <c r="C21" s="1608">
        <v>0</v>
      </c>
      <c r="D21" s="1609">
        <v>0</v>
      </c>
      <c r="E21" s="1609">
        <v>0</v>
      </c>
      <c r="F21" s="1605">
        <f t="shared" si="1"/>
        <v>0</v>
      </c>
      <c r="G21" s="1608">
        <v>0</v>
      </c>
      <c r="H21" s="1609">
        <v>0</v>
      </c>
      <c r="I21" s="1609">
        <v>0</v>
      </c>
      <c r="J21" s="1605">
        <f t="shared" si="2"/>
        <v>0</v>
      </c>
      <c r="K21" s="1610">
        <v>0</v>
      </c>
      <c r="L21" s="1610">
        <v>0</v>
      </c>
      <c r="M21" s="1610">
        <v>0</v>
      </c>
      <c r="N21" s="1605">
        <f t="shared" si="3"/>
        <v>0</v>
      </c>
      <c r="O21" s="1610">
        <v>0</v>
      </c>
      <c r="P21" s="1610">
        <v>0</v>
      </c>
      <c r="Q21" s="1610">
        <v>0</v>
      </c>
      <c r="R21" s="1605">
        <f t="shared" si="4"/>
        <v>0</v>
      </c>
      <c r="S21" s="1611">
        <v>0</v>
      </c>
      <c r="T21" s="1611">
        <v>0</v>
      </c>
      <c r="U21" s="1611">
        <v>0</v>
      </c>
    </row>
    <row r="22" spans="1:21" s="442" customFormat="1" ht="10.199999999999999" x14ac:dyDescent="0.2">
      <c r="A22" s="1606"/>
      <c r="B22" s="1607"/>
      <c r="C22" s="1608"/>
      <c r="D22" s="1609"/>
      <c r="E22" s="1609"/>
      <c r="F22" s="1605"/>
      <c r="G22" s="1608"/>
      <c r="H22" s="1609"/>
      <c r="I22" s="1609"/>
      <c r="J22" s="1605"/>
      <c r="K22" s="1610"/>
      <c r="L22" s="1610"/>
      <c r="M22" s="1610"/>
      <c r="N22" s="1605"/>
      <c r="O22" s="1610"/>
      <c r="P22" s="1610"/>
      <c r="Q22" s="1610"/>
      <c r="R22" s="1605"/>
      <c r="S22" s="1611"/>
      <c r="T22" s="1611"/>
      <c r="U22" s="1611"/>
    </row>
    <row r="23" spans="1:21" s="442" customFormat="1" ht="10.199999999999999" x14ac:dyDescent="0.2">
      <c r="A23" s="1048" t="s">
        <v>3474</v>
      </c>
      <c r="B23" s="1612"/>
      <c r="C23" s="1613"/>
      <c r="D23" s="1614"/>
      <c r="E23" s="1615"/>
      <c r="F23" s="1616"/>
      <c r="G23" s="1617"/>
      <c r="H23" s="1618"/>
      <c r="I23" s="1619"/>
      <c r="J23" s="1617"/>
      <c r="K23" s="1617"/>
      <c r="L23" s="1617"/>
      <c r="M23" s="1620"/>
      <c r="N23" s="1617"/>
      <c r="O23" s="1617"/>
      <c r="P23" s="1617"/>
      <c r="Q23" s="1620"/>
      <c r="R23" s="1617"/>
      <c r="S23" s="1617"/>
      <c r="T23" s="1617"/>
      <c r="U23" s="1619"/>
    </row>
    <row r="24" spans="1:21" s="442" customFormat="1" ht="10.199999999999999" x14ac:dyDescent="0.2">
      <c r="A24" s="2" t="s">
        <v>197</v>
      </c>
      <c r="B24" s="1616"/>
      <c r="C24" s="1617"/>
      <c r="D24" s="1618"/>
      <c r="E24" s="1619"/>
      <c r="F24" s="1616"/>
      <c r="G24" s="1617"/>
      <c r="H24" s="1618"/>
      <c r="I24" s="1619"/>
      <c r="J24" s="1617"/>
      <c r="K24" s="1617"/>
      <c r="L24" s="1617"/>
      <c r="M24" s="1620"/>
      <c r="N24" s="1617"/>
      <c r="O24" s="1617"/>
      <c r="P24" s="1617"/>
      <c r="Q24" s="1620"/>
      <c r="R24" s="1617"/>
      <c r="S24" s="1617"/>
      <c r="T24" s="1617"/>
      <c r="U24" s="1619"/>
    </row>
    <row r="25" spans="1:21" s="442" customFormat="1" ht="10.199999999999999" x14ac:dyDescent="0.2">
      <c r="A25" s="519" t="s">
        <v>3399</v>
      </c>
      <c r="B25" s="519"/>
      <c r="C25" s="519"/>
      <c r="D25" s="519"/>
      <c r="E25" s="519"/>
      <c r="F25" s="519"/>
      <c r="G25" s="519"/>
      <c r="H25" s="519"/>
      <c r="I25" s="519"/>
      <c r="J25" s="519"/>
      <c r="K25" s="519"/>
      <c r="L25" s="519"/>
      <c r="M25" s="519"/>
      <c r="N25" s="519"/>
      <c r="O25" s="519"/>
      <c r="P25" s="519"/>
      <c r="Q25" s="519"/>
      <c r="R25" s="519"/>
      <c r="S25" s="519"/>
      <c r="T25" s="519"/>
      <c r="U25" s="519"/>
    </row>
    <row r="26" spans="1:21" s="442" customFormat="1" ht="10.199999999999999" x14ac:dyDescent="0.2">
      <c r="A26" s="519"/>
      <c r="B26" s="519"/>
      <c r="C26" s="519"/>
      <c r="D26" s="519"/>
      <c r="E26" s="519"/>
      <c r="F26" s="519"/>
      <c r="G26" s="519"/>
      <c r="H26" s="519"/>
      <c r="I26" s="519"/>
      <c r="J26" s="519"/>
      <c r="K26" s="519"/>
      <c r="L26" s="519"/>
      <c r="M26" s="519"/>
      <c r="N26" s="519"/>
      <c r="O26" s="519"/>
      <c r="P26" s="519"/>
      <c r="Q26" s="519"/>
      <c r="R26" s="519"/>
      <c r="S26" s="519"/>
      <c r="T26" s="519"/>
      <c r="U26" s="519"/>
    </row>
  </sheetData>
  <mergeCells count="7">
    <mergeCell ref="A2:U2"/>
    <mergeCell ref="A4:A5"/>
    <mergeCell ref="B4:D4"/>
    <mergeCell ref="F4:I4"/>
    <mergeCell ref="J4:M4"/>
    <mergeCell ref="N4:Q4"/>
    <mergeCell ref="R4:U4"/>
  </mergeCells>
  <pageMargins left="0.7" right="0.7" top="0.75" bottom="0.75" header="0.3" footer="0.3"/>
  <pageSetup paperSize="14" scale="83" orientation="landscape" r:id="rId1"/>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64C93-FF8C-4667-9E73-72B3A031D48E}">
  <sheetPr codeName="Hoja301"/>
  <dimension ref="A2:L20"/>
  <sheetViews>
    <sheetView zoomScaleNormal="100" workbookViewId="0">
      <selection activeCell="A2" sqref="A2"/>
    </sheetView>
  </sheetViews>
  <sheetFormatPr baseColWidth="10" defaultRowHeight="10.199999999999999" x14ac:dyDescent="0.2"/>
  <cols>
    <col min="1" max="1" width="25" style="2" customWidth="1"/>
    <col min="2" max="2" width="16.109375" style="2" bestFit="1" customWidth="1"/>
    <col min="3" max="3" width="10" style="2" customWidth="1"/>
    <col min="4" max="4" width="14.109375" style="2" bestFit="1" customWidth="1"/>
    <col min="5" max="5" width="10" style="2" customWidth="1"/>
    <col min="6" max="6" width="14.109375" style="2" bestFit="1" customWidth="1"/>
    <col min="7" max="7" width="10" style="2" customWidth="1"/>
    <col min="8" max="8" width="14.33203125" style="2" bestFit="1" customWidth="1"/>
    <col min="9" max="9" width="10" style="2" customWidth="1"/>
    <col min="10" max="10" width="14.109375" style="2" bestFit="1" customWidth="1"/>
    <col min="11" max="11" width="10" style="2" customWidth="1"/>
    <col min="12" max="12" width="14.33203125" style="2" bestFit="1" customWidth="1"/>
    <col min="13" max="256" width="11.5546875" style="2"/>
    <col min="257" max="257" width="26.33203125" style="2" customWidth="1"/>
    <col min="258" max="258" width="16.6640625" style="2" customWidth="1"/>
    <col min="259" max="259" width="13" style="2" bestFit="1" customWidth="1"/>
    <col min="260" max="260" width="14.33203125" style="2" customWidth="1"/>
    <col min="261" max="261" width="13" style="2" bestFit="1" customWidth="1"/>
    <col min="262" max="262" width="14.109375" style="2" bestFit="1" customWidth="1"/>
    <col min="263" max="263" width="13" style="2" bestFit="1" customWidth="1"/>
    <col min="264" max="264" width="14.33203125" style="2" bestFit="1" customWidth="1"/>
    <col min="265" max="265" width="13" style="2" bestFit="1" customWidth="1"/>
    <col min="266" max="266" width="14.109375" style="2" bestFit="1" customWidth="1"/>
    <col min="267" max="267" width="12.6640625" style="2" customWidth="1"/>
    <col min="268" max="268" width="14.33203125" style="2" bestFit="1" customWidth="1"/>
    <col min="269" max="512" width="11.5546875" style="2"/>
    <col min="513" max="513" width="26.33203125" style="2" customWidth="1"/>
    <col min="514" max="514" width="16.6640625" style="2" customWidth="1"/>
    <col min="515" max="515" width="13" style="2" bestFit="1" customWidth="1"/>
    <col min="516" max="516" width="14.33203125" style="2" customWidth="1"/>
    <col min="517" max="517" width="13" style="2" bestFit="1" customWidth="1"/>
    <col min="518" max="518" width="14.109375" style="2" bestFit="1" customWidth="1"/>
    <col min="519" max="519" width="13" style="2" bestFit="1" customWidth="1"/>
    <col min="520" max="520" width="14.33203125" style="2" bestFit="1" customWidth="1"/>
    <col min="521" max="521" width="13" style="2" bestFit="1" customWidth="1"/>
    <col min="522" max="522" width="14.109375" style="2" bestFit="1" customWidth="1"/>
    <col min="523" max="523" width="12.6640625" style="2" customWidth="1"/>
    <col min="524" max="524" width="14.33203125" style="2" bestFit="1" customWidth="1"/>
    <col min="525" max="768" width="11.5546875" style="2"/>
    <col min="769" max="769" width="26.33203125" style="2" customWidth="1"/>
    <col min="770" max="770" width="16.6640625" style="2" customWidth="1"/>
    <col min="771" max="771" width="13" style="2" bestFit="1" customWidth="1"/>
    <col min="772" max="772" width="14.33203125" style="2" customWidth="1"/>
    <col min="773" max="773" width="13" style="2" bestFit="1" customWidth="1"/>
    <col min="774" max="774" width="14.109375" style="2" bestFit="1" customWidth="1"/>
    <col min="775" max="775" width="13" style="2" bestFit="1" customWidth="1"/>
    <col min="776" max="776" width="14.33203125" style="2" bestFit="1" customWidth="1"/>
    <col min="777" max="777" width="13" style="2" bestFit="1" customWidth="1"/>
    <col min="778" max="778" width="14.109375" style="2" bestFit="1" customWidth="1"/>
    <col min="779" max="779" width="12.6640625" style="2" customWidth="1"/>
    <col min="780" max="780" width="14.33203125" style="2" bestFit="1" customWidth="1"/>
    <col min="781" max="1024" width="11.5546875" style="2"/>
    <col min="1025" max="1025" width="26.33203125" style="2" customWidth="1"/>
    <col min="1026" max="1026" width="16.6640625" style="2" customWidth="1"/>
    <col min="1027" max="1027" width="13" style="2" bestFit="1" customWidth="1"/>
    <col min="1028" max="1028" width="14.33203125" style="2" customWidth="1"/>
    <col min="1029" max="1029" width="13" style="2" bestFit="1" customWidth="1"/>
    <col min="1030" max="1030" width="14.109375" style="2" bestFit="1" customWidth="1"/>
    <col min="1031" max="1031" width="13" style="2" bestFit="1" customWidth="1"/>
    <col min="1032" max="1032" width="14.33203125" style="2" bestFit="1" customWidth="1"/>
    <col min="1033" max="1033" width="13" style="2" bestFit="1" customWidth="1"/>
    <col min="1034" max="1034" width="14.109375" style="2" bestFit="1" customWidth="1"/>
    <col min="1035" max="1035" width="12.6640625" style="2" customWidth="1"/>
    <col min="1036" max="1036" width="14.33203125" style="2" bestFit="1" customWidth="1"/>
    <col min="1037" max="1280" width="11.5546875" style="2"/>
    <col min="1281" max="1281" width="26.33203125" style="2" customWidth="1"/>
    <col min="1282" max="1282" width="16.6640625" style="2" customWidth="1"/>
    <col min="1283" max="1283" width="13" style="2" bestFit="1" customWidth="1"/>
    <col min="1284" max="1284" width="14.33203125" style="2" customWidth="1"/>
    <col min="1285" max="1285" width="13" style="2" bestFit="1" customWidth="1"/>
    <col min="1286" max="1286" width="14.109375" style="2" bestFit="1" customWidth="1"/>
    <col min="1287" max="1287" width="13" style="2" bestFit="1" customWidth="1"/>
    <col min="1288" max="1288" width="14.33203125" style="2" bestFit="1" customWidth="1"/>
    <col min="1289" max="1289" width="13" style="2" bestFit="1" customWidth="1"/>
    <col min="1290" max="1290" width="14.109375" style="2" bestFit="1" customWidth="1"/>
    <col min="1291" max="1291" width="12.6640625" style="2" customWidth="1"/>
    <col min="1292" max="1292" width="14.33203125" style="2" bestFit="1" customWidth="1"/>
    <col min="1293" max="1536" width="11.5546875" style="2"/>
    <col min="1537" max="1537" width="26.33203125" style="2" customWidth="1"/>
    <col min="1538" max="1538" width="16.6640625" style="2" customWidth="1"/>
    <col min="1539" max="1539" width="13" style="2" bestFit="1" customWidth="1"/>
    <col min="1540" max="1540" width="14.33203125" style="2" customWidth="1"/>
    <col min="1541" max="1541" width="13" style="2" bestFit="1" customWidth="1"/>
    <col min="1542" max="1542" width="14.109375" style="2" bestFit="1" customWidth="1"/>
    <col min="1543" max="1543" width="13" style="2" bestFit="1" customWidth="1"/>
    <col min="1544" max="1544" width="14.33203125" style="2" bestFit="1" customWidth="1"/>
    <col min="1545" max="1545" width="13" style="2" bestFit="1" customWidth="1"/>
    <col min="1546" max="1546" width="14.109375" style="2" bestFit="1" customWidth="1"/>
    <col min="1547" max="1547" width="12.6640625" style="2" customWidth="1"/>
    <col min="1548" max="1548" width="14.33203125" style="2" bestFit="1" customWidth="1"/>
    <col min="1549" max="1792" width="11.5546875" style="2"/>
    <col min="1793" max="1793" width="26.33203125" style="2" customWidth="1"/>
    <col min="1794" max="1794" width="16.6640625" style="2" customWidth="1"/>
    <col min="1795" max="1795" width="13" style="2" bestFit="1" customWidth="1"/>
    <col min="1796" max="1796" width="14.33203125" style="2" customWidth="1"/>
    <col min="1797" max="1797" width="13" style="2" bestFit="1" customWidth="1"/>
    <col min="1798" max="1798" width="14.109375" style="2" bestFit="1" customWidth="1"/>
    <col min="1799" max="1799" width="13" style="2" bestFit="1" customWidth="1"/>
    <col min="1800" max="1800" width="14.33203125" style="2" bestFit="1" customWidth="1"/>
    <col min="1801" max="1801" width="13" style="2" bestFit="1" customWidth="1"/>
    <col min="1802" max="1802" width="14.109375" style="2" bestFit="1" customWidth="1"/>
    <col min="1803" max="1803" width="12.6640625" style="2" customWidth="1"/>
    <col min="1804" max="1804" width="14.33203125" style="2" bestFit="1" customWidth="1"/>
    <col min="1805" max="2048" width="11.5546875" style="2"/>
    <col min="2049" max="2049" width="26.33203125" style="2" customWidth="1"/>
    <col min="2050" max="2050" width="16.6640625" style="2" customWidth="1"/>
    <col min="2051" max="2051" width="13" style="2" bestFit="1" customWidth="1"/>
    <col min="2052" max="2052" width="14.33203125" style="2" customWidth="1"/>
    <col min="2053" max="2053" width="13" style="2" bestFit="1" customWidth="1"/>
    <col min="2054" max="2054" width="14.109375" style="2" bestFit="1" customWidth="1"/>
    <col min="2055" max="2055" width="13" style="2" bestFit="1" customWidth="1"/>
    <col min="2056" max="2056" width="14.33203125" style="2" bestFit="1" customWidth="1"/>
    <col min="2057" max="2057" width="13" style="2" bestFit="1" customWidth="1"/>
    <col min="2058" max="2058" width="14.109375" style="2" bestFit="1" customWidth="1"/>
    <col min="2059" max="2059" width="12.6640625" style="2" customWidth="1"/>
    <col min="2060" max="2060" width="14.33203125" style="2" bestFit="1" customWidth="1"/>
    <col min="2061" max="2304" width="11.5546875" style="2"/>
    <col min="2305" max="2305" width="26.33203125" style="2" customWidth="1"/>
    <col min="2306" max="2306" width="16.6640625" style="2" customWidth="1"/>
    <col min="2307" max="2307" width="13" style="2" bestFit="1" customWidth="1"/>
    <col min="2308" max="2308" width="14.33203125" style="2" customWidth="1"/>
    <col min="2309" max="2309" width="13" style="2" bestFit="1" customWidth="1"/>
    <col min="2310" max="2310" width="14.109375" style="2" bestFit="1" customWidth="1"/>
    <col min="2311" max="2311" width="13" style="2" bestFit="1" customWidth="1"/>
    <col min="2312" max="2312" width="14.33203125" style="2" bestFit="1" customWidth="1"/>
    <col min="2313" max="2313" width="13" style="2" bestFit="1" customWidth="1"/>
    <col min="2314" max="2314" width="14.109375" style="2" bestFit="1" customWidth="1"/>
    <col min="2315" max="2315" width="12.6640625" style="2" customWidth="1"/>
    <col min="2316" max="2316" width="14.33203125" style="2" bestFit="1" customWidth="1"/>
    <col min="2317" max="2560" width="11.5546875" style="2"/>
    <col min="2561" max="2561" width="26.33203125" style="2" customWidth="1"/>
    <col min="2562" max="2562" width="16.6640625" style="2" customWidth="1"/>
    <col min="2563" max="2563" width="13" style="2" bestFit="1" customWidth="1"/>
    <col min="2564" max="2564" width="14.33203125" style="2" customWidth="1"/>
    <col min="2565" max="2565" width="13" style="2" bestFit="1" customWidth="1"/>
    <col min="2566" max="2566" width="14.109375" style="2" bestFit="1" customWidth="1"/>
    <col min="2567" max="2567" width="13" style="2" bestFit="1" customWidth="1"/>
    <col min="2568" max="2568" width="14.33203125" style="2" bestFit="1" customWidth="1"/>
    <col min="2569" max="2569" width="13" style="2" bestFit="1" customWidth="1"/>
    <col min="2570" max="2570" width="14.109375" style="2" bestFit="1" customWidth="1"/>
    <col min="2571" max="2571" width="12.6640625" style="2" customWidth="1"/>
    <col min="2572" max="2572" width="14.33203125" style="2" bestFit="1" customWidth="1"/>
    <col min="2573" max="2816" width="11.5546875" style="2"/>
    <col min="2817" max="2817" width="26.33203125" style="2" customWidth="1"/>
    <col min="2818" max="2818" width="16.6640625" style="2" customWidth="1"/>
    <col min="2819" max="2819" width="13" style="2" bestFit="1" customWidth="1"/>
    <col min="2820" max="2820" width="14.33203125" style="2" customWidth="1"/>
    <col min="2821" max="2821" width="13" style="2" bestFit="1" customWidth="1"/>
    <col min="2822" max="2822" width="14.109375" style="2" bestFit="1" customWidth="1"/>
    <col min="2823" max="2823" width="13" style="2" bestFit="1" customWidth="1"/>
    <col min="2824" max="2824" width="14.33203125" style="2" bestFit="1" customWidth="1"/>
    <col min="2825" max="2825" width="13" style="2" bestFit="1" customWidth="1"/>
    <col min="2826" max="2826" width="14.109375" style="2" bestFit="1" customWidth="1"/>
    <col min="2827" max="2827" width="12.6640625" style="2" customWidth="1"/>
    <col min="2828" max="2828" width="14.33203125" style="2" bestFit="1" customWidth="1"/>
    <col min="2829" max="3072" width="11.5546875" style="2"/>
    <col min="3073" max="3073" width="26.33203125" style="2" customWidth="1"/>
    <col min="3074" max="3074" width="16.6640625" style="2" customWidth="1"/>
    <col min="3075" max="3075" width="13" style="2" bestFit="1" customWidth="1"/>
    <col min="3076" max="3076" width="14.33203125" style="2" customWidth="1"/>
    <col min="3077" max="3077" width="13" style="2" bestFit="1" customWidth="1"/>
    <col min="3078" max="3078" width="14.109375" style="2" bestFit="1" customWidth="1"/>
    <col min="3079" max="3079" width="13" style="2" bestFit="1" customWidth="1"/>
    <col min="3080" max="3080" width="14.33203125" style="2" bestFit="1" customWidth="1"/>
    <col min="3081" max="3081" width="13" style="2" bestFit="1" customWidth="1"/>
    <col min="3082" max="3082" width="14.109375" style="2" bestFit="1" customWidth="1"/>
    <col min="3083" max="3083" width="12.6640625" style="2" customWidth="1"/>
    <col min="3084" max="3084" width="14.33203125" style="2" bestFit="1" customWidth="1"/>
    <col min="3085" max="3328" width="11.5546875" style="2"/>
    <col min="3329" max="3329" width="26.33203125" style="2" customWidth="1"/>
    <col min="3330" max="3330" width="16.6640625" style="2" customWidth="1"/>
    <col min="3331" max="3331" width="13" style="2" bestFit="1" customWidth="1"/>
    <col min="3332" max="3332" width="14.33203125" style="2" customWidth="1"/>
    <col min="3333" max="3333" width="13" style="2" bestFit="1" customWidth="1"/>
    <col min="3334" max="3334" width="14.109375" style="2" bestFit="1" customWidth="1"/>
    <col min="3335" max="3335" width="13" style="2" bestFit="1" customWidth="1"/>
    <col min="3336" max="3336" width="14.33203125" style="2" bestFit="1" customWidth="1"/>
    <col min="3337" max="3337" width="13" style="2" bestFit="1" customWidth="1"/>
    <col min="3338" max="3338" width="14.109375" style="2" bestFit="1" customWidth="1"/>
    <col min="3339" max="3339" width="12.6640625" style="2" customWidth="1"/>
    <col min="3340" max="3340" width="14.33203125" style="2" bestFit="1" customWidth="1"/>
    <col min="3341" max="3584" width="11.5546875" style="2"/>
    <col min="3585" max="3585" width="26.33203125" style="2" customWidth="1"/>
    <col min="3586" max="3586" width="16.6640625" style="2" customWidth="1"/>
    <col min="3587" max="3587" width="13" style="2" bestFit="1" customWidth="1"/>
    <col min="3588" max="3588" width="14.33203125" style="2" customWidth="1"/>
    <col min="3589" max="3589" width="13" style="2" bestFit="1" customWidth="1"/>
    <col min="3590" max="3590" width="14.109375" style="2" bestFit="1" customWidth="1"/>
    <col min="3591" max="3591" width="13" style="2" bestFit="1" customWidth="1"/>
    <col min="3592" max="3592" width="14.33203125" style="2" bestFit="1" customWidth="1"/>
    <col min="3593" max="3593" width="13" style="2" bestFit="1" customWidth="1"/>
    <col min="3594" max="3594" width="14.109375" style="2" bestFit="1" customWidth="1"/>
    <col min="3595" max="3595" width="12.6640625" style="2" customWidth="1"/>
    <col min="3596" max="3596" width="14.33203125" style="2" bestFit="1" customWidth="1"/>
    <col min="3597" max="3840" width="11.5546875" style="2"/>
    <col min="3841" max="3841" width="26.33203125" style="2" customWidth="1"/>
    <col min="3842" max="3842" width="16.6640625" style="2" customWidth="1"/>
    <col min="3843" max="3843" width="13" style="2" bestFit="1" customWidth="1"/>
    <col min="3844" max="3844" width="14.33203125" style="2" customWidth="1"/>
    <col min="3845" max="3845" width="13" style="2" bestFit="1" customWidth="1"/>
    <col min="3846" max="3846" width="14.109375" style="2" bestFit="1" customWidth="1"/>
    <col min="3847" max="3847" width="13" style="2" bestFit="1" customWidth="1"/>
    <col min="3848" max="3848" width="14.33203125" style="2" bestFit="1" customWidth="1"/>
    <col min="3849" max="3849" width="13" style="2" bestFit="1" customWidth="1"/>
    <col min="3850" max="3850" width="14.109375" style="2" bestFit="1" customWidth="1"/>
    <col min="3851" max="3851" width="12.6640625" style="2" customWidth="1"/>
    <col min="3852" max="3852" width="14.33203125" style="2" bestFit="1" customWidth="1"/>
    <col min="3853" max="4096" width="11.5546875" style="2"/>
    <col min="4097" max="4097" width="26.33203125" style="2" customWidth="1"/>
    <col min="4098" max="4098" width="16.6640625" style="2" customWidth="1"/>
    <col min="4099" max="4099" width="13" style="2" bestFit="1" customWidth="1"/>
    <col min="4100" max="4100" width="14.33203125" style="2" customWidth="1"/>
    <col min="4101" max="4101" width="13" style="2" bestFit="1" customWidth="1"/>
    <col min="4102" max="4102" width="14.109375" style="2" bestFit="1" customWidth="1"/>
    <col min="4103" max="4103" width="13" style="2" bestFit="1" customWidth="1"/>
    <col min="4104" max="4104" width="14.33203125" style="2" bestFit="1" customWidth="1"/>
    <col min="4105" max="4105" width="13" style="2" bestFit="1" customWidth="1"/>
    <col min="4106" max="4106" width="14.109375" style="2" bestFit="1" customWidth="1"/>
    <col min="4107" max="4107" width="12.6640625" style="2" customWidth="1"/>
    <col min="4108" max="4108" width="14.33203125" style="2" bestFit="1" customWidth="1"/>
    <col min="4109" max="4352" width="11.5546875" style="2"/>
    <col min="4353" max="4353" width="26.33203125" style="2" customWidth="1"/>
    <col min="4354" max="4354" width="16.6640625" style="2" customWidth="1"/>
    <col min="4355" max="4355" width="13" style="2" bestFit="1" customWidth="1"/>
    <col min="4356" max="4356" width="14.33203125" style="2" customWidth="1"/>
    <col min="4357" max="4357" width="13" style="2" bestFit="1" customWidth="1"/>
    <col min="4358" max="4358" width="14.109375" style="2" bestFit="1" customWidth="1"/>
    <col min="4359" max="4359" width="13" style="2" bestFit="1" customWidth="1"/>
    <col min="4360" max="4360" width="14.33203125" style="2" bestFit="1" customWidth="1"/>
    <col min="4361" max="4361" width="13" style="2" bestFit="1" customWidth="1"/>
    <col min="4362" max="4362" width="14.109375" style="2" bestFit="1" customWidth="1"/>
    <col min="4363" max="4363" width="12.6640625" style="2" customWidth="1"/>
    <col min="4364" max="4364" width="14.33203125" style="2" bestFit="1" customWidth="1"/>
    <col min="4365" max="4608" width="11.5546875" style="2"/>
    <col min="4609" max="4609" width="26.33203125" style="2" customWidth="1"/>
    <col min="4610" max="4610" width="16.6640625" style="2" customWidth="1"/>
    <col min="4611" max="4611" width="13" style="2" bestFit="1" customWidth="1"/>
    <col min="4612" max="4612" width="14.33203125" style="2" customWidth="1"/>
    <col min="4613" max="4613" width="13" style="2" bestFit="1" customWidth="1"/>
    <col min="4614" max="4614" width="14.109375" style="2" bestFit="1" customWidth="1"/>
    <col min="4615" max="4615" width="13" style="2" bestFit="1" customWidth="1"/>
    <col min="4616" max="4616" width="14.33203125" style="2" bestFit="1" customWidth="1"/>
    <col min="4617" max="4617" width="13" style="2" bestFit="1" customWidth="1"/>
    <col min="4618" max="4618" width="14.109375" style="2" bestFit="1" customWidth="1"/>
    <col min="4619" max="4619" width="12.6640625" style="2" customWidth="1"/>
    <col min="4620" max="4620" width="14.33203125" style="2" bestFit="1" customWidth="1"/>
    <col min="4621" max="4864" width="11.5546875" style="2"/>
    <col min="4865" max="4865" width="26.33203125" style="2" customWidth="1"/>
    <col min="4866" max="4866" width="16.6640625" style="2" customWidth="1"/>
    <col min="4867" max="4867" width="13" style="2" bestFit="1" customWidth="1"/>
    <col min="4868" max="4868" width="14.33203125" style="2" customWidth="1"/>
    <col min="4869" max="4869" width="13" style="2" bestFit="1" customWidth="1"/>
    <col min="4870" max="4870" width="14.109375" style="2" bestFit="1" customWidth="1"/>
    <col min="4871" max="4871" width="13" style="2" bestFit="1" customWidth="1"/>
    <col min="4872" max="4872" width="14.33203125" style="2" bestFit="1" customWidth="1"/>
    <col min="4873" max="4873" width="13" style="2" bestFit="1" customWidth="1"/>
    <col min="4874" max="4874" width="14.109375" style="2" bestFit="1" customWidth="1"/>
    <col min="4875" max="4875" width="12.6640625" style="2" customWidth="1"/>
    <col min="4876" max="4876" width="14.33203125" style="2" bestFit="1" customWidth="1"/>
    <col min="4877" max="5120" width="11.5546875" style="2"/>
    <col min="5121" max="5121" width="26.33203125" style="2" customWidth="1"/>
    <col min="5122" max="5122" width="16.6640625" style="2" customWidth="1"/>
    <col min="5123" max="5123" width="13" style="2" bestFit="1" customWidth="1"/>
    <col min="5124" max="5124" width="14.33203125" style="2" customWidth="1"/>
    <col min="5125" max="5125" width="13" style="2" bestFit="1" customWidth="1"/>
    <col min="5126" max="5126" width="14.109375" style="2" bestFit="1" customWidth="1"/>
    <col min="5127" max="5127" width="13" style="2" bestFit="1" customWidth="1"/>
    <col min="5128" max="5128" width="14.33203125" style="2" bestFit="1" customWidth="1"/>
    <col min="5129" max="5129" width="13" style="2" bestFit="1" customWidth="1"/>
    <col min="5130" max="5130" width="14.109375" style="2" bestFit="1" customWidth="1"/>
    <col min="5131" max="5131" width="12.6640625" style="2" customWidth="1"/>
    <col min="5132" max="5132" width="14.33203125" style="2" bestFit="1" customWidth="1"/>
    <col min="5133" max="5376" width="11.5546875" style="2"/>
    <col min="5377" max="5377" width="26.33203125" style="2" customWidth="1"/>
    <col min="5378" max="5378" width="16.6640625" style="2" customWidth="1"/>
    <col min="5379" max="5379" width="13" style="2" bestFit="1" customWidth="1"/>
    <col min="5380" max="5380" width="14.33203125" style="2" customWidth="1"/>
    <col min="5381" max="5381" width="13" style="2" bestFit="1" customWidth="1"/>
    <col min="5382" max="5382" width="14.109375" style="2" bestFit="1" customWidth="1"/>
    <col min="5383" max="5383" width="13" style="2" bestFit="1" customWidth="1"/>
    <col min="5384" max="5384" width="14.33203125" style="2" bestFit="1" customWidth="1"/>
    <col min="5385" max="5385" width="13" style="2" bestFit="1" customWidth="1"/>
    <col min="5386" max="5386" width="14.109375" style="2" bestFit="1" customWidth="1"/>
    <col min="5387" max="5387" width="12.6640625" style="2" customWidth="1"/>
    <col min="5388" max="5388" width="14.33203125" style="2" bestFit="1" customWidth="1"/>
    <col min="5389" max="5632" width="11.5546875" style="2"/>
    <col min="5633" max="5633" width="26.33203125" style="2" customWidth="1"/>
    <col min="5634" max="5634" width="16.6640625" style="2" customWidth="1"/>
    <col min="5635" max="5635" width="13" style="2" bestFit="1" customWidth="1"/>
    <col min="5636" max="5636" width="14.33203125" style="2" customWidth="1"/>
    <col min="5637" max="5637" width="13" style="2" bestFit="1" customWidth="1"/>
    <col min="5638" max="5638" width="14.109375" style="2" bestFit="1" customWidth="1"/>
    <col min="5639" max="5639" width="13" style="2" bestFit="1" customWidth="1"/>
    <col min="5640" max="5640" width="14.33203125" style="2" bestFit="1" customWidth="1"/>
    <col min="5641" max="5641" width="13" style="2" bestFit="1" customWidth="1"/>
    <col min="5642" max="5642" width="14.109375" style="2" bestFit="1" customWidth="1"/>
    <col min="5643" max="5643" width="12.6640625" style="2" customWidth="1"/>
    <col min="5644" max="5644" width="14.33203125" style="2" bestFit="1" customWidth="1"/>
    <col min="5645" max="5888" width="11.5546875" style="2"/>
    <col min="5889" max="5889" width="26.33203125" style="2" customWidth="1"/>
    <col min="5890" max="5890" width="16.6640625" style="2" customWidth="1"/>
    <col min="5891" max="5891" width="13" style="2" bestFit="1" customWidth="1"/>
    <col min="5892" max="5892" width="14.33203125" style="2" customWidth="1"/>
    <col min="5893" max="5893" width="13" style="2" bestFit="1" customWidth="1"/>
    <col min="5894" max="5894" width="14.109375" style="2" bestFit="1" customWidth="1"/>
    <col min="5895" max="5895" width="13" style="2" bestFit="1" customWidth="1"/>
    <col min="5896" max="5896" width="14.33203125" style="2" bestFit="1" customWidth="1"/>
    <col min="5897" max="5897" width="13" style="2" bestFit="1" customWidth="1"/>
    <col min="5898" max="5898" width="14.109375" style="2" bestFit="1" customWidth="1"/>
    <col min="5899" max="5899" width="12.6640625" style="2" customWidth="1"/>
    <col min="5900" max="5900" width="14.33203125" style="2" bestFit="1" customWidth="1"/>
    <col min="5901" max="6144" width="11.5546875" style="2"/>
    <col min="6145" max="6145" width="26.33203125" style="2" customWidth="1"/>
    <col min="6146" max="6146" width="16.6640625" style="2" customWidth="1"/>
    <col min="6147" max="6147" width="13" style="2" bestFit="1" customWidth="1"/>
    <col min="6148" max="6148" width="14.33203125" style="2" customWidth="1"/>
    <col min="6149" max="6149" width="13" style="2" bestFit="1" customWidth="1"/>
    <col min="6150" max="6150" width="14.109375" style="2" bestFit="1" customWidth="1"/>
    <col min="6151" max="6151" width="13" style="2" bestFit="1" customWidth="1"/>
    <col min="6152" max="6152" width="14.33203125" style="2" bestFit="1" customWidth="1"/>
    <col min="6153" max="6153" width="13" style="2" bestFit="1" customWidth="1"/>
    <col min="6154" max="6154" width="14.109375" style="2" bestFit="1" customWidth="1"/>
    <col min="6155" max="6155" width="12.6640625" style="2" customWidth="1"/>
    <col min="6156" max="6156" width="14.33203125" style="2" bestFit="1" customWidth="1"/>
    <col min="6157" max="6400" width="11.5546875" style="2"/>
    <col min="6401" max="6401" width="26.33203125" style="2" customWidth="1"/>
    <col min="6402" max="6402" width="16.6640625" style="2" customWidth="1"/>
    <col min="6403" max="6403" width="13" style="2" bestFit="1" customWidth="1"/>
    <col min="6404" max="6404" width="14.33203125" style="2" customWidth="1"/>
    <col min="6405" max="6405" width="13" style="2" bestFit="1" customWidth="1"/>
    <col min="6406" max="6406" width="14.109375" style="2" bestFit="1" customWidth="1"/>
    <col min="6407" max="6407" width="13" style="2" bestFit="1" customWidth="1"/>
    <col min="6408" max="6408" width="14.33203125" style="2" bestFit="1" customWidth="1"/>
    <col min="6409" max="6409" width="13" style="2" bestFit="1" customWidth="1"/>
    <col min="6410" max="6410" width="14.109375" style="2" bestFit="1" customWidth="1"/>
    <col min="6411" max="6411" width="12.6640625" style="2" customWidth="1"/>
    <col min="6412" max="6412" width="14.33203125" style="2" bestFit="1" customWidth="1"/>
    <col min="6413" max="6656" width="11.5546875" style="2"/>
    <col min="6657" max="6657" width="26.33203125" style="2" customWidth="1"/>
    <col min="6658" max="6658" width="16.6640625" style="2" customWidth="1"/>
    <col min="6659" max="6659" width="13" style="2" bestFit="1" customWidth="1"/>
    <col min="6660" max="6660" width="14.33203125" style="2" customWidth="1"/>
    <col min="6661" max="6661" width="13" style="2" bestFit="1" customWidth="1"/>
    <col min="6662" max="6662" width="14.109375" style="2" bestFit="1" customWidth="1"/>
    <col min="6663" max="6663" width="13" style="2" bestFit="1" customWidth="1"/>
    <col min="6664" max="6664" width="14.33203125" style="2" bestFit="1" customWidth="1"/>
    <col min="6665" max="6665" width="13" style="2" bestFit="1" customWidth="1"/>
    <col min="6666" max="6666" width="14.109375" style="2" bestFit="1" customWidth="1"/>
    <col min="6667" max="6667" width="12.6640625" style="2" customWidth="1"/>
    <col min="6668" max="6668" width="14.33203125" style="2" bestFit="1" customWidth="1"/>
    <col min="6669" max="6912" width="11.5546875" style="2"/>
    <col min="6913" max="6913" width="26.33203125" style="2" customWidth="1"/>
    <col min="6914" max="6914" width="16.6640625" style="2" customWidth="1"/>
    <col min="6915" max="6915" width="13" style="2" bestFit="1" customWidth="1"/>
    <col min="6916" max="6916" width="14.33203125" style="2" customWidth="1"/>
    <col min="6917" max="6917" width="13" style="2" bestFit="1" customWidth="1"/>
    <col min="6918" max="6918" width="14.109375" style="2" bestFit="1" customWidth="1"/>
    <col min="6919" max="6919" width="13" style="2" bestFit="1" customWidth="1"/>
    <col min="6920" max="6920" width="14.33203125" style="2" bestFit="1" customWidth="1"/>
    <col min="6921" max="6921" width="13" style="2" bestFit="1" customWidth="1"/>
    <col min="6922" max="6922" width="14.109375" style="2" bestFit="1" customWidth="1"/>
    <col min="6923" max="6923" width="12.6640625" style="2" customWidth="1"/>
    <col min="6924" max="6924" width="14.33203125" style="2" bestFit="1" customWidth="1"/>
    <col min="6925" max="7168" width="11.5546875" style="2"/>
    <col min="7169" max="7169" width="26.33203125" style="2" customWidth="1"/>
    <col min="7170" max="7170" width="16.6640625" style="2" customWidth="1"/>
    <col min="7171" max="7171" width="13" style="2" bestFit="1" customWidth="1"/>
    <col min="7172" max="7172" width="14.33203125" style="2" customWidth="1"/>
    <col min="7173" max="7173" width="13" style="2" bestFit="1" customWidth="1"/>
    <col min="7174" max="7174" width="14.109375" style="2" bestFit="1" customWidth="1"/>
    <col min="7175" max="7175" width="13" style="2" bestFit="1" customWidth="1"/>
    <col min="7176" max="7176" width="14.33203125" style="2" bestFit="1" customWidth="1"/>
    <col min="7177" max="7177" width="13" style="2" bestFit="1" customWidth="1"/>
    <col min="7178" max="7178" width="14.109375" style="2" bestFit="1" customWidth="1"/>
    <col min="7179" max="7179" width="12.6640625" style="2" customWidth="1"/>
    <col min="7180" max="7180" width="14.33203125" style="2" bestFit="1" customWidth="1"/>
    <col min="7181" max="7424" width="11.5546875" style="2"/>
    <col min="7425" max="7425" width="26.33203125" style="2" customWidth="1"/>
    <col min="7426" max="7426" width="16.6640625" style="2" customWidth="1"/>
    <col min="7427" max="7427" width="13" style="2" bestFit="1" customWidth="1"/>
    <col min="7428" max="7428" width="14.33203125" style="2" customWidth="1"/>
    <col min="7429" max="7429" width="13" style="2" bestFit="1" customWidth="1"/>
    <col min="7430" max="7430" width="14.109375" style="2" bestFit="1" customWidth="1"/>
    <col min="7431" max="7431" width="13" style="2" bestFit="1" customWidth="1"/>
    <col min="7432" max="7432" width="14.33203125" style="2" bestFit="1" customWidth="1"/>
    <col min="7433" max="7433" width="13" style="2" bestFit="1" customWidth="1"/>
    <col min="7434" max="7434" width="14.109375" style="2" bestFit="1" customWidth="1"/>
    <col min="7435" max="7435" width="12.6640625" style="2" customWidth="1"/>
    <col min="7436" max="7436" width="14.33203125" style="2" bestFit="1" customWidth="1"/>
    <col min="7437" max="7680" width="11.5546875" style="2"/>
    <col min="7681" max="7681" width="26.33203125" style="2" customWidth="1"/>
    <col min="7682" max="7682" width="16.6640625" style="2" customWidth="1"/>
    <col min="7683" max="7683" width="13" style="2" bestFit="1" customWidth="1"/>
    <col min="7684" max="7684" width="14.33203125" style="2" customWidth="1"/>
    <col min="7685" max="7685" width="13" style="2" bestFit="1" customWidth="1"/>
    <col min="7686" max="7686" width="14.109375" style="2" bestFit="1" customWidth="1"/>
    <col min="7687" max="7687" width="13" style="2" bestFit="1" customWidth="1"/>
    <col min="7688" max="7688" width="14.33203125" style="2" bestFit="1" customWidth="1"/>
    <col min="7689" max="7689" width="13" style="2" bestFit="1" customWidth="1"/>
    <col min="7690" max="7690" width="14.109375" style="2" bestFit="1" customWidth="1"/>
    <col min="7691" max="7691" width="12.6640625" style="2" customWidth="1"/>
    <col min="7692" max="7692" width="14.33203125" style="2" bestFit="1" customWidth="1"/>
    <col min="7693" max="7936" width="11.5546875" style="2"/>
    <col min="7937" max="7937" width="26.33203125" style="2" customWidth="1"/>
    <col min="7938" max="7938" width="16.6640625" style="2" customWidth="1"/>
    <col min="7939" max="7939" width="13" style="2" bestFit="1" customWidth="1"/>
    <col min="7940" max="7940" width="14.33203125" style="2" customWidth="1"/>
    <col min="7941" max="7941" width="13" style="2" bestFit="1" customWidth="1"/>
    <col min="7942" max="7942" width="14.109375" style="2" bestFit="1" customWidth="1"/>
    <col min="7943" max="7943" width="13" style="2" bestFit="1" customWidth="1"/>
    <col min="7944" max="7944" width="14.33203125" style="2" bestFit="1" customWidth="1"/>
    <col min="7945" max="7945" width="13" style="2" bestFit="1" customWidth="1"/>
    <col min="7946" max="7946" width="14.109375" style="2" bestFit="1" customWidth="1"/>
    <col min="7947" max="7947" width="12.6640625" style="2" customWidth="1"/>
    <col min="7948" max="7948" width="14.33203125" style="2" bestFit="1" customWidth="1"/>
    <col min="7949" max="8192" width="11.5546875" style="2"/>
    <col min="8193" max="8193" width="26.33203125" style="2" customWidth="1"/>
    <col min="8194" max="8194" width="16.6640625" style="2" customWidth="1"/>
    <col min="8195" max="8195" width="13" style="2" bestFit="1" customWidth="1"/>
    <col min="8196" max="8196" width="14.33203125" style="2" customWidth="1"/>
    <col min="8197" max="8197" width="13" style="2" bestFit="1" customWidth="1"/>
    <col min="8198" max="8198" width="14.109375" style="2" bestFit="1" customWidth="1"/>
    <col min="8199" max="8199" width="13" style="2" bestFit="1" customWidth="1"/>
    <col min="8200" max="8200" width="14.33203125" style="2" bestFit="1" customWidth="1"/>
    <col min="8201" max="8201" width="13" style="2" bestFit="1" customWidth="1"/>
    <col min="8202" max="8202" width="14.109375" style="2" bestFit="1" customWidth="1"/>
    <col min="8203" max="8203" width="12.6640625" style="2" customWidth="1"/>
    <col min="8204" max="8204" width="14.33203125" style="2" bestFit="1" customWidth="1"/>
    <col min="8205" max="8448" width="11.5546875" style="2"/>
    <col min="8449" max="8449" width="26.33203125" style="2" customWidth="1"/>
    <col min="8450" max="8450" width="16.6640625" style="2" customWidth="1"/>
    <col min="8451" max="8451" width="13" style="2" bestFit="1" customWidth="1"/>
    <col min="8452" max="8452" width="14.33203125" style="2" customWidth="1"/>
    <col min="8453" max="8453" width="13" style="2" bestFit="1" customWidth="1"/>
    <col min="8454" max="8454" width="14.109375" style="2" bestFit="1" customWidth="1"/>
    <col min="8455" max="8455" width="13" style="2" bestFit="1" customWidth="1"/>
    <col min="8456" max="8456" width="14.33203125" style="2" bestFit="1" customWidth="1"/>
    <col min="8457" max="8457" width="13" style="2" bestFit="1" customWidth="1"/>
    <col min="8458" max="8458" width="14.109375" style="2" bestFit="1" customWidth="1"/>
    <col min="8459" max="8459" width="12.6640625" style="2" customWidth="1"/>
    <col min="8460" max="8460" width="14.33203125" style="2" bestFit="1" customWidth="1"/>
    <col min="8461" max="8704" width="11.5546875" style="2"/>
    <col min="8705" max="8705" width="26.33203125" style="2" customWidth="1"/>
    <col min="8706" max="8706" width="16.6640625" style="2" customWidth="1"/>
    <col min="8707" max="8707" width="13" style="2" bestFit="1" customWidth="1"/>
    <col min="8708" max="8708" width="14.33203125" style="2" customWidth="1"/>
    <col min="8709" max="8709" width="13" style="2" bestFit="1" customWidth="1"/>
    <col min="8710" max="8710" width="14.109375" style="2" bestFit="1" customWidth="1"/>
    <col min="8711" max="8711" width="13" style="2" bestFit="1" customWidth="1"/>
    <col min="8712" max="8712" width="14.33203125" style="2" bestFit="1" customWidth="1"/>
    <col min="8713" max="8713" width="13" style="2" bestFit="1" customWidth="1"/>
    <col min="8714" max="8714" width="14.109375" style="2" bestFit="1" customWidth="1"/>
    <col min="8715" max="8715" width="12.6640625" style="2" customWidth="1"/>
    <col min="8716" max="8716" width="14.33203125" style="2" bestFit="1" customWidth="1"/>
    <col min="8717" max="8960" width="11.5546875" style="2"/>
    <col min="8961" max="8961" width="26.33203125" style="2" customWidth="1"/>
    <col min="8962" max="8962" width="16.6640625" style="2" customWidth="1"/>
    <col min="8963" max="8963" width="13" style="2" bestFit="1" customWidth="1"/>
    <col min="8964" max="8964" width="14.33203125" style="2" customWidth="1"/>
    <col min="8965" max="8965" width="13" style="2" bestFit="1" customWidth="1"/>
    <col min="8966" max="8966" width="14.109375" style="2" bestFit="1" customWidth="1"/>
    <col min="8967" max="8967" width="13" style="2" bestFit="1" customWidth="1"/>
    <col min="8968" max="8968" width="14.33203125" style="2" bestFit="1" customWidth="1"/>
    <col min="8969" max="8969" width="13" style="2" bestFit="1" customWidth="1"/>
    <col min="8970" max="8970" width="14.109375" style="2" bestFit="1" customWidth="1"/>
    <col min="8971" max="8971" width="12.6640625" style="2" customWidth="1"/>
    <col min="8972" max="8972" width="14.33203125" style="2" bestFit="1" customWidth="1"/>
    <col min="8973" max="9216" width="11.5546875" style="2"/>
    <col min="9217" max="9217" width="26.33203125" style="2" customWidth="1"/>
    <col min="9218" max="9218" width="16.6640625" style="2" customWidth="1"/>
    <col min="9219" max="9219" width="13" style="2" bestFit="1" customWidth="1"/>
    <col min="9220" max="9220" width="14.33203125" style="2" customWidth="1"/>
    <col min="9221" max="9221" width="13" style="2" bestFit="1" customWidth="1"/>
    <col min="9222" max="9222" width="14.109375" style="2" bestFit="1" customWidth="1"/>
    <col min="9223" max="9223" width="13" style="2" bestFit="1" customWidth="1"/>
    <col min="9224" max="9224" width="14.33203125" style="2" bestFit="1" customWidth="1"/>
    <col min="9225" max="9225" width="13" style="2" bestFit="1" customWidth="1"/>
    <col min="9226" max="9226" width="14.109375" style="2" bestFit="1" customWidth="1"/>
    <col min="9227" max="9227" width="12.6640625" style="2" customWidth="1"/>
    <col min="9228" max="9228" width="14.33203125" style="2" bestFit="1" customWidth="1"/>
    <col min="9229" max="9472" width="11.5546875" style="2"/>
    <col min="9473" max="9473" width="26.33203125" style="2" customWidth="1"/>
    <col min="9474" max="9474" width="16.6640625" style="2" customWidth="1"/>
    <col min="9475" max="9475" width="13" style="2" bestFit="1" customWidth="1"/>
    <col min="9476" max="9476" width="14.33203125" style="2" customWidth="1"/>
    <col min="9477" max="9477" width="13" style="2" bestFit="1" customWidth="1"/>
    <col min="9478" max="9478" width="14.109375" style="2" bestFit="1" customWidth="1"/>
    <col min="9479" max="9479" width="13" style="2" bestFit="1" customWidth="1"/>
    <col min="9480" max="9480" width="14.33203125" style="2" bestFit="1" customWidth="1"/>
    <col min="9481" max="9481" width="13" style="2" bestFit="1" customWidth="1"/>
    <col min="9482" max="9482" width="14.109375" style="2" bestFit="1" customWidth="1"/>
    <col min="9483" max="9483" width="12.6640625" style="2" customWidth="1"/>
    <col min="9484" max="9484" width="14.33203125" style="2" bestFit="1" customWidth="1"/>
    <col min="9485" max="9728" width="11.5546875" style="2"/>
    <col min="9729" max="9729" width="26.33203125" style="2" customWidth="1"/>
    <col min="9730" max="9730" width="16.6640625" style="2" customWidth="1"/>
    <col min="9731" max="9731" width="13" style="2" bestFit="1" customWidth="1"/>
    <col min="9732" max="9732" width="14.33203125" style="2" customWidth="1"/>
    <col min="9733" max="9733" width="13" style="2" bestFit="1" customWidth="1"/>
    <col min="9734" max="9734" width="14.109375" style="2" bestFit="1" customWidth="1"/>
    <col min="9735" max="9735" width="13" style="2" bestFit="1" customWidth="1"/>
    <col min="9736" max="9736" width="14.33203125" style="2" bestFit="1" customWidth="1"/>
    <col min="9737" max="9737" width="13" style="2" bestFit="1" customWidth="1"/>
    <col min="9738" max="9738" width="14.109375" style="2" bestFit="1" customWidth="1"/>
    <col min="9739" max="9739" width="12.6640625" style="2" customWidth="1"/>
    <col min="9740" max="9740" width="14.33203125" style="2" bestFit="1" customWidth="1"/>
    <col min="9741" max="9984" width="11.5546875" style="2"/>
    <col min="9985" max="9985" width="26.33203125" style="2" customWidth="1"/>
    <col min="9986" max="9986" width="16.6640625" style="2" customWidth="1"/>
    <col min="9987" max="9987" width="13" style="2" bestFit="1" customWidth="1"/>
    <col min="9988" max="9988" width="14.33203125" style="2" customWidth="1"/>
    <col min="9989" max="9989" width="13" style="2" bestFit="1" customWidth="1"/>
    <col min="9990" max="9990" width="14.109375" style="2" bestFit="1" customWidth="1"/>
    <col min="9991" max="9991" width="13" style="2" bestFit="1" customWidth="1"/>
    <col min="9992" max="9992" width="14.33203125" style="2" bestFit="1" customWidth="1"/>
    <col min="9993" max="9993" width="13" style="2" bestFit="1" customWidth="1"/>
    <col min="9994" max="9994" width="14.109375" style="2" bestFit="1" customWidth="1"/>
    <col min="9995" max="9995" width="12.6640625" style="2" customWidth="1"/>
    <col min="9996" max="9996" width="14.33203125" style="2" bestFit="1" customWidth="1"/>
    <col min="9997" max="10240" width="11.5546875" style="2"/>
    <col min="10241" max="10241" width="26.33203125" style="2" customWidth="1"/>
    <col min="10242" max="10242" width="16.6640625" style="2" customWidth="1"/>
    <col min="10243" max="10243" width="13" style="2" bestFit="1" customWidth="1"/>
    <col min="10244" max="10244" width="14.33203125" style="2" customWidth="1"/>
    <col min="10245" max="10245" width="13" style="2" bestFit="1" customWidth="1"/>
    <col min="10246" max="10246" width="14.109375" style="2" bestFit="1" customWidth="1"/>
    <col min="10247" max="10247" width="13" style="2" bestFit="1" customWidth="1"/>
    <col min="10248" max="10248" width="14.33203125" style="2" bestFit="1" customWidth="1"/>
    <col min="10249" max="10249" width="13" style="2" bestFit="1" customWidth="1"/>
    <col min="10250" max="10250" width="14.109375" style="2" bestFit="1" customWidth="1"/>
    <col min="10251" max="10251" width="12.6640625" style="2" customWidth="1"/>
    <col min="10252" max="10252" width="14.33203125" style="2" bestFit="1" customWidth="1"/>
    <col min="10253" max="10496" width="11.5546875" style="2"/>
    <col min="10497" max="10497" width="26.33203125" style="2" customWidth="1"/>
    <col min="10498" max="10498" width="16.6640625" style="2" customWidth="1"/>
    <col min="10499" max="10499" width="13" style="2" bestFit="1" customWidth="1"/>
    <col min="10500" max="10500" width="14.33203125" style="2" customWidth="1"/>
    <col min="10501" max="10501" width="13" style="2" bestFit="1" customWidth="1"/>
    <col min="10502" max="10502" width="14.109375" style="2" bestFit="1" customWidth="1"/>
    <col min="10503" max="10503" width="13" style="2" bestFit="1" customWidth="1"/>
    <col min="10504" max="10504" width="14.33203125" style="2" bestFit="1" customWidth="1"/>
    <col min="10505" max="10505" width="13" style="2" bestFit="1" customWidth="1"/>
    <col min="10506" max="10506" width="14.109375" style="2" bestFit="1" customWidth="1"/>
    <col min="10507" max="10507" width="12.6640625" style="2" customWidth="1"/>
    <col min="10508" max="10508" width="14.33203125" style="2" bestFit="1" customWidth="1"/>
    <col min="10509" max="10752" width="11.5546875" style="2"/>
    <col min="10753" max="10753" width="26.33203125" style="2" customWidth="1"/>
    <col min="10754" max="10754" width="16.6640625" style="2" customWidth="1"/>
    <col min="10755" max="10755" width="13" style="2" bestFit="1" customWidth="1"/>
    <col min="10756" max="10756" width="14.33203125" style="2" customWidth="1"/>
    <col min="10757" max="10757" width="13" style="2" bestFit="1" customWidth="1"/>
    <col min="10758" max="10758" width="14.109375" style="2" bestFit="1" customWidth="1"/>
    <col min="10759" max="10759" width="13" style="2" bestFit="1" customWidth="1"/>
    <col min="10760" max="10760" width="14.33203125" style="2" bestFit="1" customWidth="1"/>
    <col min="10761" max="10761" width="13" style="2" bestFit="1" customWidth="1"/>
    <col min="10762" max="10762" width="14.109375" style="2" bestFit="1" customWidth="1"/>
    <col min="10763" max="10763" width="12.6640625" style="2" customWidth="1"/>
    <col min="10764" max="10764" width="14.33203125" style="2" bestFit="1" customWidth="1"/>
    <col min="10765" max="11008" width="11.5546875" style="2"/>
    <col min="11009" max="11009" width="26.33203125" style="2" customWidth="1"/>
    <col min="11010" max="11010" width="16.6640625" style="2" customWidth="1"/>
    <col min="11011" max="11011" width="13" style="2" bestFit="1" customWidth="1"/>
    <col min="11012" max="11012" width="14.33203125" style="2" customWidth="1"/>
    <col min="11013" max="11013" width="13" style="2" bestFit="1" customWidth="1"/>
    <col min="11014" max="11014" width="14.109375" style="2" bestFit="1" customWidth="1"/>
    <col min="11015" max="11015" width="13" style="2" bestFit="1" customWidth="1"/>
    <col min="11016" max="11016" width="14.33203125" style="2" bestFit="1" customWidth="1"/>
    <col min="11017" max="11017" width="13" style="2" bestFit="1" customWidth="1"/>
    <col min="11018" max="11018" width="14.109375" style="2" bestFit="1" customWidth="1"/>
    <col min="11019" max="11019" width="12.6640625" style="2" customWidth="1"/>
    <col min="11020" max="11020" width="14.33203125" style="2" bestFit="1" customWidth="1"/>
    <col min="11021" max="11264" width="11.5546875" style="2"/>
    <col min="11265" max="11265" width="26.33203125" style="2" customWidth="1"/>
    <col min="11266" max="11266" width="16.6640625" style="2" customWidth="1"/>
    <col min="11267" max="11267" width="13" style="2" bestFit="1" customWidth="1"/>
    <col min="11268" max="11268" width="14.33203125" style="2" customWidth="1"/>
    <col min="11269" max="11269" width="13" style="2" bestFit="1" customWidth="1"/>
    <col min="11270" max="11270" width="14.109375" style="2" bestFit="1" customWidth="1"/>
    <col min="11271" max="11271" width="13" style="2" bestFit="1" customWidth="1"/>
    <col min="11272" max="11272" width="14.33203125" style="2" bestFit="1" customWidth="1"/>
    <col min="11273" max="11273" width="13" style="2" bestFit="1" customWidth="1"/>
    <col min="11274" max="11274" width="14.109375" style="2" bestFit="1" customWidth="1"/>
    <col min="11275" max="11275" width="12.6640625" style="2" customWidth="1"/>
    <col min="11276" max="11276" width="14.33203125" style="2" bestFit="1" customWidth="1"/>
    <col min="11277" max="11520" width="11.5546875" style="2"/>
    <col min="11521" max="11521" width="26.33203125" style="2" customWidth="1"/>
    <col min="11522" max="11522" width="16.6640625" style="2" customWidth="1"/>
    <col min="11523" max="11523" width="13" style="2" bestFit="1" customWidth="1"/>
    <col min="11524" max="11524" width="14.33203125" style="2" customWidth="1"/>
    <col min="11525" max="11525" width="13" style="2" bestFit="1" customWidth="1"/>
    <col min="11526" max="11526" width="14.109375" style="2" bestFit="1" customWidth="1"/>
    <col min="11527" max="11527" width="13" style="2" bestFit="1" customWidth="1"/>
    <col min="11528" max="11528" width="14.33203125" style="2" bestFit="1" customWidth="1"/>
    <col min="11529" max="11529" width="13" style="2" bestFit="1" customWidth="1"/>
    <col min="11530" max="11530" width="14.109375" style="2" bestFit="1" customWidth="1"/>
    <col min="11531" max="11531" width="12.6640625" style="2" customWidth="1"/>
    <col min="11532" max="11532" width="14.33203125" style="2" bestFit="1" customWidth="1"/>
    <col min="11533" max="11776" width="11.5546875" style="2"/>
    <col min="11777" max="11777" width="26.33203125" style="2" customWidth="1"/>
    <col min="11778" max="11778" width="16.6640625" style="2" customWidth="1"/>
    <col min="11779" max="11779" width="13" style="2" bestFit="1" customWidth="1"/>
    <col min="11780" max="11780" width="14.33203125" style="2" customWidth="1"/>
    <col min="11781" max="11781" width="13" style="2" bestFit="1" customWidth="1"/>
    <col min="11782" max="11782" width="14.109375" style="2" bestFit="1" customWidth="1"/>
    <col min="11783" max="11783" width="13" style="2" bestFit="1" customWidth="1"/>
    <col min="11784" max="11784" width="14.33203125" style="2" bestFit="1" customWidth="1"/>
    <col min="11785" max="11785" width="13" style="2" bestFit="1" customWidth="1"/>
    <col min="11786" max="11786" width="14.109375" style="2" bestFit="1" customWidth="1"/>
    <col min="11787" max="11787" width="12.6640625" style="2" customWidth="1"/>
    <col min="11788" max="11788" width="14.33203125" style="2" bestFit="1" customWidth="1"/>
    <col min="11789" max="12032" width="11.5546875" style="2"/>
    <col min="12033" max="12033" width="26.33203125" style="2" customWidth="1"/>
    <col min="12034" max="12034" width="16.6640625" style="2" customWidth="1"/>
    <col min="12035" max="12035" width="13" style="2" bestFit="1" customWidth="1"/>
    <col min="12036" max="12036" width="14.33203125" style="2" customWidth="1"/>
    <col min="12037" max="12037" width="13" style="2" bestFit="1" customWidth="1"/>
    <col min="12038" max="12038" width="14.109375" style="2" bestFit="1" customWidth="1"/>
    <col min="12039" max="12039" width="13" style="2" bestFit="1" customWidth="1"/>
    <col min="12040" max="12040" width="14.33203125" style="2" bestFit="1" customWidth="1"/>
    <col min="12041" max="12041" width="13" style="2" bestFit="1" customWidth="1"/>
    <col min="12042" max="12042" width="14.109375" style="2" bestFit="1" customWidth="1"/>
    <col min="12043" max="12043" width="12.6640625" style="2" customWidth="1"/>
    <col min="12044" max="12044" width="14.33203125" style="2" bestFit="1" customWidth="1"/>
    <col min="12045" max="12288" width="11.5546875" style="2"/>
    <col min="12289" max="12289" width="26.33203125" style="2" customWidth="1"/>
    <col min="12290" max="12290" width="16.6640625" style="2" customWidth="1"/>
    <col min="12291" max="12291" width="13" style="2" bestFit="1" customWidth="1"/>
    <col min="12292" max="12292" width="14.33203125" style="2" customWidth="1"/>
    <col min="12293" max="12293" width="13" style="2" bestFit="1" customWidth="1"/>
    <col min="12294" max="12294" width="14.109375" style="2" bestFit="1" customWidth="1"/>
    <col min="12295" max="12295" width="13" style="2" bestFit="1" customWidth="1"/>
    <col min="12296" max="12296" width="14.33203125" style="2" bestFit="1" customWidth="1"/>
    <col min="12297" max="12297" width="13" style="2" bestFit="1" customWidth="1"/>
    <col min="12298" max="12298" width="14.109375" style="2" bestFit="1" customWidth="1"/>
    <col min="12299" max="12299" width="12.6640625" style="2" customWidth="1"/>
    <col min="12300" max="12300" width="14.33203125" style="2" bestFit="1" customWidth="1"/>
    <col min="12301" max="12544" width="11.5546875" style="2"/>
    <col min="12545" max="12545" width="26.33203125" style="2" customWidth="1"/>
    <col min="12546" max="12546" width="16.6640625" style="2" customWidth="1"/>
    <col min="12547" max="12547" width="13" style="2" bestFit="1" customWidth="1"/>
    <col min="12548" max="12548" width="14.33203125" style="2" customWidth="1"/>
    <col min="12549" max="12549" width="13" style="2" bestFit="1" customWidth="1"/>
    <col min="12550" max="12550" width="14.109375" style="2" bestFit="1" customWidth="1"/>
    <col min="12551" max="12551" width="13" style="2" bestFit="1" customWidth="1"/>
    <col min="12552" max="12552" width="14.33203125" style="2" bestFit="1" customWidth="1"/>
    <col min="12553" max="12553" width="13" style="2" bestFit="1" customWidth="1"/>
    <col min="12554" max="12554" width="14.109375" style="2" bestFit="1" customWidth="1"/>
    <col min="12555" max="12555" width="12.6640625" style="2" customWidth="1"/>
    <col min="12556" max="12556" width="14.33203125" style="2" bestFit="1" customWidth="1"/>
    <col min="12557" max="12800" width="11.5546875" style="2"/>
    <col min="12801" max="12801" width="26.33203125" style="2" customWidth="1"/>
    <col min="12802" max="12802" width="16.6640625" style="2" customWidth="1"/>
    <col min="12803" max="12803" width="13" style="2" bestFit="1" customWidth="1"/>
    <col min="12804" max="12804" width="14.33203125" style="2" customWidth="1"/>
    <col min="12805" max="12805" width="13" style="2" bestFit="1" customWidth="1"/>
    <col min="12806" max="12806" width="14.109375" style="2" bestFit="1" customWidth="1"/>
    <col min="12807" max="12807" width="13" style="2" bestFit="1" customWidth="1"/>
    <col min="12808" max="12808" width="14.33203125" style="2" bestFit="1" customWidth="1"/>
    <col min="12809" max="12809" width="13" style="2" bestFit="1" customWidth="1"/>
    <col min="12810" max="12810" width="14.109375" style="2" bestFit="1" customWidth="1"/>
    <col min="12811" max="12811" width="12.6640625" style="2" customWidth="1"/>
    <col min="12812" max="12812" width="14.33203125" style="2" bestFit="1" customWidth="1"/>
    <col min="12813" max="13056" width="11.5546875" style="2"/>
    <col min="13057" max="13057" width="26.33203125" style="2" customWidth="1"/>
    <col min="13058" max="13058" width="16.6640625" style="2" customWidth="1"/>
    <col min="13059" max="13059" width="13" style="2" bestFit="1" customWidth="1"/>
    <col min="13060" max="13060" width="14.33203125" style="2" customWidth="1"/>
    <col min="13061" max="13061" width="13" style="2" bestFit="1" customWidth="1"/>
    <col min="13062" max="13062" width="14.109375" style="2" bestFit="1" customWidth="1"/>
    <col min="13063" max="13063" width="13" style="2" bestFit="1" customWidth="1"/>
    <col min="13064" max="13064" width="14.33203125" style="2" bestFit="1" customWidth="1"/>
    <col min="13065" max="13065" width="13" style="2" bestFit="1" customWidth="1"/>
    <col min="13066" max="13066" width="14.109375" style="2" bestFit="1" customWidth="1"/>
    <col min="13067" max="13067" width="12.6640625" style="2" customWidth="1"/>
    <col min="13068" max="13068" width="14.33203125" style="2" bestFit="1" customWidth="1"/>
    <col min="13069" max="13312" width="11.5546875" style="2"/>
    <col min="13313" max="13313" width="26.33203125" style="2" customWidth="1"/>
    <col min="13314" max="13314" width="16.6640625" style="2" customWidth="1"/>
    <col min="13315" max="13315" width="13" style="2" bestFit="1" customWidth="1"/>
    <col min="13316" max="13316" width="14.33203125" style="2" customWidth="1"/>
    <col min="13317" max="13317" width="13" style="2" bestFit="1" customWidth="1"/>
    <col min="13318" max="13318" width="14.109375" style="2" bestFit="1" customWidth="1"/>
    <col min="13319" max="13319" width="13" style="2" bestFit="1" customWidth="1"/>
    <col min="13320" max="13320" width="14.33203125" style="2" bestFit="1" customWidth="1"/>
    <col min="13321" max="13321" width="13" style="2" bestFit="1" customWidth="1"/>
    <col min="13322" max="13322" width="14.109375" style="2" bestFit="1" customWidth="1"/>
    <col min="13323" max="13323" width="12.6640625" style="2" customWidth="1"/>
    <col min="13324" max="13324" width="14.33203125" style="2" bestFit="1" customWidth="1"/>
    <col min="13325" max="13568" width="11.5546875" style="2"/>
    <col min="13569" max="13569" width="26.33203125" style="2" customWidth="1"/>
    <col min="13570" max="13570" width="16.6640625" style="2" customWidth="1"/>
    <col min="13571" max="13571" width="13" style="2" bestFit="1" customWidth="1"/>
    <col min="13572" max="13572" width="14.33203125" style="2" customWidth="1"/>
    <col min="13573" max="13573" width="13" style="2" bestFit="1" customWidth="1"/>
    <col min="13574" max="13574" width="14.109375" style="2" bestFit="1" customWidth="1"/>
    <col min="13575" max="13575" width="13" style="2" bestFit="1" customWidth="1"/>
    <col min="13576" max="13576" width="14.33203125" style="2" bestFit="1" customWidth="1"/>
    <col min="13577" max="13577" width="13" style="2" bestFit="1" customWidth="1"/>
    <col min="13578" max="13578" width="14.109375" style="2" bestFit="1" customWidth="1"/>
    <col min="13579" max="13579" width="12.6640625" style="2" customWidth="1"/>
    <col min="13580" max="13580" width="14.33203125" style="2" bestFit="1" customWidth="1"/>
    <col min="13581" max="13824" width="11.5546875" style="2"/>
    <col min="13825" max="13825" width="26.33203125" style="2" customWidth="1"/>
    <col min="13826" max="13826" width="16.6640625" style="2" customWidth="1"/>
    <col min="13827" max="13827" width="13" style="2" bestFit="1" customWidth="1"/>
    <col min="13828" max="13828" width="14.33203125" style="2" customWidth="1"/>
    <col min="13829" max="13829" width="13" style="2" bestFit="1" customWidth="1"/>
    <col min="13830" max="13830" width="14.109375" style="2" bestFit="1" customWidth="1"/>
    <col min="13831" max="13831" width="13" style="2" bestFit="1" customWidth="1"/>
    <col min="13832" max="13832" width="14.33203125" style="2" bestFit="1" customWidth="1"/>
    <col min="13833" max="13833" width="13" style="2" bestFit="1" customWidth="1"/>
    <col min="13834" max="13834" width="14.109375" style="2" bestFit="1" customWidth="1"/>
    <col min="13835" max="13835" width="12.6640625" style="2" customWidth="1"/>
    <col min="13836" max="13836" width="14.33203125" style="2" bestFit="1" customWidth="1"/>
    <col min="13837" max="14080" width="11.5546875" style="2"/>
    <col min="14081" max="14081" width="26.33203125" style="2" customWidth="1"/>
    <col min="14082" max="14082" width="16.6640625" style="2" customWidth="1"/>
    <col min="14083" max="14083" width="13" style="2" bestFit="1" customWidth="1"/>
    <col min="14084" max="14084" width="14.33203125" style="2" customWidth="1"/>
    <col min="14085" max="14085" width="13" style="2" bestFit="1" customWidth="1"/>
    <col min="14086" max="14086" width="14.109375" style="2" bestFit="1" customWidth="1"/>
    <col min="14087" max="14087" width="13" style="2" bestFit="1" customWidth="1"/>
    <col min="14088" max="14088" width="14.33203125" style="2" bestFit="1" customWidth="1"/>
    <col min="14089" max="14089" width="13" style="2" bestFit="1" customWidth="1"/>
    <col min="14090" max="14090" width="14.109375" style="2" bestFit="1" customWidth="1"/>
    <col min="14091" max="14091" width="12.6640625" style="2" customWidth="1"/>
    <col min="14092" max="14092" width="14.33203125" style="2" bestFit="1" customWidth="1"/>
    <col min="14093" max="14336" width="11.5546875" style="2"/>
    <col min="14337" max="14337" width="26.33203125" style="2" customWidth="1"/>
    <col min="14338" max="14338" width="16.6640625" style="2" customWidth="1"/>
    <col min="14339" max="14339" width="13" style="2" bestFit="1" customWidth="1"/>
    <col min="14340" max="14340" width="14.33203125" style="2" customWidth="1"/>
    <col min="14341" max="14341" width="13" style="2" bestFit="1" customWidth="1"/>
    <col min="14342" max="14342" width="14.109375" style="2" bestFit="1" customWidth="1"/>
    <col min="14343" max="14343" width="13" style="2" bestFit="1" customWidth="1"/>
    <col min="14344" max="14344" width="14.33203125" style="2" bestFit="1" customWidth="1"/>
    <col min="14345" max="14345" width="13" style="2" bestFit="1" customWidth="1"/>
    <col min="14346" max="14346" width="14.109375" style="2" bestFit="1" customWidth="1"/>
    <col min="14347" max="14347" width="12.6640625" style="2" customWidth="1"/>
    <col min="14348" max="14348" width="14.33203125" style="2" bestFit="1" customWidth="1"/>
    <col min="14349" max="14592" width="11.5546875" style="2"/>
    <col min="14593" max="14593" width="26.33203125" style="2" customWidth="1"/>
    <col min="14594" max="14594" width="16.6640625" style="2" customWidth="1"/>
    <col min="14595" max="14595" width="13" style="2" bestFit="1" customWidth="1"/>
    <col min="14596" max="14596" width="14.33203125" style="2" customWidth="1"/>
    <col min="14597" max="14597" width="13" style="2" bestFit="1" customWidth="1"/>
    <col min="14598" max="14598" width="14.109375" style="2" bestFit="1" customWidth="1"/>
    <col min="14599" max="14599" width="13" style="2" bestFit="1" customWidth="1"/>
    <col min="14600" max="14600" width="14.33203125" style="2" bestFit="1" customWidth="1"/>
    <col min="14601" max="14601" width="13" style="2" bestFit="1" customWidth="1"/>
    <col min="14602" max="14602" width="14.109375" style="2" bestFit="1" customWidth="1"/>
    <col min="14603" max="14603" width="12.6640625" style="2" customWidth="1"/>
    <col min="14604" max="14604" width="14.33203125" style="2" bestFit="1" customWidth="1"/>
    <col min="14605" max="14848" width="11.5546875" style="2"/>
    <col min="14849" max="14849" width="26.33203125" style="2" customWidth="1"/>
    <col min="14850" max="14850" width="16.6640625" style="2" customWidth="1"/>
    <col min="14851" max="14851" width="13" style="2" bestFit="1" customWidth="1"/>
    <col min="14852" max="14852" width="14.33203125" style="2" customWidth="1"/>
    <col min="14853" max="14853" width="13" style="2" bestFit="1" customWidth="1"/>
    <col min="14854" max="14854" width="14.109375" style="2" bestFit="1" customWidth="1"/>
    <col min="14855" max="14855" width="13" style="2" bestFit="1" customWidth="1"/>
    <col min="14856" max="14856" width="14.33203125" style="2" bestFit="1" customWidth="1"/>
    <col min="14857" max="14857" width="13" style="2" bestFit="1" customWidth="1"/>
    <col min="14858" max="14858" width="14.109375" style="2" bestFit="1" customWidth="1"/>
    <col min="14859" max="14859" width="12.6640625" style="2" customWidth="1"/>
    <col min="14860" max="14860" width="14.33203125" style="2" bestFit="1" customWidth="1"/>
    <col min="14861" max="15104" width="11.5546875" style="2"/>
    <col min="15105" max="15105" width="26.33203125" style="2" customWidth="1"/>
    <col min="15106" max="15106" width="16.6640625" style="2" customWidth="1"/>
    <col min="15107" max="15107" width="13" style="2" bestFit="1" customWidth="1"/>
    <col min="15108" max="15108" width="14.33203125" style="2" customWidth="1"/>
    <col min="15109" max="15109" width="13" style="2" bestFit="1" customWidth="1"/>
    <col min="15110" max="15110" width="14.109375" style="2" bestFit="1" customWidth="1"/>
    <col min="15111" max="15111" width="13" style="2" bestFit="1" customWidth="1"/>
    <col min="15112" max="15112" width="14.33203125" style="2" bestFit="1" customWidth="1"/>
    <col min="15113" max="15113" width="13" style="2" bestFit="1" customWidth="1"/>
    <col min="15114" max="15114" width="14.109375" style="2" bestFit="1" customWidth="1"/>
    <col min="15115" max="15115" width="12.6640625" style="2" customWidth="1"/>
    <col min="15116" max="15116" width="14.33203125" style="2" bestFit="1" customWidth="1"/>
    <col min="15117" max="15360" width="11.5546875" style="2"/>
    <col min="15361" max="15361" width="26.33203125" style="2" customWidth="1"/>
    <col min="15362" max="15362" width="16.6640625" style="2" customWidth="1"/>
    <col min="15363" max="15363" width="13" style="2" bestFit="1" customWidth="1"/>
    <col min="15364" max="15364" width="14.33203125" style="2" customWidth="1"/>
    <col min="15365" max="15365" width="13" style="2" bestFit="1" customWidth="1"/>
    <col min="15366" max="15366" width="14.109375" style="2" bestFit="1" customWidth="1"/>
    <col min="15367" max="15367" width="13" style="2" bestFit="1" customWidth="1"/>
    <col min="15368" max="15368" width="14.33203125" style="2" bestFit="1" customWidth="1"/>
    <col min="15369" max="15369" width="13" style="2" bestFit="1" customWidth="1"/>
    <col min="15370" max="15370" width="14.109375" style="2" bestFit="1" customWidth="1"/>
    <col min="15371" max="15371" width="12.6640625" style="2" customWidth="1"/>
    <col min="15372" max="15372" width="14.33203125" style="2" bestFit="1" customWidth="1"/>
    <col min="15373" max="15616" width="11.5546875" style="2"/>
    <col min="15617" max="15617" width="26.33203125" style="2" customWidth="1"/>
    <col min="15618" max="15618" width="16.6640625" style="2" customWidth="1"/>
    <col min="15619" max="15619" width="13" style="2" bestFit="1" customWidth="1"/>
    <col min="15620" max="15620" width="14.33203125" style="2" customWidth="1"/>
    <col min="15621" max="15621" width="13" style="2" bestFit="1" customWidth="1"/>
    <col min="15622" max="15622" width="14.109375" style="2" bestFit="1" customWidth="1"/>
    <col min="15623" max="15623" width="13" style="2" bestFit="1" customWidth="1"/>
    <col min="15624" max="15624" width="14.33203125" style="2" bestFit="1" customWidth="1"/>
    <col min="15625" max="15625" width="13" style="2" bestFit="1" customWidth="1"/>
    <col min="15626" max="15626" width="14.109375" style="2" bestFit="1" customWidth="1"/>
    <col min="15627" max="15627" width="12.6640625" style="2" customWidth="1"/>
    <col min="15628" max="15628" width="14.33203125" style="2" bestFit="1" customWidth="1"/>
    <col min="15629" max="15872" width="11.5546875" style="2"/>
    <col min="15873" max="15873" width="26.33203125" style="2" customWidth="1"/>
    <col min="15874" max="15874" width="16.6640625" style="2" customWidth="1"/>
    <col min="15875" max="15875" width="13" style="2" bestFit="1" customWidth="1"/>
    <col min="15876" max="15876" width="14.33203125" style="2" customWidth="1"/>
    <col min="15877" max="15877" width="13" style="2" bestFit="1" customWidth="1"/>
    <col min="15878" max="15878" width="14.109375" style="2" bestFit="1" customWidth="1"/>
    <col min="15879" max="15879" width="13" style="2" bestFit="1" customWidth="1"/>
    <col min="15880" max="15880" width="14.33203125" style="2" bestFit="1" customWidth="1"/>
    <col min="15881" max="15881" width="13" style="2" bestFit="1" customWidth="1"/>
    <col min="15882" max="15882" width="14.109375" style="2" bestFit="1" customWidth="1"/>
    <col min="15883" max="15883" width="12.6640625" style="2" customWidth="1"/>
    <col min="15884" max="15884" width="14.33203125" style="2" bestFit="1" customWidth="1"/>
    <col min="15885" max="16128" width="11.5546875" style="2"/>
    <col min="16129" max="16129" width="26.33203125" style="2" customWidth="1"/>
    <col min="16130" max="16130" width="16.6640625" style="2" customWidth="1"/>
    <col min="16131" max="16131" width="13" style="2" bestFit="1" customWidth="1"/>
    <col min="16132" max="16132" width="14.33203125" style="2" customWidth="1"/>
    <col min="16133" max="16133" width="13" style="2" bestFit="1" customWidth="1"/>
    <col min="16134" max="16134" width="14.109375" style="2" bestFit="1" customWidth="1"/>
    <col min="16135" max="16135" width="13" style="2" bestFit="1" customWidth="1"/>
    <col min="16136" max="16136" width="14.33203125" style="2" bestFit="1" customWidth="1"/>
    <col min="16137" max="16137" width="13" style="2" bestFit="1" customWidth="1"/>
    <col min="16138" max="16138" width="14.109375" style="2" bestFit="1" customWidth="1"/>
    <col min="16139" max="16139" width="12.6640625" style="2" customWidth="1"/>
    <col min="16140" max="16140" width="14.33203125" style="2" bestFit="1" customWidth="1"/>
    <col min="16141" max="16384" width="11.5546875" style="2"/>
  </cols>
  <sheetData>
    <row r="2" spans="1:12" x14ac:dyDescent="0.2">
      <c r="A2" s="337" t="s">
        <v>3377</v>
      </c>
    </row>
    <row r="3" spans="1:12" x14ac:dyDescent="0.2">
      <c r="B3" s="1656"/>
      <c r="C3" s="1656"/>
      <c r="D3" s="1656"/>
      <c r="E3" s="1656"/>
      <c r="F3" s="1656"/>
      <c r="G3" s="324"/>
      <c r="H3" s="324"/>
      <c r="I3" s="324"/>
      <c r="J3" s="324"/>
      <c r="K3" s="324"/>
      <c r="L3" s="324"/>
    </row>
    <row r="4" spans="1:12" ht="24.9" customHeight="1" x14ac:dyDescent="0.2">
      <c r="A4" s="1657" t="s">
        <v>0</v>
      </c>
      <c r="B4" s="1657" t="s">
        <v>3380</v>
      </c>
      <c r="C4" s="1658" t="s">
        <v>98</v>
      </c>
      <c r="D4" s="1658"/>
      <c r="E4" s="1658"/>
      <c r="F4" s="1658"/>
      <c r="G4" s="1658"/>
      <c r="H4" s="1658"/>
      <c r="I4" s="1658"/>
      <c r="J4" s="1658"/>
      <c r="K4" s="1658"/>
      <c r="L4" s="1658"/>
    </row>
    <row r="5" spans="1:12" ht="24.9" customHeight="1" x14ac:dyDescent="0.2">
      <c r="A5" s="1657"/>
      <c r="B5" s="1657"/>
      <c r="C5" s="1657">
        <v>2009</v>
      </c>
      <c r="D5" s="1657"/>
      <c r="E5" s="1657">
        <v>2010</v>
      </c>
      <c r="F5" s="1657"/>
      <c r="G5" s="1657">
        <v>2011</v>
      </c>
      <c r="H5" s="1657"/>
      <c r="I5" s="1657">
        <v>2012</v>
      </c>
      <c r="J5" s="1657"/>
      <c r="K5" s="1657">
        <v>2013</v>
      </c>
      <c r="L5" s="1657"/>
    </row>
    <row r="6" spans="1:12" ht="24.9" customHeight="1" x14ac:dyDescent="0.2">
      <c r="A6" s="1657"/>
      <c r="B6" s="1657"/>
      <c r="C6" s="1659" t="s">
        <v>3475</v>
      </c>
      <c r="D6" s="1660" t="s">
        <v>3472</v>
      </c>
      <c r="E6" s="1659" t="s">
        <v>3475</v>
      </c>
      <c r="F6" s="1660" t="s">
        <v>3472</v>
      </c>
      <c r="G6" s="1659" t="s">
        <v>3475</v>
      </c>
      <c r="H6" s="1660" t="s">
        <v>3472</v>
      </c>
      <c r="I6" s="1659" t="s">
        <v>3475</v>
      </c>
      <c r="J6" s="1660" t="s">
        <v>3472</v>
      </c>
      <c r="K6" s="1659" t="s">
        <v>3475</v>
      </c>
      <c r="L6" s="1660" t="s">
        <v>3472</v>
      </c>
    </row>
    <row r="7" spans="1:12" ht="12.75" customHeight="1" x14ac:dyDescent="0.2">
      <c r="A7" s="1661" t="s">
        <v>3</v>
      </c>
      <c r="B7" s="1662"/>
      <c r="C7" s="1663">
        <f t="shared" ref="C7:L7" si="0">SUM(C8:C18)</f>
        <v>1387</v>
      </c>
      <c r="D7" s="1663">
        <f t="shared" si="0"/>
        <v>2664058381</v>
      </c>
      <c r="E7" s="1663">
        <f t="shared" si="0"/>
        <v>975</v>
      </c>
      <c r="F7" s="1663">
        <f t="shared" si="0"/>
        <v>2097713072</v>
      </c>
      <c r="G7" s="1663">
        <f t="shared" si="0"/>
        <v>2473</v>
      </c>
      <c r="H7" s="1663">
        <f t="shared" si="0"/>
        <v>4811071235</v>
      </c>
      <c r="I7" s="1663">
        <f t="shared" si="0"/>
        <v>2034</v>
      </c>
      <c r="J7" s="1663">
        <f t="shared" si="0"/>
        <v>4520394489</v>
      </c>
      <c r="K7" s="1663">
        <f t="shared" si="0"/>
        <v>1934</v>
      </c>
      <c r="L7" s="1663">
        <f t="shared" si="0"/>
        <v>6498143933</v>
      </c>
    </row>
    <row r="8" spans="1:12" ht="12.75" customHeight="1" x14ac:dyDescent="0.2">
      <c r="A8" s="1664" t="s">
        <v>4</v>
      </c>
      <c r="B8" s="1664" t="s">
        <v>871</v>
      </c>
      <c r="C8" s="1656">
        <v>19</v>
      </c>
      <c r="D8" s="1665">
        <v>147000000</v>
      </c>
      <c r="E8" s="1656">
        <v>26</v>
      </c>
      <c r="F8" s="1665">
        <v>98427837</v>
      </c>
      <c r="G8" s="1656">
        <v>74</v>
      </c>
      <c r="H8" s="1665">
        <v>243726741</v>
      </c>
      <c r="I8" s="1656">
        <v>90</v>
      </c>
      <c r="J8" s="1665">
        <v>308220625</v>
      </c>
      <c r="K8" s="1656">
        <v>98</v>
      </c>
      <c r="L8" s="1665">
        <v>329925000</v>
      </c>
    </row>
    <row r="9" spans="1:12" ht="12.75" customHeight="1" x14ac:dyDescent="0.2">
      <c r="A9" s="1664" t="s">
        <v>3476</v>
      </c>
      <c r="B9" s="1664" t="s">
        <v>872</v>
      </c>
      <c r="C9" s="1656">
        <v>84</v>
      </c>
      <c r="D9" s="1665">
        <v>204105000</v>
      </c>
      <c r="E9" s="1656">
        <v>75</v>
      </c>
      <c r="F9" s="1665">
        <v>172000003</v>
      </c>
      <c r="G9" s="1656">
        <v>81</v>
      </c>
      <c r="H9" s="1665">
        <v>338948773</v>
      </c>
      <c r="I9" s="1656">
        <v>104</v>
      </c>
      <c r="J9" s="1665">
        <v>505458220</v>
      </c>
      <c r="K9" s="1656">
        <v>86</v>
      </c>
      <c r="L9" s="1665">
        <v>450728300</v>
      </c>
    </row>
    <row r="10" spans="1:12" ht="12.75" customHeight="1" x14ac:dyDescent="0.2">
      <c r="A10" s="1664" t="s">
        <v>6</v>
      </c>
      <c r="B10" s="1664" t="s">
        <v>875</v>
      </c>
      <c r="C10" s="1656">
        <v>55</v>
      </c>
      <c r="D10" s="1665">
        <v>94000000</v>
      </c>
      <c r="E10" s="1656">
        <v>61</v>
      </c>
      <c r="F10" s="1665">
        <v>85933793</v>
      </c>
      <c r="G10" s="1656">
        <v>76</v>
      </c>
      <c r="H10" s="1665">
        <v>151460987</v>
      </c>
      <c r="I10" s="1656">
        <v>95</v>
      </c>
      <c r="J10" s="1665">
        <v>192108819</v>
      </c>
      <c r="K10" s="1656">
        <v>66</v>
      </c>
      <c r="L10" s="1665">
        <v>177542118</v>
      </c>
    </row>
    <row r="11" spans="1:12" ht="12.75" customHeight="1" x14ac:dyDescent="0.2">
      <c r="A11" s="1664" t="s">
        <v>9</v>
      </c>
      <c r="B11" s="1664" t="s">
        <v>888</v>
      </c>
      <c r="C11" s="1656">
        <v>22</v>
      </c>
      <c r="D11" s="1665">
        <v>69970000</v>
      </c>
      <c r="E11" s="1656">
        <v>20</v>
      </c>
      <c r="F11" s="1665">
        <v>57999460</v>
      </c>
      <c r="G11" s="1656">
        <v>44</v>
      </c>
      <c r="H11" s="1665">
        <v>330216507</v>
      </c>
      <c r="I11" s="1656">
        <v>54</v>
      </c>
      <c r="J11" s="1665">
        <v>285357752</v>
      </c>
      <c r="K11" s="1656">
        <v>33</v>
      </c>
      <c r="L11" s="1665">
        <v>202000000</v>
      </c>
    </row>
    <row r="12" spans="1:12" ht="20.399999999999999" x14ac:dyDescent="0.2">
      <c r="A12" s="1664" t="s">
        <v>3477</v>
      </c>
      <c r="B12" s="1664" t="s">
        <v>890</v>
      </c>
      <c r="C12" s="1656">
        <v>187</v>
      </c>
      <c r="D12" s="1665">
        <v>245000000</v>
      </c>
      <c r="E12" s="1656">
        <v>65</v>
      </c>
      <c r="F12" s="1665">
        <v>250000000</v>
      </c>
      <c r="G12" s="1656">
        <v>542</v>
      </c>
      <c r="H12" s="1665">
        <v>670454863</v>
      </c>
      <c r="I12" s="1656">
        <v>294</v>
      </c>
      <c r="J12" s="1665">
        <v>614575979</v>
      </c>
      <c r="K12" s="1656">
        <v>170</v>
      </c>
      <c r="L12" s="1665">
        <v>483073802</v>
      </c>
    </row>
    <row r="13" spans="1:12" ht="12.75" customHeight="1" x14ac:dyDescent="0.2">
      <c r="A13" s="1664" t="s">
        <v>3446</v>
      </c>
      <c r="B13" s="1664" t="s">
        <v>2112</v>
      </c>
      <c r="C13" s="1656">
        <v>178</v>
      </c>
      <c r="D13" s="1665">
        <v>289381000</v>
      </c>
      <c r="E13" s="1656">
        <v>171</v>
      </c>
      <c r="F13" s="1665">
        <v>233357830</v>
      </c>
      <c r="G13" s="1656">
        <v>451</v>
      </c>
      <c r="H13" s="1665">
        <v>627785774</v>
      </c>
      <c r="I13" s="1656">
        <v>457</v>
      </c>
      <c r="J13" s="1665">
        <v>594951167</v>
      </c>
      <c r="K13" s="1656">
        <v>430</v>
      </c>
      <c r="L13" s="1665">
        <v>669000000</v>
      </c>
    </row>
    <row r="14" spans="1:12" ht="12.75" customHeight="1" x14ac:dyDescent="0.2">
      <c r="A14" s="1664" t="s">
        <v>14</v>
      </c>
      <c r="B14" s="1664" t="s">
        <v>895</v>
      </c>
      <c r="C14" s="1656">
        <v>412</v>
      </c>
      <c r="D14" s="1665">
        <v>714967692</v>
      </c>
      <c r="E14" s="1656">
        <v>429</v>
      </c>
      <c r="F14" s="1665">
        <v>515374985</v>
      </c>
      <c r="G14" s="1656">
        <v>660</v>
      </c>
      <c r="H14" s="1665">
        <v>1146218611</v>
      </c>
      <c r="I14" s="1656">
        <v>381</v>
      </c>
      <c r="J14" s="1665">
        <v>877908311</v>
      </c>
      <c r="K14" s="1656">
        <v>494</v>
      </c>
      <c r="L14" s="1665">
        <v>2246792000</v>
      </c>
    </row>
    <row r="15" spans="1:12" ht="12.75" customHeight="1" x14ac:dyDescent="0.2">
      <c r="A15" s="1664" t="s">
        <v>15</v>
      </c>
      <c r="B15" s="1664" t="s">
        <v>928</v>
      </c>
      <c r="C15" s="1656">
        <v>217</v>
      </c>
      <c r="D15" s="1665">
        <v>248000000</v>
      </c>
      <c r="E15" s="1656">
        <v>94</v>
      </c>
      <c r="F15" s="1665">
        <v>168966364</v>
      </c>
      <c r="G15" s="1656">
        <v>230</v>
      </c>
      <c r="H15" s="1665">
        <v>488193433</v>
      </c>
      <c r="I15" s="1656">
        <v>170</v>
      </c>
      <c r="J15" s="1665">
        <v>456983000</v>
      </c>
      <c r="K15" s="1656">
        <v>165</v>
      </c>
      <c r="L15" s="1665">
        <v>475743958</v>
      </c>
    </row>
    <row r="16" spans="1:12" ht="12.75" customHeight="1" x14ac:dyDescent="0.2">
      <c r="A16" s="1664" t="s">
        <v>3478</v>
      </c>
      <c r="B16" s="1664" t="s">
        <v>930</v>
      </c>
      <c r="C16" s="1656">
        <v>191</v>
      </c>
      <c r="D16" s="1665">
        <v>371272212</v>
      </c>
      <c r="E16" s="1656">
        <v>20</v>
      </c>
      <c r="F16" s="1665">
        <v>207250000</v>
      </c>
      <c r="G16" s="1656">
        <v>275</v>
      </c>
      <c r="H16" s="1665">
        <v>539718840</v>
      </c>
      <c r="I16" s="1656">
        <v>350</v>
      </c>
      <c r="J16" s="1665">
        <v>312358678</v>
      </c>
      <c r="K16" s="1656">
        <v>347</v>
      </c>
      <c r="L16" s="1665">
        <v>408875000</v>
      </c>
    </row>
    <row r="17" spans="1:12" ht="12.75" customHeight="1" x14ac:dyDescent="0.2">
      <c r="A17" s="1664" t="s">
        <v>18</v>
      </c>
      <c r="B17" s="1664" t="s">
        <v>934</v>
      </c>
      <c r="C17" s="1656">
        <v>10</v>
      </c>
      <c r="D17" s="1665">
        <v>83327477</v>
      </c>
      <c r="E17" s="1656">
        <v>6</v>
      </c>
      <c r="F17" s="1665">
        <v>69500000</v>
      </c>
      <c r="G17" s="1656">
        <v>30</v>
      </c>
      <c r="H17" s="1665">
        <v>140191406</v>
      </c>
      <c r="I17" s="1656">
        <v>23</v>
      </c>
      <c r="J17" s="1665">
        <v>145880937</v>
      </c>
      <c r="K17" s="1656">
        <v>24</v>
      </c>
      <c r="L17" s="1665">
        <v>264099610</v>
      </c>
    </row>
    <row r="18" spans="1:12" ht="12.75" customHeight="1" x14ac:dyDescent="0.2">
      <c r="A18" s="1656" t="s">
        <v>3448</v>
      </c>
      <c r="B18" s="1664" t="s">
        <v>3449</v>
      </c>
      <c r="C18" s="1656">
        <v>12</v>
      </c>
      <c r="D18" s="1665">
        <v>197035000</v>
      </c>
      <c r="E18" s="1656">
        <v>8</v>
      </c>
      <c r="F18" s="1665">
        <v>238902800</v>
      </c>
      <c r="G18" s="1656">
        <v>10</v>
      </c>
      <c r="H18" s="1665">
        <v>134155300</v>
      </c>
      <c r="I18" s="1656">
        <v>16</v>
      </c>
      <c r="J18" s="1665">
        <v>226591001</v>
      </c>
      <c r="K18" s="1656">
        <v>21</v>
      </c>
      <c r="L18" s="1665">
        <v>790364145</v>
      </c>
    </row>
    <row r="19" spans="1:12" ht="6" customHeight="1" x14ac:dyDescent="0.2">
      <c r="A19" s="1656"/>
      <c r="B19" s="1664"/>
      <c r="C19" s="1656"/>
      <c r="D19" s="1665"/>
      <c r="E19" s="1656"/>
      <c r="F19" s="1665"/>
      <c r="G19" s="1656"/>
      <c r="H19" s="1665"/>
      <c r="I19" s="1656"/>
      <c r="J19" s="1665"/>
      <c r="K19" s="1656"/>
      <c r="L19" s="1665"/>
    </row>
    <row r="20" spans="1:12" ht="16.5" customHeight="1" x14ac:dyDescent="0.2">
      <c r="A20" s="324" t="s">
        <v>3399</v>
      </c>
      <c r="B20" s="324"/>
      <c r="C20" s="324"/>
      <c r="D20" s="324"/>
      <c r="E20" s="324"/>
      <c r="F20" s="324"/>
      <c r="G20" s="324"/>
      <c r="H20" s="324"/>
      <c r="I20" s="324"/>
      <c r="J20" s="324"/>
      <c r="K20" s="324"/>
      <c r="L20" s="324"/>
    </row>
  </sheetData>
  <mergeCells count="8">
    <mergeCell ref="A4:A6"/>
    <mergeCell ref="B4:B6"/>
    <mergeCell ref="C4:L4"/>
    <mergeCell ref="C5:D5"/>
    <mergeCell ref="E5:F5"/>
    <mergeCell ref="G5:H5"/>
    <mergeCell ref="I5:J5"/>
    <mergeCell ref="K5:L5"/>
  </mergeCells>
  <pageMargins left="0.7" right="0.7" top="0.75" bottom="0.75" header="0.3" footer="0.3"/>
  <pageSetup paperSize="14" scale="91" orientation="landscape" r:id="rId1"/>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D3EF1-9F7C-4BA1-9389-E7839B8BD069}">
  <sheetPr codeName="Hoja302"/>
  <dimension ref="A2:Q24"/>
  <sheetViews>
    <sheetView zoomScaleNormal="100" workbookViewId="0"/>
  </sheetViews>
  <sheetFormatPr baseColWidth="10" defaultRowHeight="13.2" x14ac:dyDescent="0.25"/>
  <cols>
    <col min="1" max="1" width="23.5546875" customWidth="1"/>
    <col min="2" max="2" width="10" customWidth="1"/>
    <col min="3" max="4" width="8.44140625" bestFit="1" customWidth="1"/>
    <col min="5" max="5" width="7.88671875" bestFit="1" customWidth="1"/>
    <col min="6" max="7" width="8.44140625" bestFit="1" customWidth="1"/>
    <col min="8" max="8" width="7.88671875" bestFit="1" customWidth="1"/>
    <col min="9" max="10" width="8.44140625" bestFit="1" customWidth="1"/>
    <col min="11" max="11" width="7.88671875" bestFit="1" customWidth="1"/>
    <col min="12" max="13" width="8.44140625" bestFit="1" customWidth="1"/>
    <col min="14" max="14" width="7.88671875" bestFit="1" customWidth="1"/>
    <col min="15" max="16" width="8.44140625" bestFit="1" customWidth="1"/>
    <col min="17" max="17" width="6.5546875" bestFit="1" customWidth="1"/>
    <col min="258" max="258" width="17" customWidth="1"/>
    <col min="514" max="514" width="17" customWidth="1"/>
    <col min="770" max="770" width="17" customWidth="1"/>
    <col min="1026" max="1026" width="17" customWidth="1"/>
    <col min="1282" max="1282" width="17" customWidth="1"/>
    <col min="1538" max="1538" width="17" customWidth="1"/>
    <col min="1794" max="1794" width="17" customWidth="1"/>
    <col min="2050" max="2050" width="17" customWidth="1"/>
    <col min="2306" max="2306" width="17" customWidth="1"/>
    <col min="2562" max="2562" width="17" customWidth="1"/>
    <col min="2818" max="2818" width="17" customWidth="1"/>
    <col min="3074" max="3074" width="17" customWidth="1"/>
    <col min="3330" max="3330" width="17" customWidth="1"/>
    <col min="3586" max="3586" width="17" customWidth="1"/>
    <col min="3842" max="3842" width="17" customWidth="1"/>
    <col min="4098" max="4098" width="17" customWidth="1"/>
    <col min="4354" max="4354" width="17" customWidth="1"/>
    <col min="4610" max="4610" width="17" customWidth="1"/>
    <col min="4866" max="4866" width="17" customWidth="1"/>
    <col min="5122" max="5122" width="17" customWidth="1"/>
    <col min="5378" max="5378" width="17" customWidth="1"/>
    <col min="5634" max="5634" width="17" customWidth="1"/>
    <col min="5890" max="5890" width="17" customWidth="1"/>
    <col min="6146" max="6146" width="17" customWidth="1"/>
    <col min="6402" max="6402" width="17" customWidth="1"/>
    <col min="6658" max="6658" width="17" customWidth="1"/>
    <col min="6914" max="6914" width="17" customWidth="1"/>
    <col min="7170" max="7170" width="17" customWidth="1"/>
    <col min="7426" max="7426" width="17" customWidth="1"/>
    <col min="7682" max="7682" width="17" customWidth="1"/>
    <col min="7938" max="7938" width="17" customWidth="1"/>
    <col min="8194" max="8194" width="17" customWidth="1"/>
    <col min="8450" max="8450" width="17" customWidth="1"/>
    <col min="8706" max="8706" width="17" customWidth="1"/>
    <col min="8962" max="8962" width="17" customWidth="1"/>
    <col min="9218" max="9218" width="17" customWidth="1"/>
    <col min="9474" max="9474" width="17" customWidth="1"/>
    <col min="9730" max="9730" width="17" customWidth="1"/>
    <col min="9986" max="9986" width="17" customWidth="1"/>
    <col min="10242" max="10242" width="17" customWidth="1"/>
    <col min="10498" max="10498" width="17" customWidth="1"/>
    <col min="10754" max="10754" width="17" customWidth="1"/>
    <col min="11010" max="11010" width="17" customWidth="1"/>
    <col min="11266" max="11266" width="17" customWidth="1"/>
    <col min="11522" max="11522" width="17" customWidth="1"/>
    <col min="11778" max="11778" width="17" customWidth="1"/>
    <col min="12034" max="12034" width="17" customWidth="1"/>
    <col min="12290" max="12290" width="17" customWidth="1"/>
    <col min="12546" max="12546" width="17" customWidth="1"/>
    <col min="12802" max="12802" width="17" customWidth="1"/>
    <col min="13058" max="13058" width="17" customWidth="1"/>
    <col min="13314" max="13314" width="17" customWidth="1"/>
    <col min="13570" max="13570" width="17" customWidth="1"/>
    <col min="13826" max="13826" width="17" customWidth="1"/>
    <col min="14082" max="14082" width="17" customWidth="1"/>
    <col min="14338" max="14338" width="17" customWidth="1"/>
    <col min="14594" max="14594" width="17" customWidth="1"/>
    <col min="14850" max="14850" width="17" customWidth="1"/>
    <col min="15106" max="15106" width="17" customWidth="1"/>
    <col min="15362" max="15362" width="17" customWidth="1"/>
    <col min="15618" max="15618" width="17" customWidth="1"/>
    <col min="15874" max="15874" width="17" customWidth="1"/>
    <col min="16130" max="16130" width="17" customWidth="1"/>
  </cols>
  <sheetData>
    <row r="2" spans="1:17" x14ac:dyDescent="0.25">
      <c r="A2" s="337" t="s">
        <v>3378</v>
      </c>
    </row>
    <row r="3" spans="1:17" x14ac:dyDescent="0.25">
      <c r="B3" s="720"/>
      <c r="C3" s="720"/>
      <c r="D3" s="720"/>
      <c r="E3" s="720"/>
      <c r="F3" s="720"/>
      <c r="G3" s="720"/>
      <c r="H3" s="720"/>
      <c r="I3" s="720"/>
      <c r="J3" s="720"/>
      <c r="K3" s="720"/>
      <c r="L3" s="720"/>
      <c r="M3" s="720"/>
      <c r="N3" s="720"/>
      <c r="O3" s="720"/>
      <c r="P3" s="720"/>
      <c r="Q3" s="720"/>
    </row>
    <row r="4" spans="1:17" ht="20.100000000000001" customHeight="1" x14ac:dyDescent="0.25">
      <c r="A4" s="1666" t="s">
        <v>3479</v>
      </c>
      <c r="B4" s="1666">
        <v>2009</v>
      </c>
      <c r="C4" s="1666"/>
      <c r="D4" s="1666"/>
      <c r="E4" s="1666">
        <v>2010</v>
      </c>
      <c r="F4" s="1666"/>
      <c r="G4" s="1666"/>
      <c r="H4" s="1666">
        <v>2011</v>
      </c>
      <c r="I4" s="1666"/>
      <c r="J4" s="1666"/>
      <c r="K4" s="1666">
        <v>2012</v>
      </c>
      <c r="L4" s="1666"/>
      <c r="M4" s="1666"/>
      <c r="N4" s="1666">
        <v>2013</v>
      </c>
      <c r="O4" s="1666"/>
      <c r="P4" s="1666"/>
    </row>
    <row r="5" spans="1:17" ht="20.100000000000001" customHeight="1" x14ac:dyDescent="0.25">
      <c r="A5" s="1666"/>
      <c r="B5" s="1667" t="s">
        <v>42</v>
      </c>
      <c r="C5" s="1667" t="s">
        <v>3470</v>
      </c>
      <c r="D5" s="1667" t="s">
        <v>3471</v>
      </c>
      <c r="E5" s="1667" t="s">
        <v>42</v>
      </c>
      <c r="F5" s="1667" t="s">
        <v>3470</v>
      </c>
      <c r="G5" s="1667" t="s">
        <v>3471</v>
      </c>
      <c r="H5" s="1667" t="s">
        <v>42</v>
      </c>
      <c r="I5" s="1667" t="s">
        <v>3470</v>
      </c>
      <c r="J5" s="1667" t="s">
        <v>3471</v>
      </c>
      <c r="K5" s="1667" t="s">
        <v>42</v>
      </c>
      <c r="L5" s="1667" t="s">
        <v>3470</v>
      </c>
      <c r="M5" s="1667" t="s">
        <v>3471</v>
      </c>
      <c r="N5" s="1667" t="s">
        <v>42</v>
      </c>
      <c r="O5" s="1667" t="s">
        <v>3470</v>
      </c>
      <c r="P5" s="1667" t="s">
        <v>3471</v>
      </c>
    </row>
    <row r="6" spans="1:17" x14ac:dyDescent="0.25">
      <c r="A6" s="1668" t="s">
        <v>3</v>
      </c>
      <c r="B6" s="1669">
        <f>SUM(C6+D6)</f>
        <v>2817</v>
      </c>
      <c r="C6" s="1669">
        <f>SUM(C7+C12+C17+C19)</f>
        <v>1585</v>
      </c>
      <c r="D6" s="1669">
        <f>SUM(D7+D12+D17+D19)</f>
        <v>1232</v>
      </c>
      <c r="E6" s="1669">
        <f>F6+G6</f>
        <v>3293</v>
      </c>
      <c r="F6" s="1669">
        <f>SUM(F7+F12+F17+F19)</f>
        <v>1943</v>
      </c>
      <c r="G6" s="1669">
        <f>SUM(G7+G12+G17+G19)</f>
        <v>1350</v>
      </c>
      <c r="H6" s="1669">
        <f>I6+J6</f>
        <v>3513</v>
      </c>
      <c r="I6" s="1669">
        <f>SUM(I7+I12+I17+I19)</f>
        <v>1931</v>
      </c>
      <c r="J6" s="1669">
        <f>SUM(J7+J12+J17+J19)</f>
        <v>1582</v>
      </c>
      <c r="K6" s="1669">
        <f>L6+M6</f>
        <v>2373</v>
      </c>
      <c r="L6" s="1669">
        <f>SUM(L7+L12+L17+L19)</f>
        <v>1367</v>
      </c>
      <c r="M6" s="1669">
        <f>SUM(M7+M12+M17+M19)</f>
        <v>1006</v>
      </c>
      <c r="N6" s="1669">
        <f>O6+P6</f>
        <v>2263</v>
      </c>
      <c r="O6" s="1669">
        <f>SUM(O7+O12+O17+O19)</f>
        <v>1258</v>
      </c>
      <c r="P6" s="1669">
        <f>SUM(P7+P12+P17+P19)</f>
        <v>1005</v>
      </c>
    </row>
    <row r="7" spans="1:17" x14ac:dyDescent="0.25">
      <c r="A7" s="1668" t="s">
        <v>3480</v>
      </c>
      <c r="B7" s="1669">
        <f t="shared" ref="B7:P7" si="0">SUM(B8:B11)</f>
        <v>14</v>
      </c>
      <c r="C7" s="1669">
        <f t="shared" si="0"/>
        <v>8</v>
      </c>
      <c r="D7" s="1669">
        <f t="shared" si="0"/>
        <v>6</v>
      </c>
      <c r="E7" s="1669">
        <f t="shared" si="0"/>
        <v>75</v>
      </c>
      <c r="F7" s="1669">
        <f t="shared" si="0"/>
        <v>33</v>
      </c>
      <c r="G7" s="1669">
        <f t="shared" si="0"/>
        <v>42</v>
      </c>
      <c r="H7" s="1669">
        <f t="shared" si="0"/>
        <v>1198</v>
      </c>
      <c r="I7" s="1669">
        <f t="shared" si="0"/>
        <v>525</v>
      </c>
      <c r="J7" s="1669">
        <f t="shared" si="0"/>
        <v>673</v>
      </c>
      <c r="K7" s="1669">
        <f t="shared" si="0"/>
        <v>243</v>
      </c>
      <c r="L7" s="1669">
        <f t="shared" si="0"/>
        <v>104</v>
      </c>
      <c r="M7" s="1669">
        <f t="shared" si="0"/>
        <v>139</v>
      </c>
      <c r="N7" s="1669">
        <f t="shared" si="0"/>
        <v>86</v>
      </c>
      <c r="O7" s="1669">
        <f t="shared" si="0"/>
        <v>52</v>
      </c>
      <c r="P7" s="1669">
        <f t="shared" si="0"/>
        <v>34</v>
      </c>
      <c r="Q7" s="984"/>
    </row>
    <row r="8" spans="1:17" x14ac:dyDescent="0.25">
      <c r="A8" s="1670" t="s">
        <v>4</v>
      </c>
      <c r="B8" s="1671">
        <f>C8+D8</f>
        <v>0</v>
      </c>
      <c r="C8" s="1671">
        <v>0</v>
      </c>
      <c r="D8" s="1671">
        <v>0</v>
      </c>
      <c r="E8" s="1671">
        <f>F8+G8</f>
        <v>40</v>
      </c>
      <c r="F8" s="1671">
        <v>16</v>
      </c>
      <c r="G8" s="1671">
        <v>24</v>
      </c>
      <c r="H8" s="1671">
        <f>I8+J8</f>
        <v>0</v>
      </c>
      <c r="I8" s="1671">
        <v>0</v>
      </c>
      <c r="J8" s="1671">
        <v>0</v>
      </c>
      <c r="K8" s="1671">
        <f>L8+M8</f>
        <v>0</v>
      </c>
      <c r="L8" s="1671">
        <v>0</v>
      </c>
      <c r="M8" s="1671">
        <v>0</v>
      </c>
      <c r="N8" s="1671">
        <f>O8+P8</f>
        <v>0</v>
      </c>
      <c r="O8" s="1671">
        <v>0</v>
      </c>
      <c r="P8" s="1671">
        <v>0</v>
      </c>
    </row>
    <row r="9" spans="1:17" x14ac:dyDescent="0.25">
      <c r="A9" s="1670" t="s">
        <v>5</v>
      </c>
      <c r="B9" s="1671">
        <f>C9+D9</f>
        <v>13</v>
      </c>
      <c r="C9" s="1671">
        <v>7</v>
      </c>
      <c r="D9" s="1671">
        <v>6</v>
      </c>
      <c r="E9" s="1671">
        <f>F9+G9</f>
        <v>3</v>
      </c>
      <c r="F9" s="1671">
        <v>2</v>
      </c>
      <c r="G9" s="1671">
        <v>1</v>
      </c>
      <c r="H9" s="1671">
        <f>I9+J9</f>
        <v>35</v>
      </c>
      <c r="I9" s="1671">
        <v>17</v>
      </c>
      <c r="J9" s="1671">
        <v>18</v>
      </c>
      <c r="K9" s="1671">
        <f>L9+M9</f>
        <v>86</v>
      </c>
      <c r="L9" s="1671">
        <v>44</v>
      </c>
      <c r="M9" s="1671">
        <v>42</v>
      </c>
      <c r="N9" s="1671">
        <f>O9+P9</f>
        <v>86</v>
      </c>
      <c r="O9" s="1671">
        <v>52</v>
      </c>
      <c r="P9" s="1671">
        <v>34</v>
      </c>
    </row>
    <row r="10" spans="1:17" x14ac:dyDescent="0.25">
      <c r="A10" s="1670" t="s">
        <v>6</v>
      </c>
      <c r="B10" s="1671">
        <f>C10+D10</f>
        <v>1</v>
      </c>
      <c r="C10" s="1671">
        <v>1</v>
      </c>
      <c r="D10" s="1671">
        <v>0</v>
      </c>
      <c r="E10" s="1671">
        <f>F10+G10</f>
        <v>0</v>
      </c>
      <c r="F10" s="1671">
        <v>0</v>
      </c>
      <c r="G10" s="1671">
        <v>0</v>
      </c>
      <c r="H10" s="1671">
        <f>I10+J10</f>
        <v>1163</v>
      </c>
      <c r="I10" s="1671">
        <v>508</v>
      </c>
      <c r="J10" s="1671">
        <v>655</v>
      </c>
      <c r="K10" s="1671">
        <f>L10+M10</f>
        <v>155</v>
      </c>
      <c r="L10" s="1671">
        <v>60</v>
      </c>
      <c r="M10" s="1671">
        <v>95</v>
      </c>
      <c r="N10" s="1671">
        <f>O10+P10</f>
        <v>0</v>
      </c>
      <c r="O10" s="1671">
        <v>0</v>
      </c>
      <c r="P10" s="1671">
        <v>0</v>
      </c>
    </row>
    <row r="11" spans="1:17" x14ac:dyDescent="0.25">
      <c r="A11" s="1670" t="s">
        <v>7</v>
      </c>
      <c r="B11" s="1671">
        <f>C11+D11</f>
        <v>0</v>
      </c>
      <c r="C11" s="1671">
        <v>0</v>
      </c>
      <c r="D11" s="1671">
        <v>0</v>
      </c>
      <c r="E11" s="1671">
        <f>F11+G11</f>
        <v>32</v>
      </c>
      <c r="F11" s="1671">
        <v>15</v>
      </c>
      <c r="G11" s="1671">
        <v>17</v>
      </c>
      <c r="H11" s="1671">
        <f>I11+J11</f>
        <v>0</v>
      </c>
      <c r="I11" s="1671">
        <v>0</v>
      </c>
      <c r="J11" s="1671">
        <v>0</v>
      </c>
      <c r="K11" s="1671">
        <f>L11+M11</f>
        <v>2</v>
      </c>
      <c r="L11" s="1671">
        <v>0</v>
      </c>
      <c r="M11" s="1671">
        <v>2</v>
      </c>
      <c r="N11" s="1671">
        <f>O11+P11</f>
        <v>0</v>
      </c>
      <c r="O11" s="1671">
        <v>0</v>
      </c>
      <c r="P11" s="1671">
        <v>0</v>
      </c>
    </row>
    <row r="12" spans="1:17" s="754" customFormat="1" x14ac:dyDescent="0.25">
      <c r="A12" s="1672" t="s">
        <v>3481</v>
      </c>
      <c r="B12" s="1669">
        <f t="shared" ref="B12:P12" si="1">SUM(B13:B16)</f>
        <v>2681</v>
      </c>
      <c r="C12" s="1669">
        <f t="shared" si="1"/>
        <v>1517</v>
      </c>
      <c r="D12" s="1669">
        <f t="shared" si="1"/>
        <v>1164</v>
      </c>
      <c r="E12" s="1669">
        <f t="shared" si="1"/>
        <v>3117</v>
      </c>
      <c r="F12" s="1669">
        <f t="shared" si="1"/>
        <v>1864</v>
      </c>
      <c r="G12" s="1669">
        <f t="shared" si="1"/>
        <v>1253</v>
      </c>
      <c r="H12" s="1669">
        <f t="shared" si="1"/>
        <v>2117</v>
      </c>
      <c r="I12" s="1669">
        <f t="shared" si="1"/>
        <v>1305</v>
      </c>
      <c r="J12" s="1669">
        <f t="shared" si="1"/>
        <v>812</v>
      </c>
      <c r="K12" s="1669">
        <f t="shared" si="1"/>
        <v>2004</v>
      </c>
      <c r="L12" s="1669">
        <f t="shared" si="1"/>
        <v>1204</v>
      </c>
      <c r="M12" s="1669">
        <f t="shared" si="1"/>
        <v>800</v>
      </c>
      <c r="N12" s="1669">
        <f t="shared" si="1"/>
        <v>1925</v>
      </c>
      <c r="O12" s="1669">
        <f t="shared" si="1"/>
        <v>1088</v>
      </c>
      <c r="P12" s="1669">
        <f t="shared" si="1"/>
        <v>837</v>
      </c>
    </row>
    <row r="13" spans="1:17" x14ac:dyDescent="0.25">
      <c r="A13" s="1670" t="s">
        <v>3446</v>
      </c>
      <c r="B13" s="1671">
        <f>C13+D13</f>
        <v>110</v>
      </c>
      <c r="C13" s="1673">
        <v>63</v>
      </c>
      <c r="D13" s="1673">
        <v>47</v>
      </c>
      <c r="E13" s="1671">
        <f>F13+G13</f>
        <v>302</v>
      </c>
      <c r="F13" s="1673">
        <v>235</v>
      </c>
      <c r="G13" s="1673">
        <v>67</v>
      </c>
      <c r="H13" s="1671">
        <f>I13+J13</f>
        <v>311</v>
      </c>
      <c r="I13" s="1673">
        <v>187</v>
      </c>
      <c r="J13" s="1673">
        <v>124</v>
      </c>
      <c r="K13" s="1671">
        <f>L13+M13</f>
        <v>329</v>
      </c>
      <c r="L13" s="1673">
        <v>187</v>
      </c>
      <c r="M13" s="1673">
        <v>142</v>
      </c>
      <c r="N13" s="1671">
        <f>O13+P13</f>
        <v>312</v>
      </c>
      <c r="O13" s="1673">
        <v>148</v>
      </c>
      <c r="P13" s="1673">
        <v>164</v>
      </c>
    </row>
    <row r="14" spans="1:17" x14ac:dyDescent="0.25">
      <c r="A14" s="1670" t="s">
        <v>47</v>
      </c>
      <c r="B14" s="1671">
        <f>C14+D14</f>
        <v>2239</v>
      </c>
      <c r="C14" s="1673">
        <v>1257</v>
      </c>
      <c r="D14" s="1673">
        <v>982</v>
      </c>
      <c r="E14" s="1671">
        <f>F14+G14</f>
        <v>2585</v>
      </c>
      <c r="F14" s="1673">
        <v>1496</v>
      </c>
      <c r="G14" s="1673">
        <v>1089</v>
      </c>
      <c r="H14" s="1671">
        <f>I14+J14</f>
        <v>1704</v>
      </c>
      <c r="I14" s="1673">
        <v>1049</v>
      </c>
      <c r="J14" s="1673">
        <v>655</v>
      </c>
      <c r="K14" s="1671">
        <f>L14+M14</f>
        <v>1398</v>
      </c>
      <c r="L14" s="1673">
        <v>858</v>
      </c>
      <c r="M14" s="1673">
        <v>540</v>
      </c>
      <c r="N14" s="1671">
        <f>O14+P14</f>
        <v>1333</v>
      </c>
      <c r="O14" s="1673">
        <v>810</v>
      </c>
      <c r="P14" s="1673">
        <v>523</v>
      </c>
    </row>
    <row r="15" spans="1:17" x14ac:dyDescent="0.25">
      <c r="A15" s="1670" t="s">
        <v>15</v>
      </c>
      <c r="B15" s="1671">
        <f>C15+D15</f>
        <v>310</v>
      </c>
      <c r="C15" s="1673">
        <v>186</v>
      </c>
      <c r="D15" s="1673">
        <v>124</v>
      </c>
      <c r="E15" s="1671">
        <f>F15+G15</f>
        <v>187</v>
      </c>
      <c r="F15" s="1673">
        <v>110</v>
      </c>
      <c r="G15" s="1673">
        <v>77</v>
      </c>
      <c r="H15" s="1671">
        <f>I15+J15</f>
        <v>82</v>
      </c>
      <c r="I15" s="1673">
        <v>57</v>
      </c>
      <c r="J15" s="1673">
        <v>25</v>
      </c>
      <c r="K15" s="1671">
        <f>L15+M15</f>
        <v>153</v>
      </c>
      <c r="L15" s="1673">
        <v>89</v>
      </c>
      <c r="M15" s="1673">
        <v>64</v>
      </c>
      <c r="N15" s="1671">
        <f>O15+P15</f>
        <v>177</v>
      </c>
      <c r="O15" s="1673">
        <v>83</v>
      </c>
      <c r="P15" s="1673">
        <v>94</v>
      </c>
    </row>
    <row r="16" spans="1:17" x14ac:dyDescent="0.25">
      <c r="A16" s="1670" t="s">
        <v>16</v>
      </c>
      <c r="B16" s="1671">
        <f>C16+D16</f>
        <v>22</v>
      </c>
      <c r="C16" s="1673">
        <v>11</v>
      </c>
      <c r="D16" s="1673">
        <v>11</v>
      </c>
      <c r="E16" s="1671">
        <f>F16+G16</f>
        <v>43</v>
      </c>
      <c r="F16" s="1673">
        <v>23</v>
      </c>
      <c r="G16" s="1673">
        <v>20</v>
      </c>
      <c r="H16" s="1671">
        <f>I16+J16</f>
        <v>20</v>
      </c>
      <c r="I16" s="1673">
        <v>12</v>
      </c>
      <c r="J16" s="1673">
        <v>8</v>
      </c>
      <c r="K16" s="1671">
        <f>L16+M16</f>
        <v>124</v>
      </c>
      <c r="L16" s="1673">
        <v>70</v>
      </c>
      <c r="M16" s="1673">
        <v>54</v>
      </c>
      <c r="N16" s="1671">
        <f>O16+P16</f>
        <v>103</v>
      </c>
      <c r="O16" s="1673">
        <v>47</v>
      </c>
      <c r="P16" s="1673">
        <v>56</v>
      </c>
    </row>
    <row r="17" spans="1:17" s="754" customFormat="1" x14ac:dyDescent="0.25">
      <c r="A17" s="1672" t="s">
        <v>3482</v>
      </c>
      <c r="B17" s="1669">
        <f t="shared" ref="B17:P17" si="2">SUM(B18)</f>
        <v>9</v>
      </c>
      <c r="C17" s="1669">
        <f t="shared" si="2"/>
        <v>1</v>
      </c>
      <c r="D17" s="1669">
        <f t="shared" si="2"/>
        <v>8</v>
      </c>
      <c r="E17" s="1669">
        <f t="shared" si="2"/>
        <v>0</v>
      </c>
      <c r="F17" s="1669">
        <f t="shared" si="2"/>
        <v>0</v>
      </c>
      <c r="G17" s="1669">
        <f t="shared" si="2"/>
        <v>0</v>
      </c>
      <c r="H17" s="1669">
        <f t="shared" si="2"/>
        <v>69</v>
      </c>
      <c r="I17" s="1669">
        <f t="shared" si="2"/>
        <v>34</v>
      </c>
      <c r="J17" s="1669">
        <f t="shared" si="2"/>
        <v>35</v>
      </c>
      <c r="K17" s="1669">
        <f t="shared" si="2"/>
        <v>43</v>
      </c>
      <c r="L17" s="1669">
        <f t="shared" si="2"/>
        <v>23</v>
      </c>
      <c r="M17" s="1669">
        <f t="shared" si="2"/>
        <v>20</v>
      </c>
      <c r="N17" s="1669">
        <f t="shared" si="2"/>
        <v>65</v>
      </c>
      <c r="O17" s="1669">
        <f t="shared" si="2"/>
        <v>15</v>
      </c>
      <c r="P17" s="1669">
        <f t="shared" si="2"/>
        <v>50</v>
      </c>
    </row>
    <row r="18" spans="1:17" x14ac:dyDescent="0.25">
      <c r="A18" s="1670" t="s">
        <v>3483</v>
      </c>
      <c r="B18" s="1671">
        <f>C18+D18</f>
        <v>9</v>
      </c>
      <c r="C18" s="1674">
        <v>1</v>
      </c>
      <c r="D18" s="1674">
        <v>8</v>
      </c>
      <c r="E18" s="1671">
        <f>F18+G18</f>
        <v>0</v>
      </c>
      <c r="F18" s="1674">
        <v>0</v>
      </c>
      <c r="G18" s="1674">
        <v>0</v>
      </c>
      <c r="H18" s="1671">
        <f>I18+J18</f>
        <v>69</v>
      </c>
      <c r="I18" s="1674">
        <v>34</v>
      </c>
      <c r="J18" s="1674">
        <v>35</v>
      </c>
      <c r="K18" s="1671">
        <f>L18+M18</f>
        <v>43</v>
      </c>
      <c r="L18" s="1674">
        <v>23</v>
      </c>
      <c r="M18" s="1674">
        <v>20</v>
      </c>
      <c r="N18" s="1671">
        <f>O18+P18</f>
        <v>65</v>
      </c>
      <c r="O18" s="1674">
        <v>15</v>
      </c>
      <c r="P18" s="1674">
        <v>50</v>
      </c>
    </row>
    <row r="19" spans="1:17" s="754" customFormat="1" x14ac:dyDescent="0.25">
      <c r="A19" s="1668" t="s">
        <v>3484</v>
      </c>
      <c r="B19" s="1669">
        <f t="shared" ref="B19:P19" si="3">SUM(B20)</f>
        <v>113</v>
      </c>
      <c r="C19" s="1669">
        <f t="shared" si="3"/>
        <v>59</v>
      </c>
      <c r="D19" s="1669">
        <f t="shared" si="3"/>
        <v>54</v>
      </c>
      <c r="E19" s="1669">
        <f t="shared" si="3"/>
        <v>101</v>
      </c>
      <c r="F19" s="1669">
        <f t="shared" si="3"/>
        <v>46</v>
      </c>
      <c r="G19" s="1669">
        <f t="shared" si="3"/>
        <v>55</v>
      </c>
      <c r="H19" s="1669">
        <f t="shared" si="3"/>
        <v>129</v>
      </c>
      <c r="I19" s="1669">
        <f t="shared" si="3"/>
        <v>67</v>
      </c>
      <c r="J19" s="1669">
        <f t="shared" si="3"/>
        <v>62</v>
      </c>
      <c r="K19" s="1669">
        <f t="shared" si="3"/>
        <v>83</v>
      </c>
      <c r="L19" s="1669">
        <f t="shared" si="3"/>
        <v>36</v>
      </c>
      <c r="M19" s="1669">
        <f t="shared" si="3"/>
        <v>47</v>
      </c>
      <c r="N19" s="1669">
        <f t="shared" si="3"/>
        <v>187</v>
      </c>
      <c r="O19" s="1669">
        <f t="shared" si="3"/>
        <v>103</v>
      </c>
      <c r="P19" s="1669">
        <f t="shared" si="3"/>
        <v>84</v>
      </c>
    </row>
    <row r="20" spans="1:17" x14ac:dyDescent="0.25">
      <c r="A20" s="1670" t="s">
        <v>9</v>
      </c>
      <c r="B20" s="1671">
        <f>C20+D20</f>
        <v>113</v>
      </c>
      <c r="C20" s="1671">
        <v>59</v>
      </c>
      <c r="D20" s="1671">
        <v>54</v>
      </c>
      <c r="E20" s="1671">
        <f>F20+G20</f>
        <v>101</v>
      </c>
      <c r="F20" s="1671">
        <v>46</v>
      </c>
      <c r="G20" s="1671">
        <v>55</v>
      </c>
      <c r="H20" s="1671">
        <f>I20+J20</f>
        <v>129</v>
      </c>
      <c r="I20" s="1671">
        <v>67</v>
      </c>
      <c r="J20" s="1671">
        <v>62</v>
      </c>
      <c r="K20" s="1671">
        <f>L20+M20</f>
        <v>83</v>
      </c>
      <c r="L20" s="1671">
        <v>36</v>
      </c>
      <c r="M20" s="1671">
        <v>47</v>
      </c>
      <c r="N20" s="1671">
        <f>O20+P20</f>
        <v>187</v>
      </c>
      <c r="O20" s="1671">
        <v>103</v>
      </c>
      <c r="P20" s="1671">
        <v>84</v>
      </c>
    </row>
    <row r="21" spans="1:17" x14ac:dyDescent="0.25">
      <c r="B21" s="984"/>
      <c r="C21" s="984"/>
      <c r="D21" s="984"/>
      <c r="E21" s="984"/>
      <c r="F21" s="984"/>
      <c r="G21" s="984"/>
      <c r="H21" s="984"/>
      <c r="I21" s="984"/>
      <c r="J21" s="984"/>
      <c r="K21" s="984"/>
      <c r="L21" s="984"/>
      <c r="M21" s="984"/>
      <c r="N21" s="984"/>
      <c r="O21" s="984"/>
      <c r="P21" s="984"/>
      <c r="Q21" s="984"/>
    </row>
    <row r="22" spans="1:17" x14ac:dyDescent="0.25">
      <c r="A22" s="1675" t="s">
        <v>3485</v>
      </c>
      <c r="B22" s="1675"/>
      <c r="C22" s="1675"/>
      <c r="D22" s="1675"/>
      <c r="E22" s="1675"/>
      <c r="F22" s="1675"/>
      <c r="G22" s="1675"/>
      <c r="H22" s="1675"/>
      <c r="I22" s="1675"/>
      <c r="J22" s="1675"/>
      <c r="K22" s="1675"/>
      <c r="L22" s="1675"/>
      <c r="M22" s="1675"/>
      <c r="N22" s="1675"/>
      <c r="O22" s="1675"/>
      <c r="P22" s="1675"/>
      <c r="Q22" s="1675"/>
    </row>
    <row r="23" spans="1:17" x14ac:dyDescent="0.25">
      <c r="A23" s="2" t="s">
        <v>197</v>
      </c>
      <c r="B23" s="2"/>
      <c r="C23" s="2"/>
      <c r="D23" s="2"/>
      <c r="E23" s="2"/>
      <c r="F23" s="2"/>
      <c r="G23" s="2"/>
      <c r="H23" s="2"/>
      <c r="I23" s="2"/>
      <c r="J23" s="1676"/>
      <c r="K23" s="1676"/>
      <c r="L23" s="1676"/>
      <c r="M23" s="1676"/>
      <c r="N23" s="1676"/>
      <c r="O23" s="1676"/>
      <c r="P23" s="1676"/>
      <c r="Q23" s="1676"/>
    </row>
    <row r="24" spans="1:17" x14ac:dyDescent="0.25">
      <c r="A24" s="324" t="s">
        <v>3399</v>
      </c>
    </row>
  </sheetData>
  <mergeCells count="7">
    <mergeCell ref="A22:Q22"/>
    <mergeCell ref="A4:A5"/>
    <mergeCell ref="B4:D4"/>
    <mergeCell ref="E4:G4"/>
    <mergeCell ref="H4:J4"/>
    <mergeCell ref="K4:M4"/>
    <mergeCell ref="N4:P4"/>
  </mergeCells>
  <pageMargins left="0.7" right="0.7" top="0.75" bottom="0.75" header="0.3" footer="0.3"/>
  <pageSetup paperSize="14" orientation="landscape" r:id="rId1"/>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8644A-BC72-46BA-8B88-5EA383512E18}">
  <sheetPr codeName="Hoja303">
    <tabColor theme="8"/>
  </sheetPr>
  <dimension ref="A1:A21"/>
  <sheetViews>
    <sheetView workbookViewId="0">
      <selection activeCell="E32" sqref="E32"/>
    </sheetView>
  </sheetViews>
  <sheetFormatPr baseColWidth="10" defaultRowHeight="10.199999999999999" x14ac:dyDescent="0.2"/>
  <cols>
    <col min="1" max="1" width="24.44140625" style="2" customWidth="1"/>
    <col min="2" max="16384" width="11.5546875" style="2"/>
  </cols>
  <sheetData>
    <row r="1" spans="1:1" x14ac:dyDescent="0.2">
      <c r="A1" s="339"/>
    </row>
    <row r="2" spans="1:1" x14ac:dyDescent="0.2">
      <c r="A2" s="342" t="s">
        <v>3486</v>
      </c>
    </row>
    <row r="4" spans="1:1" x14ac:dyDescent="0.2">
      <c r="A4" s="1709" t="s">
        <v>3487</v>
      </c>
    </row>
    <row r="5" spans="1:1" x14ac:dyDescent="0.2">
      <c r="A5" s="1709" t="s">
        <v>3488</v>
      </c>
    </row>
    <row r="6" spans="1:1" x14ac:dyDescent="0.2">
      <c r="A6" s="1709" t="s">
        <v>3489</v>
      </c>
    </row>
    <row r="7" spans="1:1" x14ac:dyDescent="0.2">
      <c r="A7" s="1709" t="s">
        <v>3490</v>
      </c>
    </row>
    <row r="8" spans="1:1" x14ac:dyDescent="0.2">
      <c r="A8" s="1709" t="s">
        <v>3491</v>
      </c>
    </row>
    <row r="9" spans="1:1" x14ac:dyDescent="0.2">
      <c r="A9" s="1709" t="s">
        <v>3492</v>
      </c>
    </row>
    <row r="10" spans="1:1" x14ac:dyDescent="0.2">
      <c r="A10" s="1709" t="s">
        <v>3493</v>
      </c>
    </row>
    <row r="11" spans="1:1" x14ac:dyDescent="0.2">
      <c r="A11" s="1709" t="s">
        <v>3494</v>
      </c>
    </row>
    <row r="12" spans="1:1" x14ac:dyDescent="0.2">
      <c r="A12" s="1709" t="s">
        <v>3495</v>
      </c>
    </row>
    <row r="13" spans="1:1" x14ac:dyDescent="0.2">
      <c r="A13" s="1709" t="s">
        <v>3496</v>
      </c>
    </row>
    <row r="14" spans="1:1" x14ac:dyDescent="0.2">
      <c r="A14" s="1709" t="s">
        <v>3497</v>
      </c>
    </row>
    <row r="15" spans="1:1" x14ac:dyDescent="0.2">
      <c r="A15" s="1709" t="s">
        <v>3498</v>
      </c>
    </row>
    <row r="16" spans="1:1" x14ac:dyDescent="0.2">
      <c r="A16" s="1709" t="s">
        <v>3499</v>
      </c>
    </row>
    <row r="17" spans="1:1" x14ac:dyDescent="0.2">
      <c r="A17" s="1709" t="s">
        <v>3500</v>
      </c>
    </row>
    <row r="18" spans="1:1" x14ac:dyDescent="0.2">
      <c r="A18" s="1709" t="s">
        <v>3501</v>
      </c>
    </row>
    <row r="19" spans="1:1" x14ac:dyDescent="0.2">
      <c r="A19" s="1709" t="s">
        <v>3502</v>
      </c>
    </row>
    <row r="20" spans="1:1" x14ac:dyDescent="0.2">
      <c r="A20" s="1709" t="s">
        <v>3503</v>
      </c>
    </row>
    <row r="21" spans="1:1" x14ac:dyDescent="0.2">
      <c r="A21" s="1709" t="s">
        <v>3504</v>
      </c>
    </row>
  </sheetData>
  <hyperlinks>
    <hyperlink ref="A4" location="'4.2-01'!A1" display="CUADRO 4.2-01: NÚMERO DE ORGANIZACIONES DEPORTIVAS INSCRITAS EN EL REGISTRO, SEGÚN REGIÓN. 2009-2013" xr:uid="{4CA4ACCF-5294-4070-B91D-03A2E73FBBD8}"/>
    <hyperlink ref="A5" location="'4.2-02'!A1" display="CUADRO 4.2-02: NÚMERO DE PROYECTOS DEL FONDO NACIONAL DE FOMENTO PARA EL DEPORTE APROBADOS Y MONTOS, SEGÚN MODALIDAD DE ASIGNACIÓN. 2013" xr:uid="{29C3637D-5EF7-42ED-8747-307CD73037A6}"/>
    <hyperlink ref="A6" location="'4.2-03'!A1" display="CUADRO 4.2-03: NÚMERO DE PROYECTOS DEL FONDO NACIONAL DE FOMENTO PARA EL DEPORTE APROBADOS Y MONTO, SEGÚN CATEGORÍA DEPORTIVA. 2013" xr:uid="{E0935688-1242-46DF-B77B-FDADCC07F0CD}"/>
    <hyperlink ref="A7" location="'4.2-04'!A1" display="CUADRO 4.2-04: NÚMERO DE PERSONAS BENEFICIADAS CON LOS PROYECTOS APROBADOS POR SEXO, SEGÚN MODALIDAD DE ASIGNACIÓN. 2013" xr:uid="{DE867A48-1BE3-4281-965F-F173A2242F7C}"/>
    <hyperlink ref="A8" location="'4.2-05'!A1" display="CUADRO 4.2-05: NÚMERO DE COMUNAS BENEFICIADAS CON LOS PROYECTOS APROBADOS, SEGÚN MODALIDAD DE ASIGNACIÓN. 2010-2013" xr:uid="{6538B805-7864-4770-A106-A2AA6C881998}"/>
    <hyperlink ref="A9" location="'4.2-06'!A1" display="CUADRO 4.2-06: NÚMERO DE PROYECTOS APROBADOS POR EL REGISTRO NACIONAL DE DONACIONES CON FINES DEPORTIVOS A TRAVÉS DEL SISTEMA DE FRANQUICIA TRIBUTARIA Y MONTO TOTAL DEL FINANCIAMIENTO EJECUTADO. 2009-2013" xr:uid="{B75E432E-273B-4D64-A91A-1ADB65420C3A}"/>
    <hyperlink ref="A10" location="'4.2-07'!A1" display="CUADRO 4.2-07: NÚMERO DE PERSONAS PARTICIPANTES EN PROGRAMAS DE DEPORTE MASIVO/1, SEGÚN TIPO DE COMPETENCIAS. 2011-2013" xr:uid="{BC8D80BE-F5BC-4B0D-BAFC-E4CD7670DD99}"/>
    <hyperlink ref="A11" location="'4.2-08'!A1" display="CUADRO 4.2-08: NÚMERO DE COMPETENCIAS, SEGÚN PROGRAMA DE DEPORTE MASIVO/1" xr:uid="{D11FE048-F9EF-4796-8221-84B57979FC5A}"/>
    <hyperlink ref="A12" location="'4.2-09'!A1" display="CUADRO 4.2-09:  NÚMERO DE DEPORTISTAS EN PROGRAMAS DE ALTO RENDIMIENTO (PRODDAR), POR SEXO, SEGÚN REGIÓN Y DISCIPLINA. 2013" xr:uid="{F1D5F2AC-C7A6-4F6D-A8BF-DEF553C3EFE4}"/>
    <hyperlink ref="A13" location="'4.2-10'!A1" display="CUADRO 4.2-10:  NÚMERO DE DEPORTISTAS EN PROGRAMAS PRE-PRODDAR, POR SEXO, SEGÚN REGIÓN Y DISCIPLINA. 2013" xr:uid="{75AABE16-E33E-4C88-BD43-61D6239D902B}"/>
    <hyperlink ref="A14" location="'4.2-11'!A1" display="CUADRO 4.2-11: NÚMERO DE RECINTOS ENTREGADOS POR ENCARGO DE GESTIÓN, SEGÚN REGIÓN 2012-2013" xr:uid="{1BCCAA96-16EA-43E8-873C-141724744B47}"/>
    <hyperlink ref="A15" location="'4.2-12'!A1" display="CUADRO 4.2-12: FUNCIONES DE ESPECTÁCULOS PÚBLICOS DEPORTIVOS POR TIPO DE ESPECTÁCULO, SEGÚN REGIÓN. 2013" xr:uid="{C28ECE3B-FC39-4E19-AFB8-AEF844AF25AF}"/>
    <hyperlink ref="A16" location="'4.2-13'!A1" display="CUADRO 4.2-13: NÚMERO DE FUNCIONES DE ESPECTÁCULOS PÚBLICOS DEPORTIVOS, POR TIPO DE ESPECTÁCULO. 2009-2013" xr:uid="{E1195536-B055-45B8-847A-E61974AA6C18}"/>
    <hyperlink ref="A17" location="'4.2-14'!A1" display="CUADRO 4.2-14: NÚMERO DE ESPECTADORES QUE ASISTEN A LA REALIZACIÓN DE ESPECTÁCULOS PÚBLICOS DEPORTIVOS PAGANDO ENTRADA POR TIPO DE ESPECTÁCULO DEPORTIVO, SEGÚN REGIÓN. 2013" xr:uid="{7CD6AFE3-1214-45A7-864F-912E458FDBC5}"/>
    <hyperlink ref="A18" location="'4.2-15'!A1" display="CUADRO 4.2-15: NÚMERO DE ASISTENTES A ESPECTÁCULOS PÚBLICOS DEPORTIVOS, PAGANDO ENTRADA, POR TIPO DE ESPECTÁCULO. 2009-2013" xr:uid="{814EBA3D-0852-4234-B817-250EE791DABF}"/>
    <hyperlink ref="A19" location="'4.2-16'!A1" display="CUADRO 4.2-16: NÚMERO DE ESPECTADORES  QUE ASISTEN A LA REALIZACIÓN DE ESPECTÁCULOS PÚBLICOS DEPORTIVOS CON ENTRADA GRATUITA POR TIPO DE ESPECTÁCULO DEPORTIVO, SEGÚN REGIÓN. 2013" xr:uid="{42B6FAE6-B843-4B40-9590-43C0ED454FB5}"/>
    <hyperlink ref="A20" location="'4.2-17'!A1" display="CUADRO 4.2-17: NÚMERO DE ASISTENTES A ESPECTÁCULOS PÚBLICOS DEPORTIVOS, ENTRADA GRATUITA, POR TIPO DE ESPECTÁCULO. 2009-2013" xr:uid="{EEDA6902-63B2-440B-8B1C-E18A3E390E29}"/>
    <hyperlink ref="A21" location="'4.2-18'!A1" display="CUADRO 4.2-18: NÚMERO DE ESPECTADORES ASISTENTES A ESPECTÁCULOS PÚBLICOS DEPORTIVOS CON ENTRADA GRATUITA Y PAGADA POR MES, SEGÚN REGIÓN. 2013" xr:uid="{631C6316-A182-4A88-A27F-B0F58B4FC017}"/>
  </hyperlinks>
  <pageMargins left="0.7" right="0.7" top="0.75" bottom="0.75" header="0.3" footer="0.3"/>
  <pageSetup paperSize="14" orientation="landscape" r:id="rId1"/>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C899A-D08E-42A5-A4B4-9FA40C72FCA1}">
  <sheetPr codeName="Hoja304"/>
  <dimension ref="A2:O26"/>
  <sheetViews>
    <sheetView workbookViewId="0">
      <selection activeCell="F37" sqref="F37"/>
    </sheetView>
  </sheetViews>
  <sheetFormatPr baseColWidth="10" defaultRowHeight="13.2" x14ac:dyDescent="0.25"/>
  <cols>
    <col min="1" max="1" width="23.6640625" customWidth="1"/>
  </cols>
  <sheetData>
    <row r="2" spans="1:15" s="2" customFormat="1" ht="24.75" customHeight="1" x14ac:dyDescent="0.25">
      <c r="A2" s="308" t="s">
        <v>3487</v>
      </c>
      <c r="B2" s="308"/>
      <c r="C2" s="308"/>
      <c r="D2" s="308"/>
      <c r="E2" s="308"/>
      <c r="F2" s="308"/>
      <c r="G2" s="701"/>
      <c r="H2" s="1677"/>
      <c r="J2" s="309"/>
      <c r="K2" s="309"/>
      <c r="L2" s="309"/>
      <c r="M2" s="309"/>
      <c r="N2" s="309"/>
      <c r="O2" s="309"/>
    </row>
    <row r="3" spans="1:15" s="2" customFormat="1" ht="10.199999999999999" x14ac:dyDescent="0.2">
      <c r="H3" s="1677"/>
    </row>
    <row r="4" spans="1:15" s="2" customFormat="1" ht="12.75" customHeight="1" x14ac:dyDescent="0.2">
      <c r="A4" s="275" t="s">
        <v>0</v>
      </c>
      <c r="B4" s="688" t="s">
        <v>3505</v>
      </c>
      <c r="C4" s="689"/>
      <c r="D4" s="689"/>
      <c r="E4" s="689"/>
      <c r="F4" s="694"/>
      <c r="K4" s="336"/>
      <c r="L4" s="665"/>
      <c r="M4" s="665"/>
      <c r="O4" s="975"/>
    </row>
    <row r="5" spans="1:15" s="2" customFormat="1" ht="17.25" customHeight="1" x14ac:dyDescent="0.2">
      <c r="A5" s="277"/>
      <c r="B5" s="621">
        <v>2009</v>
      </c>
      <c r="C5" s="621">
        <v>2010</v>
      </c>
      <c r="D5" s="644" t="s">
        <v>1317</v>
      </c>
      <c r="E5" s="644" t="s">
        <v>1318</v>
      </c>
      <c r="F5" s="644">
        <v>2013</v>
      </c>
      <c r="K5" s="646"/>
      <c r="L5" s="646"/>
      <c r="M5" s="1678"/>
      <c r="N5" s="1678"/>
      <c r="O5" s="1678"/>
    </row>
    <row r="6" spans="1:15" s="24" customFormat="1" ht="10.199999999999999" x14ac:dyDescent="0.2">
      <c r="A6" s="24" t="s">
        <v>3</v>
      </c>
      <c r="B6" s="1045">
        <f>SUM(B7:B21)</f>
        <v>1413</v>
      </c>
      <c r="C6" s="1045">
        <f>SUM(C7:C21)</f>
        <v>1237</v>
      </c>
      <c r="D6" s="1045">
        <f>SUM(D7:D21)</f>
        <v>4665</v>
      </c>
      <c r="E6" s="1045">
        <f>SUM(E7:E21)</f>
        <v>4103</v>
      </c>
      <c r="F6" s="1045">
        <f>SUM(F7:F21)</f>
        <v>4002</v>
      </c>
      <c r="J6" s="284"/>
      <c r="K6" s="643"/>
      <c r="L6" s="643"/>
      <c r="M6" s="643"/>
      <c r="N6" s="646"/>
      <c r="O6" s="643"/>
    </row>
    <row r="7" spans="1:15" s="2" customFormat="1" ht="10.199999999999999" x14ac:dyDescent="0.2">
      <c r="A7" s="1679" t="s">
        <v>4</v>
      </c>
      <c r="B7" s="643">
        <v>51</v>
      </c>
      <c r="C7" s="643">
        <v>35</v>
      </c>
      <c r="D7" s="643">
        <v>149</v>
      </c>
      <c r="E7" s="646">
        <v>146</v>
      </c>
      <c r="F7" s="643">
        <v>152</v>
      </c>
      <c r="J7" s="284"/>
      <c r="K7" s="643"/>
      <c r="L7" s="643"/>
      <c r="M7" s="643"/>
      <c r="N7" s="646"/>
      <c r="O7" s="643"/>
    </row>
    <row r="8" spans="1:15" s="2" customFormat="1" ht="10.199999999999999" x14ac:dyDescent="0.2">
      <c r="A8" s="1679" t="s">
        <v>5</v>
      </c>
      <c r="B8" s="643">
        <v>39</v>
      </c>
      <c r="C8" s="643">
        <v>36</v>
      </c>
      <c r="D8" s="643">
        <v>129</v>
      </c>
      <c r="E8" s="646">
        <v>122</v>
      </c>
      <c r="F8" s="643">
        <v>98</v>
      </c>
      <c r="J8" s="284"/>
      <c r="K8" s="643"/>
      <c r="L8" s="643"/>
      <c r="M8" s="643"/>
      <c r="N8" s="646"/>
      <c r="O8" s="643"/>
    </row>
    <row r="9" spans="1:15" s="2" customFormat="1" ht="10.199999999999999" x14ac:dyDescent="0.2">
      <c r="A9" s="1679" t="s">
        <v>6</v>
      </c>
      <c r="B9" s="643">
        <v>64</v>
      </c>
      <c r="C9" s="643">
        <v>53</v>
      </c>
      <c r="D9" s="643">
        <v>199</v>
      </c>
      <c r="E9" s="646">
        <v>212</v>
      </c>
      <c r="F9" s="643">
        <v>214</v>
      </c>
      <c r="J9" s="284"/>
      <c r="K9" s="643"/>
      <c r="L9" s="643"/>
      <c r="M9" s="643"/>
      <c r="N9" s="646"/>
      <c r="O9" s="643"/>
    </row>
    <row r="10" spans="1:15" s="2" customFormat="1" ht="10.199999999999999" x14ac:dyDescent="0.2">
      <c r="A10" s="1679" t="s">
        <v>7</v>
      </c>
      <c r="B10" s="643">
        <v>58</v>
      </c>
      <c r="C10" s="643">
        <v>42</v>
      </c>
      <c r="D10" s="643">
        <v>147</v>
      </c>
      <c r="E10" s="646">
        <v>120</v>
      </c>
      <c r="F10" s="643">
        <v>133</v>
      </c>
      <c r="J10" s="284"/>
      <c r="K10" s="643"/>
      <c r="L10" s="643"/>
      <c r="M10" s="643"/>
      <c r="N10" s="646"/>
      <c r="O10" s="643"/>
    </row>
    <row r="11" spans="1:15" s="2" customFormat="1" ht="10.199999999999999" x14ac:dyDescent="0.2">
      <c r="A11" s="1679" t="s">
        <v>8</v>
      </c>
      <c r="B11" s="643">
        <v>80</v>
      </c>
      <c r="C11" s="643">
        <v>76</v>
      </c>
      <c r="D11" s="643">
        <v>342</v>
      </c>
      <c r="E11" s="646">
        <v>316</v>
      </c>
      <c r="F11" s="643">
        <v>370</v>
      </c>
      <c r="J11" s="284"/>
      <c r="K11" s="643"/>
      <c r="L11" s="643"/>
      <c r="M11" s="643"/>
      <c r="N11" s="646"/>
      <c r="O11" s="643"/>
    </row>
    <row r="12" spans="1:15" s="2" customFormat="1" ht="10.199999999999999" x14ac:dyDescent="0.2">
      <c r="A12" s="1679" t="s">
        <v>9</v>
      </c>
      <c r="B12" s="643">
        <v>90</v>
      </c>
      <c r="C12" s="643">
        <v>102</v>
      </c>
      <c r="D12" s="643">
        <v>448</v>
      </c>
      <c r="E12" s="646">
        <v>408</v>
      </c>
      <c r="F12" s="643">
        <v>362</v>
      </c>
      <c r="J12" s="284"/>
      <c r="K12" s="643"/>
      <c r="L12" s="643"/>
      <c r="M12" s="643"/>
      <c r="N12" s="646"/>
      <c r="O12" s="643"/>
    </row>
    <row r="13" spans="1:15" s="2" customFormat="1" ht="10.199999999999999" x14ac:dyDescent="0.2">
      <c r="A13" s="1679" t="s">
        <v>10</v>
      </c>
      <c r="B13" s="643">
        <v>379</v>
      </c>
      <c r="C13" s="643">
        <v>379</v>
      </c>
      <c r="D13" s="643">
        <v>156</v>
      </c>
      <c r="E13" s="646">
        <v>142</v>
      </c>
      <c r="F13" s="643">
        <v>809</v>
      </c>
    </row>
    <row r="14" spans="1:15" s="2" customFormat="1" ht="10.199999999999999" x14ac:dyDescent="0.2">
      <c r="A14" s="1679" t="s">
        <v>134</v>
      </c>
      <c r="B14" s="643">
        <v>60</v>
      </c>
      <c r="C14" s="643">
        <v>48</v>
      </c>
      <c r="D14" s="643">
        <v>971</v>
      </c>
      <c r="E14" s="646">
        <v>857</v>
      </c>
      <c r="F14" s="643">
        <v>186</v>
      </c>
      <c r="J14" s="284"/>
      <c r="K14" s="643"/>
      <c r="L14" s="643"/>
      <c r="M14" s="643"/>
      <c r="N14" s="646"/>
      <c r="O14" s="643"/>
    </row>
    <row r="15" spans="1:15" s="2" customFormat="1" ht="10.199999999999999" x14ac:dyDescent="0.2">
      <c r="A15" s="1679" t="s">
        <v>12</v>
      </c>
      <c r="B15" s="643">
        <v>55</v>
      </c>
      <c r="C15" s="643">
        <v>66</v>
      </c>
      <c r="D15" s="643">
        <v>264</v>
      </c>
      <c r="E15" s="646">
        <v>219</v>
      </c>
      <c r="F15" s="643">
        <v>233</v>
      </c>
      <c r="J15" s="284"/>
      <c r="K15" s="643"/>
      <c r="L15" s="643"/>
      <c r="M15" s="643"/>
      <c r="N15" s="646"/>
      <c r="O15" s="643"/>
    </row>
    <row r="16" spans="1:15" s="2" customFormat="1" ht="10.199999999999999" x14ac:dyDescent="0.2">
      <c r="A16" s="1679" t="s">
        <v>13</v>
      </c>
      <c r="B16" s="643">
        <v>194</v>
      </c>
      <c r="C16" s="643">
        <v>71</v>
      </c>
      <c r="D16" s="643">
        <v>316</v>
      </c>
      <c r="E16" s="646">
        <v>205</v>
      </c>
      <c r="F16" s="643">
        <v>412</v>
      </c>
      <c r="J16" s="284"/>
      <c r="K16" s="643"/>
      <c r="L16" s="643"/>
      <c r="M16" s="643"/>
      <c r="N16" s="646"/>
      <c r="O16" s="643"/>
    </row>
    <row r="17" spans="1:15" s="2" customFormat="1" ht="10.199999999999999" x14ac:dyDescent="0.2">
      <c r="A17" s="1679" t="s">
        <v>47</v>
      </c>
      <c r="B17" s="643">
        <v>83</v>
      </c>
      <c r="C17" s="643">
        <v>110</v>
      </c>
      <c r="D17" s="643">
        <v>410</v>
      </c>
      <c r="E17" s="646">
        <v>408</v>
      </c>
      <c r="F17" s="643">
        <v>366</v>
      </c>
      <c r="J17" s="284"/>
      <c r="K17" s="643"/>
      <c r="L17" s="643"/>
      <c r="M17" s="643"/>
      <c r="N17" s="646"/>
      <c r="O17" s="643"/>
    </row>
    <row r="18" spans="1:15" s="2" customFormat="1" ht="10.199999999999999" x14ac:dyDescent="0.2">
      <c r="A18" s="1679" t="s">
        <v>135</v>
      </c>
      <c r="B18" s="643">
        <v>52</v>
      </c>
      <c r="C18" s="643">
        <v>45</v>
      </c>
      <c r="D18" s="643">
        <v>419</v>
      </c>
      <c r="E18" s="646">
        <v>389</v>
      </c>
      <c r="F18" s="643">
        <v>146</v>
      </c>
      <c r="J18" s="284"/>
      <c r="K18" s="643"/>
      <c r="L18" s="643"/>
      <c r="M18" s="643"/>
      <c r="N18" s="646"/>
      <c r="O18" s="643"/>
    </row>
    <row r="19" spans="1:15" s="2" customFormat="1" ht="10.5" customHeight="1" x14ac:dyDescent="0.2">
      <c r="A19" s="1679" t="s">
        <v>136</v>
      </c>
      <c r="B19" s="643">
        <v>138</v>
      </c>
      <c r="C19" s="643">
        <v>114</v>
      </c>
      <c r="D19" s="643">
        <v>194</v>
      </c>
      <c r="E19" s="646">
        <v>144</v>
      </c>
      <c r="F19" s="643">
        <v>284</v>
      </c>
      <c r="J19" s="284"/>
      <c r="K19" s="643"/>
      <c r="L19" s="643"/>
      <c r="M19" s="643"/>
      <c r="N19" s="646"/>
      <c r="O19" s="643"/>
    </row>
    <row r="20" spans="1:15" s="2" customFormat="1" ht="10.5" customHeight="1" x14ac:dyDescent="0.2">
      <c r="A20" s="1679" t="s">
        <v>17</v>
      </c>
      <c r="B20" s="643">
        <v>31</v>
      </c>
      <c r="C20" s="643">
        <v>14</v>
      </c>
      <c r="D20" s="643">
        <v>423</v>
      </c>
      <c r="E20" s="646">
        <v>331</v>
      </c>
      <c r="F20" s="643">
        <v>92</v>
      </c>
      <c r="J20" s="284"/>
      <c r="K20" s="643"/>
      <c r="L20" s="643"/>
      <c r="M20" s="643"/>
      <c r="N20" s="646"/>
      <c r="O20" s="643"/>
    </row>
    <row r="21" spans="1:15" s="2" customFormat="1" ht="10.199999999999999" x14ac:dyDescent="0.2">
      <c r="A21" s="1679" t="s">
        <v>18</v>
      </c>
      <c r="B21" s="643">
        <v>39</v>
      </c>
      <c r="C21" s="643">
        <v>46</v>
      </c>
      <c r="D21" s="643">
        <v>98</v>
      </c>
      <c r="E21" s="646">
        <v>84</v>
      </c>
      <c r="F21" s="643">
        <v>145</v>
      </c>
      <c r="J21" s="284"/>
      <c r="K21" s="643"/>
      <c r="L21" s="643"/>
      <c r="M21" s="643"/>
      <c r="N21" s="646"/>
      <c r="O21" s="643"/>
    </row>
    <row r="22" spans="1:15" s="2" customFormat="1" ht="6.75" customHeight="1" x14ac:dyDescent="0.2">
      <c r="A22" s="284"/>
      <c r="B22" s="643"/>
      <c r="C22" s="643"/>
      <c r="D22" s="643"/>
      <c r="E22" s="646"/>
      <c r="F22" s="643"/>
    </row>
    <row r="23" spans="1:15" s="2" customFormat="1" ht="10.199999999999999" x14ac:dyDescent="0.2">
      <c r="A23" s="703" t="s">
        <v>3506</v>
      </c>
      <c r="B23" s="703"/>
      <c r="C23" s="703"/>
      <c r="D23" s="703"/>
      <c r="E23" s="703"/>
      <c r="F23" s="703"/>
    </row>
    <row r="24" spans="1:15" s="2" customFormat="1" ht="10.199999999999999" x14ac:dyDescent="0.2">
      <c r="A24" s="703" t="s">
        <v>3507</v>
      </c>
      <c r="B24" s="703"/>
      <c r="C24" s="703"/>
      <c r="D24" s="703"/>
      <c r="E24" s="703"/>
      <c r="F24" s="703"/>
    </row>
    <row r="25" spans="1:15" s="2" customFormat="1" ht="10.199999999999999" x14ac:dyDescent="0.2">
      <c r="A25" s="2" t="s">
        <v>3508</v>
      </c>
    </row>
    <row r="26" spans="1:15" s="2" customFormat="1" ht="10.199999999999999" x14ac:dyDescent="0.2"/>
  </sheetData>
  <mergeCells count="5">
    <mergeCell ref="A2:F2"/>
    <mergeCell ref="A4:A5"/>
    <mergeCell ref="B4:F4"/>
    <mergeCell ref="A23:F23"/>
    <mergeCell ref="A24:F24"/>
  </mergeCells>
  <pageMargins left="0.7" right="0.7" top="0.75" bottom="0.75" header="0.3" footer="0.3"/>
  <pageSetup paperSize="14" orientation="landscape" r:id="rId1"/>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EB1FD7-4E21-4397-A321-72DDEA231947}">
  <sheetPr codeName="Hoja305"/>
  <dimension ref="A2:H11"/>
  <sheetViews>
    <sheetView workbookViewId="0">
      <selection activeCell="F37" sqref="F37"/>
    </sheetView>
  </sheetViews>
  <sheetFormatPr baseColWidth="10" defaultRowHeight="13.2" x14ac:dyDescent="0.25"/>
  <cols>
    <col min="1" max="1" width="31.44140625" customWidth="1"/>
    <col min="2" max="3" width="21" customWidth="1"/>
  </cols>
  <sheetData>
    <row r="2" spans="1:8" s="2" customFormat="1" ht="33.75" customHeight="1" x14ac:dyDescent="0.2">
      <c r="A2" s="308" t="s">
        <v>3488</v>
      </c>
      <c r="B2" s="308"/>
      <c r="C2" s="308"/>
      <c r="D2" s="624"/>
      <c r="E2" s="309"/>
      <c r="F2" s="309"/>
      <c r="G2" s="309"/>
    </row>
    <row r="3" spans="1:8" s="2" customFormat="1" ht="12" customHeight="1" x14ac:dyDescent="0.2">
      <c r="A3" s="720"/>
      <c r="B3" s="720"/>
      <c r="C3" s="720"/>
      <c r="D3" s="624"/>
      <c r="E3" s="309"/>
      <c r="F3" s="309"/>
      <c r="G3" s="309"/>
    </row>
    <row r="4" spans="1:8" s="2" customFormat="1" ht="16.5" customHeight="1" x14ac:dyDescent="0.2">
      <c r="A4" s="323" t="s">
        <v>3509</v>
      </c>
      <c r="B4" s="685" t="s">
        <v>3510</v>
      </c>
      <c r="C4" s="685"/>
    </row>
    <row r="5" spans="1:8" s="2" customFormat="1" ht="16.5" customHeight="1" x14ac:dyDescent="0.2">
      <c r="A5" s="323"/>
      <c r="B5" s="1033" t="s">
        <v>3511</v>
      </c>
      <c r="C5" s="1033" t="s">
        <v>3512</v>
      </c>
    </row>
    <row r="6" spans="1:8" s="24" customFormat="1" ht="10.5" customHeight="1" x14ac:dyDescent="0.2">
      <c r="A6" s="624" t="s">
        <v>1127</v>
      </c>
      <c r="B6" s="1045">
        <f>SUM(B7:B9)</f>
        <v>583</v>
      </c>
      <c r="C6" s="1045">
        <f>SUM(C7:C9)</f>
        <v>3516366</v>
      </c>
      <c r="E6" s="309"/>
      <c r="F6" s="1049"/>
      <c r="G6" s="1049"/>
      <c r="H6" s="2"/>
    </row>
    <row r="7" spans="1:8" s="2" customFormat="1" ht="10.199999999999999" x14ac:dyDescent="0.2">
      <c r="A7" s="2" t="s">
        <v>3513</v>
      </c>
      <c r="B7" s="646">
        <v>527</v>
      </c>
      <c r="C7" s="650">
        <v>2037872</v>
      </c>
      <c r="F7" s="646"/>
      <c r="G7" s="650"/>
    </row>
    <row r="8" spans="1:8" s="2" customFormat="1" ht="10.199999999999999" x14ac:dyDescent="0.2">
      <c r="A8" s="2" t="s">
        <v>3514</v>
      </c>
      <c r="B8" s="646">
        <v>35</v>
      </c>
      <c r="C8" s="650">
        <v>676402</v>
      </c>
      <c r="F8" s="646"/>
      <c r="G8" s="650"/>
    </row>
    <row r="9" spans="1:8" s="2" customFormat="1" ht="15" customHeight="1" x14ac:dyDescent="0.2">
      <c r="A9" s="2" t="s">
        <v>3515</v>
      </c>
      <c r="B9" s="646">
        <v>21</v>
      </c>
      <c r="C9" s="650">
        <v>802092</v>
      </c>
      <c r="F9" s="646"/>
      <c r="G9" s="650"/>
    </row>
    <row r="10" spans="1:8" s="2" customFormat="1" ht="7.5" customHeight="1" x14ac:dyDescent="0.2">
      <c r="B10" s="646"/>
      <c r="C10" s="650"/>
      <c r="F10" s="646"/>
      <c r="G10" s="650"/>
    </row>
    <row r="11" spans="1:8" s="2" customFormat="1" ht="22.5" customHeight="1" x14ac:dyDescent="0.25">
      <c r="A11" s="652" t="s">
        <v>3516</v>
      </c>
      <c r="B11" s="652"/>
      <c r="C11" s="652"/>
      <c r="D11" s="701"/>
      <c r="E11" s="309"/>
      <c r="F11" s="309"/>
      <c r="G11" s="309"/>
    </row>
  </sheetData>
  <mergeCells count="4">
    <mergeCell ref="A2:C2"/>
    <mergeCell ref="A4:A5"/>
    <mergeCell ref="B4:C4"/>
    <mergeCell ref="A11:C11"/>
  </mergeCells>
  <pageMargins left="0.7" right="0.7" top="0.75" bottom="0.75" header="0.3" footer="0.3"/>
  <pageSetup paperSize="14" orientation="landscape" r:id="rId1"/>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345F17-14DE-45AE-8F05-A71E444C57D6}">
  <sheetPr codeName="Hoja306"/>
  <dimension ref="A1:G13"/>
  <sheetViews>
    <sheetView workbookViewId="0">
      <selection activeCell="F37" sqref="F37"/>
    </sheetView>
  </sheetViews>
  <sheetFormatPr baseColWidth="10" defaultRowHeight="13.2" x14ac:dyDescent="0.25"/>
  <cols>
    <col min="1" max="1" width="35.6640625" customWidth="1"/>
    <col min="2" max="3" width="25.5546875" customWidth="1"/>
  </cols>
  <sheetData>
    <row r="1" spans="1:7" x14ac:dyDescent="0.25">
      <c r="A1" s="1009"/>
    </row>
    <row r="2" spans="1:7" s="2" customFormat="1" ht="21.75" customHeight="1" x14ac:dyDescent="0.2">
      <c r="A2" s="308" t="s">
        <v>3489</v>
      </c>
      <c r="B2" s="308"/>
      <c r="C2" s="308"/>
    </row>
    <row r="3" spans="1:7" s="2" customFormat="1" ht="10.199999999999999" x14ac:dyDescent="0.2"/>
    <row r="4" spans="1:7" s="324" customFormat="1" ht="20.25" customHeight="1" x14ac:dyDescent="0.25">
      <c r="A4" s="621" t="s">
        <v>3517</v>
      </c>
      <c r="B4" s="621" t="s">
        <v>3511</v>
      </c>
      <c r="C4" s="621" t="s">
        <v>3512</v>
      </c>
    </row>
    <row r="5" spans="1:7" s="2" customFormat="1" ht="10.199999999999999" x14ac:dyDescent="0.2">
      <c r="A5" s="624" t="s">
        <v>1127</v>
      </c>
      <c r="B5" s="655">
        <f>SUM(B6:B11)</f>
        <v>583</v>
      </c>
      <c r="C5" s="655">
        <f>SUM(C6:C11)</f>
        <v>3516366</v>
      </c>
      <c r="F5" s="643"/>
      <c r="G5" s="643"/>
    </row>
    <row r="6" spans="1:7" s="2" customFormat="1" ht="10.199999999999999" x14ac:dyDescent="0.2">
      <c r="A6" s="2" t="s">
        <v>3518</v>
      </c>
      <c r="B6" s="799">
        <v>191</v>
      </c>
      <c r="C6" s="1680">
        <v>744802</v>
      </c>
      <c r="F6" s="799"/>
      <c r="G6" s="1680"/>
    </row>
    <row r="7" spans="1:7" s="2" customFormat="1" ht="10.199999999999999" x14ac:dyDescent="0.2">
      <c r="A7" s="2" t="s">
        <v>3519</v>
      </c>
      <c r="B7" s="799">
        <v>168</v>
      </c>
      <c r="C7" s="1680">
        <v>598955</v>
      </c>
      <c r="F7" s="799"/>
      <c r="G7" s="1680"/>
    </row>
    <row r="8" spans="1:7" s="2" customFormat="1" ht="10.199999999999999" x14ac:dyDescent="0.2">
      <c r="A8" s="2" t="s">
        <v>3520</v>
      </c>
      <c r="B8" s="799">
        <v>176</v>
      </c>
      <c r="C8" s="1680">
        <v>765284</v>
      </c>
      <c r="F8" s="799"/>
      <c r="G8" s="1680"/>
    </row>
    <row r="9" spans="1:7" s="2" customFormat="1" ht="10.199999999999999" x14ac:dyDescent="0.2">
      <c r="A9" s="309" t="s">
        <v>3521</v>
      </c>
      <c r="B9" s="799">
        <v>39</v>
      </c>
      <c r="C9" s="1680">
        <v>1293387</v>
      </c>
      <c r="F9" s="799"/>
      <c r="G9" s="1680"/>
    </row>
    <row r="10" spans="1:7" s="2" customFormat="1" ht="10.199999999999999" x14ac:dyDescent="0.2">
      <c r="A10" s="2" t="s">
        <v>3522</v>
      </c>
      <c r="B10" s="799">
        <v>6</v>
      </c>
      <c r="C10" s="1680">
        <v>52325</v>
      </c>
      <c r="F10" s="799"/>
      <c r="G10" s="1680"/>
    </row>
    <row r="11" spans="1:7" s="2" customFormat="1" ht="10.199999999999999" x14ac:dyDescent="0.2">
      <c r="A11" s="2" t="s">
        <v>3523</v>
      </c>
      <c r="B11" s="799">
        <v>3</v>
      </c>
      <c r="C11" s="1680">
        <v>61613</v>
      </c>
      <c r="F11" s="799"/>
      <c r="G11" s="1680"/>
    </row>
    <row r="12" spans="1:7" s="2" customFormat="1" ht="6" customHeight="1" x14ac:dyDescent="0.2">
      <c r="B12" s="799"/>
      <c r="C12" s="1680"/>
      <c r="F12" s="799"/>
      <c r="G12" s="1680"/>
    </row>
    <row r="13" spans="1:7" s="2" customFormat="1" ht="15" customHeight="1" x14ac:dyDescent="0.2">
      <c r="A13" s="652" t="s">
        <v>3524</v>
      </c>
      <c r="B13" s="652"/>
      <c r="C13" s="652"/>
    </row>
  </sheetData>
  <mergeCells count="2">
    <mergeCell ref="A2:C2"/>
    <mergeCell ref="A13:C13"/>
  </mergeCells>
  <pageMargins left="0.7" right="0.7" top="0.75" bottom="0.75" header="0.3" footer="0.3"/>
  <pageSetup paperSize="14" orientation="landscape" r:id="rId1"/>
</worksheet>
</file>

<file path=xl/worksheets/sheet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C61FFB-75F7-49F8-A196-8262234FE65E}">
  <sheetPr codeName="Hoja307"/>
  <dimension ref="A1:I19"/>
  <sheetViews>
    <sheetView workbookViewId="0">
      <selection activeCell="F37" sqref="F37"/>
    </sheetView>
  </sheetViews>
  <sheetFormatPr baseColWidth="10" defaultRowHeight="13.2" x14ac:dyDescent="0.25"/>
  <cols>
    <col min="1" max="1" width="34.6640625" customWidth="1"/>
    <col min="2" max="4" width="16.5546875" customWidth="1"/>
  </cols>
  <sheetData>
    <row r="1" spans="1:9" x14ac:dyDescent="0.25">
      <c r="A1" s="1009"/>
    </row>
    <row r="2" spans="1:9" s="2" customFormat="1" ht="28.5" customHeight="1" x14ac:dyDescent="0.25">
      <c r="A2" s="308" t="s">
        <v>3490</v>
      </c>
      <c r="B2" s="308"/>
      <c r="C2" s="308"/>
      <c r="D2" s="308"/>
      <c r="E2" s="701"/>
    </row>
    <row r="3" spans="1:9" s="2" customFormat="1" ht="10.199999999999999" x14ac:dyDescent="0.2"/>
    <row r="4" spans="1:9" s="324" customFormat="1" ht="18" customHeight="1" x14ac:dyDescent="0.25">
      <c r="A4" s="275" t="s">
        <v>3509</v>
      </c>
      <c r="B4" s="323" t="s">
        <v>3525</v>
      </c>
      <c r="C4" s="323"/>
      <c r="D4" s="323"/>
    </row>
    <row r="5" spans="1:9" s="324" customFormat="1" ht="18" customHeight="1" x14ac:dyDescent="0.25">
      <c r="A5" s="277"/>
      <c r="B5" s="621" t="s">
        <v>42</v>
      </c>
      <c r="C5" s="621" t="s">
        <v>122</v>
      </c>
      <c r="D5" s="621" t="s">
        <v>123</v>
      </c>
    </row>
    <row r="6" spans="1:9" s="2" customFormat="1" ht="10.199999999999999" x14ac:dyDescent="0.2">
      <c r="A6" s="624" t="s">
        <v>1127</v>
      </c>
      <c r="B6" s="1045">
        <f>SUM(B7:B9)</f>
        <v>161285</v>
      </c>
      <c r="C6" s="1045">
        <f>SUM(C7:C9)</f>
        <v>78099</v>
      </c>
      <c r="D6" s="1045">
        <f>SUM(D7:D9)</f>
        <v>83186</v>
      </c>
      <c r="G6" s="1049"/>
      <c r="H6" s="1049"/>
      <c r="I6" s="1049"/>
    </row>
    <row r="7" spans="1:9" s="2" customFormat="1" ht="10.199999999999999" x14ac:dyDescent="0.2">
      <c r="A7" s="2" t="s">
        <v>3513</v>
      </c>
      <c r="B7" s="655">
        <f>SUM(C7:D7)</f>
        <v>147379</v>
      </c>
      <c r="C7" s="650">
        <v>67539</v>
      </c>
      <c r="D7" s="650">
        <v>79840</v>
      </c>
      <c r="G7" s="643"/>
      <c r="H7" s="650"/>
      <c r="I7" s="650"/>
    </row>
    <row r="8" spans="1:9" s="2" customFormat="1" ht="10.199999999999999" x14ac:dyDescent="0.2">
      <c r="A8" s="2" t="s">
        <v>3514</v>
      </c>
      <c r="B8" s="655">
        <f>SUM(C8:D8)</f>
        <v>10407</v>
      </c>
      <c r="C8" s="650">
        <v>8286</v>
      </c>
      <c r="D8" s="650">
        <v>2121</v>
      </c>
      <c r="G8" s="643"/>
      <c r="H8" s="650"/>
      <c r="I8" s="650"/>
    </row>
    <row r="9" spans="1:9" s="2" customFormat="1" ht="10.199999999999999" x14ac:dyDescent="0.2">
      <c r="A9" s="2" t="s">
        <v>3526</v>
      </c>
      <c r="B9" s="655">
        <f>SUM(C9:D9)</f>
        <v>3499</v>
      </c>
      <c r="C9" s="650">
        <v>2274</v>
      </c>
      <c r="D9" s="650">
        <v>1225</v>
      </c>
      <c r="G9" s="643"/>
      <c r="H9" s="650"/>
      <c r="I9" s="650"/>
    </row>
    <row r="10" spans="1:9" s="2" customFormat="1" ht="6.75" customHeight="1" x14ac:dyDescent="0.2"/>
    <row r="11" spans="1:9" s="2" customFormat="1" ht="10.5" customHeight="1" x14ac:dyDescent="0.2">
      <c r="A11" s="652" t="s">
        <v>3524</v>
      </c>
      <c r="B11" s="652"/>
      <c r="C11" s="652"/>
      <c r="D11" s="652"/>
    </row>
    <row r="12" spans="1:9" s="2" customFormat="1" ht="10.199999999999999" x14ac:dyDescent="0.2"/>
    <row r="19" spans="1:1" x14ac:dyDescent="0.25">
      <c r="A19" s="338"/>
    </row>
  </sheetData>
  <mergeCells count="4">
    <mergeCell ref="A2:D2"/>
    <mergeCell ref="A4:A5"/>
    <mergeCell ref="B4:D4"/>
    <mergeCell ref="A11:D11"/>
  </mergeCells>
  <pageMargins left="0.7" right="0.7" top="0.75" bottom="0.75" header="0.3" footer="0.3"/>
  <pageSetup paperSize="14" orientation="landscape" r:id="rId1"/>
</worksheet>
</file>

<file path=xl/worksheets/sheet3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5E996-49CA-4AF7-946C-F76EC6E38A32}">
  <sheetPr codeName="Hoja308"/>
  <dimension ref="A1:K18"/>
  <sheetViews>
    <sheetView workbookViewId="0">
      <selection activeCell="F37" sqref="F37"/>
    </sheetView>
  </sheetViews>
  <sheetFormatPr baseColWidth="10" defaultRowHeight="13.2" x14ac:dyDescent="0.25"/>
  <cols>
    <col min="1" max="1" width="30.6640625" customWidth="1"/>
  </cols>
  <sheetData>
    <row r="1" spans="1:11" x14ac:dyDescent="0.25">
      <c r="A1" s="1009"/>
    </row>
    <row r="2" spans="1:11" s="2" customFormat="1" ht="23.25" customHeight="1" x14ac:dyDescent="0.25">
      <c r="A2" s="308" t="s">
        <v>3491</v>
      </c>
      <c r="B2" s="308"/>
      <c r="C2" s="308"/>
      <c r="D2" s="308"/>
      <c r="E2" s="308"/>
      <c r="F2" s="701"/>
      <c r="K2" s="338"/>
    </row>
    <row r="3" spans="1:11" s="2" customFormat="1" x14ac:dyDescent="0.25">
      <c r="A3" s="624"/>
      <c r="B3" s="701"/>
      <c r="C3" s="701"/>
      <c r="D3" s="701"/>
      <c r="E3" s="701"/>
      <c r="F3" s="701"/>
      <c r="H3" s="338"/>
      <c r="I3" s="338"/>
      <c r="J3" s="338"/>
      <c r="K3" s="338"/>
    </row>
    <row r="4" spans="1:11" s="324" customFormat="1" ht="15" customHeight="1" x14ac:dyDescent="0.25">
      <c r="A4" s="653" t="s">
        <v>3509</v>
      </c>
      <c r="B4" s="298" t="s">
        <v>3527</v>
      </c>
      <c r="C4" s="298"/>
      <c r="D4" s="298"/>
      <c r="E4" s="298"/>
    </row>
    <row r="5" spans="1:11" s="324" customFormat="1" ht="15" customHeight="1" x14ac:dyDescent="0.25">
      <c r="A5" s="654"/>
      <c r="B5" s="644">
        <v>2010</v>
      </c>
      <c r="C5" s="644">
        <v>2011</v>
      </c>
      <c r="D5" s="644">
        <v>2012</v>
      </c>
      <c r="E5" s="621">
        <v>2013</v>
      </c>
      <c r="H5" s="844"/>
      <c r="I5" s="844"/>
      <c r="J5" s="844"/>
    </row>
    <row r="6" spans="1:11" s="2" customFormat="1" ht="10.199999999999999" x14ac:dyDescent="0.2">
      <c r="A6" s="624" t="s">
        <v>1127</v>
      </c>
      <c r="B6" s="24">
        <f>SUM(B7:B9)</f>
        <v>287</v>
      </c>
      <c r="C6" s="24">
        <f>SUM(C7:C9)</f>
        <v>184</v>
      </c>
      <c r="D6" s="24">
        <f>SUM(D7:D9)</f>
        <v>215</v>
      </c>
      <c r="E6" s="24">
        <f>SUM(E7:E9)</f>
        <v>173</v>
      </c>
    </row>
    <row r="7" spans="1:11" s="2" customFormat="1" ht="10.199999999999999" x14ac:dyDescent="0.2">
      <c r="A7" s="2" t="s">
        <v>3513</v>
      </c>
      <c r="B7" s="2">
        <v>274</v>
      </c>
      <c r="C7" s="2">
        <v>174</v>
      </c>
      <c r="D7" s="799">
        <v>192</v>
      </c>
      <c r="E7" s="2">
        <v>157</v>
      </c>
      <c r="J7" s="799"/>
    </row>
    <row r="8" spans="1:11" s="2" customFormat="1" ht="10.5" customHeight="1" x14ac:dyDescent="0.2">
      <c r="A8" s="2" t="s">
        <v>3514</v>
      </c>
      <c r="B8" s="2">
        <v>12</v>
      </c>
      <c r="C8" s="2">
        <v>1</v>
      </c>
      <c r="D8" s="799">
        <v>19</v>
      </c>
      <c r="E8" s="2">
        <v>16</v>
      </c>
      <c r="J8" s="799"/>
    </row>
    <row r="9" spans="1:11" s="2" customFormat="1" ht="10.199999999999999" x14ac:dyDescent="0.2">
      <c r="A9" s="2" t="s">
        <v>3526</v>
      </c>
      <c r="B9" s="2">
        <v>1</v>
      </c>
      <c r="C9" s="2">
        <v>9</v>
      </c>
      <c r="D9" s="799">
        <v>4</v>
      </c>
      <c r="E9" s="646" t="s">
        <v>193</v>
      </c>
      <c r="J9" s="799"/>
      <c r="K9" s="646"/>
    </row>
    <row r="10" spans="1:11" s="2" customFormat="1" ht="7.5" customHeight="1" x14ac:dyDescent="0.2">
      <c r="D10" s="799"/>
      <c r="E10" s="646"/>
      <c r="J10" s="799"/>
      <c r="K10" s="646"/>
    </row>
    <row r="11" spans="1:11" s="2" customFormat="1" ht="11.25" customHeight="1" x14ac:dyDescent="0.2">
      <c r="A11" s="669" t="s">
        <v>3528</v>
      </c>
      <c r="D11" s="799"/>
      <c r="E11" s="646"/>
      <c r="J11" s="799"/>
      <c r="K11" s="646"/>
    </row>
    <row r="12" spans="1:11" s="2" customFormat="1" ht="23.25" customHeight="1" x14ac:dyDescent="0.2">
      <c r="A12" s="652" t="s">
        <v>3524</v>
      </c>
      <c r="B12" s="652"/>
      <c r="C12" s="652"/>
      <c r="D12" s="652"/>
      <c r="E12" s="652"/>
    </row>
    <row r="13" spans="1:11" s="2" customFormat="1" ht="10.199999999999999" x14ac:dyDescent="0.2"/>
    <row r="18" spans="1:1" x14ac:dyDescent="0.25">
      <c r="A18" s="338"/>
    </row>
  </sheetData>
  <mergeCells count="4">
    <mergeCell ref="A2:E2"/>
    <mergeCell ref="A4:A5"/>
    <mergeCell ref="B4:E4"/>
    <mergeCell ref="A12:E12"/>
  </mergeCells>
  <pageMargins left="0.7" right="0.7" top="0.75" bottom="0.75" header="0.3" footer="0.3"/>
  <pageSetup paperSize="14" orientation="landscape" r:id="rId1"/>
</worksheet>
</file>

<file path=xl/worksheets/sheet3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3FF1F2-C4CB-4C3A-B90E-1FE7A9242A09}">
  <sheetPr codeName="Hoja309"/>
  <dimension ref="A1:M9"/>
  <sheetViews>
    <sheetView workbookViewId="0">
      <selection activeCell="F37" sqref="F37"/>
    </sheetView>
  </sheetViews>
  <sheetFormatPr baseColWidth="10" defaultRowHeight="13.2" x14ac:dyDescent="0.25"/>
  <cols>
    <col min="1" max="1" width="23.6640625" customWidth="1"/>
  </cols>
  <sheetData>
    <row r="1" spans="1:13" x14ac:dyDescent="0.25">
      <c r="A1" s="1009"/>
    </row>
    <row r="2" spans="1:13" s="2" customFormat="1" ht="36" customHeight="1" x14ac:dyDescent="0.2">
      <c r="A2" s="308" t="s">
        <v>3492</v>
      </c>
      <c r="B2" s="308"/>
      <c r="C2" s="308"/>
      <c r="D2" s="308"/>
      <c r="E2" s="308"/>
      <c r="F2" s="308"/>
      <c r="G2" s="720"/>
      <c r="M2" s="336"/>
    </row>
    <row r="3" spans="1:13" s="2" customFormat="1" ht="10.199999999999999" x14ac:dyDescent="0.2"/>
    <row r="4" spans="1:13" s="2" customFormat="1" ht="16.5" customHeight="1" x14ac:dyDescent="0.2">
      <c r="A4" s="298" t="s">
        <v>3529</v>
      </c>
      <c r="B4" s="685" t="s">
        <v>3530</v>
      </c>
      <c r="C4" s="685"/>
      <c r="D4" s="685"/>
      <c r="E4" s="685"/>
      <c r="F4" s="685"/>
    </row>
    <row r="5" spans="1:13" s="2" customFormat="1" ht="16.5" customHeight="1" x14ac:dyDescent="0.2">
      <c r="A5" s="298"/>
      <c r="B5" s="621">
        <v>2009</v>
      </c>
      <c r="C5" s="621">
        <v>2010</v>
      </c>
      <c r="D5" s="621">
        <v>2011</v>
      </c>
      <c r="E5" s="621">
        <v>2012</v>
      </c>
      <c r="F5" s="621">
        <v>2013</v>
      </c>
      <c r="H5" s="324"/>
      <c r="I5" s="324"/>
      <c r="J5" s="324"/>
      <c r="K5" s="324"/>
      <c r="L5" s="324"/>
      <c r="M5" s="324"/>
    </row>
    <row r="6" spans="1:13" s="2" customFormat="1" ht="10.199999999999999" x14ac:dyDescent="0.2">
      <c r="A6" s="705" t="s">
        <v>3531</v>
      </c>
      <c r="B6" s="1680">
        <v>717</v>
      </c>
      <c r="C6" s="1680">
        <v>1078</v>
      </c>
      <c r="D6" s="1680">
        <v>838</v>
      </c>
      <c r="E6" s="1680">
        <v>840</v>
      </c>
      <c r="F6" s="643">
        <v>851</v>
      </c>
      <c r="H6" s="324"/>
      <c r="I6" s="858"/>
      <c r="J6" s="858"/>
      <c r="K6" s="858"/>
      <c r="L6" s="858"/>
      <c r="M6" s="643"/>
    </row>
    <row r="7" spans="1:13" s="2" customFormat="1" ht="10.199999999999999" x14ac:dyDescent="0.2">
      <c r="A7" s="324" t="s">
        <v>3532</v>
      </c>
      <c r="B7" s="858">
        <v>6</v>
      </c>
      <c r="C7" s="858">
        <v>11893</v>
      </c>
      <c r="D7" s="858">
        <v>12404.7</v>
      </c>
      <c r="E7" s="858">
        <v>15822</v>
      </c>
      <c r="F7" s="643">
        <v>14606</v>
      </c>
      <c r="H7" s="324"/>
      <c r="I7" s="858"/>
      <c r="J7" s="858"/>
      <c r="K7" s="858"/>
      <c r="L7" s="858"/>
      <c r="M7" s="643"/>
    </row>
    <row r="8" spans="1:13" s="2" customFormat="1" ht="6" customHeight="1" x14ac:dyDescent="0.2">
      <c r="A8" s="324"/>
      <c r="B8" s="858"/>
      <c r="C8" s="858"/>
      <c r="D8" s="858"/>
      <c r="E8" s="858"/>
      <c r="F8" s="643"/>
      <c r="H8" s="324"/>
      <c r="I8" s="858"/>
      <c r="J8" s="858"/>
      <c r="K8" s="858"/>
      <c r="L8" s="858"/>
      <c r="M8" s="643"/>
    </row>
    <row r="9" spans="1:13" s="2" customFormat="1" ht="10.199999999999999" x14ac:dyDescent="0.2">
      <c r="A9" s="2" t="s">
        <v>3533</v>
      </c>
    </row>
  </sheetData>
  <mergeCells count="3">
    <mergeCell ref="A2:F2"/>
    <mergeCell ref="A4:A5"/>
    <mergeCell ref="B4:F4"/>
  </mergeCells>
  <pageMargins left="0.7" right="0.7" top="0.75" bottom="0.75" header="0.3" footer="0.3"/>
  <pageSetup paperSize="14"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87624-D6AC-4139-948E-DB0ED461E0F1}">
  <sheetPr codeName="Hoja31"/>
  <dimension ref="A2:Q30"/>
  <sheetViews>
    <sheetView zoomScaleNormal="100" zoomScaleSheetLayoutView="100" workbookViewId="0">
      <selection activeCell="C21" sqref="C21"/>
    </sheetView>
  </sheetViews>
  <sheetFormatPr baseColWidth="10" defaultColWidth="11.44140625" defaultRowHeight="10.199999999999999" x14ac:dyDescent="0.2"/>
  <cols>
    <col min="1" max="1" width="18.109375" style="235" customWidth="1"/>
    <col min="2" max="2" width="10.5546875" style="235" customWidth="1"/>
    <col min="3" max="3" width="17.33203125" style="235" customWidth="1"/>
    <col min="4" max="4" width="10.109375" style="235" customWidth="1"/>
    <col min="5" max="5" width="15.5546875" style="235" customWidth="1"/>
    <col min="6" max="6" width="11" style="235" customWidth="1"/>
    <col min="7" max="7" width="15" style="235" customWidth="1"/>
    <col min="8" max="8" width="10.44140625" style="235" customWidth="1"/>
    <col min="9" max="9" width="15.33203125" style="235" customWidth="1"/>
    <col min="10" max="10" width="11.33203125" style="235" customWidth="1"/>
    <col min="11" max="11" width="16.109375" style="235" customWidth="1"/>
    <col min="12" max="12" width="11" style="235" customWidth="1"/>
    <col min="13" max="13" width="16.5546875" style="235" customWidth="1"/>
    <col min="14" max="14" width="11.33203125" style="235" customWidth="1"/>
    <col min="15" max="15" width="15.88671875" style="235" customWidth="1"/>
    <col min="16" max="16" width="10.44140625" style="235" customWidth="1"/>
    <col min="17" max="17" width="15.44140625" style="235" customWidth="1"/>
    <col min="18" max="16384" width="11.44140625" style="235"/>
  </cols>
  <sheetData>
    <row r="2" spans="1:17" ht="12" x14ac:dyDescent="0.2">
      <c r="A2" s="305" t="s">
        <v>583</v>
      </c>
      <c r="B2" s="305"/>
      <c r="C2" s="305"/>
      <c r="D2" s="305"/>
      <c r="E2" s="305"/>
      <c r="F2" s="305"/>
      <c r="G2" s="305"/>
      <c r="H2" s="305"/>
      <c r="I2" s="305"/>
      <c r="J2" s="305"/>
      <c r="K2" s="305"/>
      <c r="L2" s="305"/>
      <c r="M2" s="2"/>
    </row>
    <row r="3" spans="1:17" x14ac:dyDescent="0.2">
      <c r="A3" s="2"/>
      <c r="B3" s="2"/>
      <c r="C3" s="2"/>
      <c r="D3" s="2"/>
      <c r="E3" s="2"/>
      <c r="F3" s="2"/>
      <c r="G3" s="2"/>
      <c r="H3" s="2"/>
      <c r="I3" s="2"/>
      <c r="J3" s="2"/>
      <c r="K3" s="2"/>
      <c r="L3" s="2"/>
      <c r="M3" s="2"/>
    </row>
    <row r="4" spans="1:17" ht="69.75" customHeight="1" x14ac:dyDescent="0.2">
      <c r="A4" s="240" t="s">
        <v>584</v>
      </c>
      <c r="B4" s="241" t="s">
        <v>42</v>
      </c>
      <c r="C4" s="241"/>
      <c r="D4" s="276" t="s">
        <v>552</v>
      </c>
      <c r="E4" s="276"/>
      <c r="F4" s="276" t="s">
        <v>553</v>
      </c>
      <c r="G4" s="276"/>
      <c r="H4" s="276" t="s">
        <v>585</v>
      </c>
      <c r="I4" s="276"/>
      <c r="J4" s="276" t="s">
        <v>586</v>
      </c>
      <c r="K4" s="276"/>
      <c r="L4" s="276" t="s">
        <v>587</v>
      </c>
      <c r="M4" s="276"/>
      <c r="N4" s="276" t="s">
        <v>588</v>
      </c>
      <c r="O4" s="276"/>
      <c r="P4" s="276" t="s">
        <v>589</v>
      </c>
      <c r="Q4" s="276"/>
    </row>
    <row r="5" spans="1:17" ht="30.75" customHeight="1" x14ac:dyDescent="0.2">
      <c r="A5" s="245"/>
      <c r="B5" s="246" t="s">
        <v>558</v>
      </c>
      <c r="C5" s="246" t="s">
        <v>559</v>
      </c>
      <c r="D5" s="246" t="s">
        <v>558</v>
      </c>
      <c r="E5" s="246" t="s">
        <v>559</v>
      </c>
      <c r="F5" s="246" t="s">
        <v>558</v>
      </c>
      <c r="G5" s="246" t="s">
        <v>559</v>
      </c>
      <c r="H5" s="246" t="s">
        <v>558</v>
      </c>
      <c r="I5" s="246" t="s">
        <v>559</v>
      </c>
      <c r="J5" s="246" t="s">
        <v>558</v>
      </c>
      <c r="K5" s="246" t="s">
        <v>559</v>
      </c>
      <c r="L5" s="246" t="s">
        <v>558</v>
      </c>
      <c r="M5" s="246" t="s">
        <v>559</v>
      </c>
      <c r="N5" s="246" t="s">
        <v>558</v>
      </c>
      <c r="O5" s="246" t="s">
        <v>559</v>
      </c>
      <c r="P5" s="246" t="s">
        <v>558</v>
      </c>
      <c r="Q5" s="246" t="s">
        <v>559</v>
      </c>
    </row>
    <row r="6" spans="1:17" s="283" customFormat="1" x14ac:dyDescent="0.2">
      <c r="A6" s="283" t="s">
        <v>3</v>
      </c>
      <c r="B6" s="300">
        <f>SUM(D6+F6+H6+J6+L6+N6+P6)</f>
        <v>473</v>
      </c>
      <c r="C6" s="300">
        <f>SUM(E6+G6+I6+K6+M6+O6+Q6)</f>
        <v>2712437775</v>
      </c>
      <c r="D6" s="300">
        <f>SUM(D7:D22)</f>
        <v>55</v>
      </c>
      <c r="E6" s="300">
        <f>SUM(E7:E22)</f>
        <v>168498474</v>
      </c>
      <c r="F6" s="300">
        <f t="shared" ref="F6:Q6" si="0">SUM(F7:F22)</f>
        <v>10</v>
      </c>
      <c r="G6" s="300">
        <f t="shared" si="0"/>
        <v>124895100</v>
      </c>
      <c r="H6" s="300">
        <f>SUM(H7:H22)</f>
        <v>139</v>
      </c>
      <c r="I6" s="300">
        <f>SUM(I7:I22)</f>
        <v>402569112</v>
      </c>
      <c r="J6" s="300">
        <f t="shared" si="0"/>
        <v>90</v>
      </c>
      <c r="K6" s="300">
        <f t="shared" si="0"/>
        <v>558741740</v>
      </c>
      <c r="L6" s="300">
        <f t="shared" si="0"/>
        <v>119</v>
      </c>
      <c r="M6" s="300">
        <f t="shared" si="0"/>
        <v>1311497215</v>
      </c>
      <c r="N6" s="300">
        <f t="shared" si="0"/>
        <v>51</v>
      </c>
      <c r="O6" s="300">
        <f t="shared" si="0"/>
        <v>129201786</v>
      </c>
      <c r="P6" s="300">
        <f t="shared" si="0"/>
        <v>9</v>
      </c>
      <c r="Q6" s="300">
        <f t="shared" si="0"/>
        <v>17034348</v>
      </c>
    </row>
    <row r="7" spans="1:17" x14ac:dyDescent="0.2">
      <c r="A7" s="301" t="s">
        <v>4</v>
      </c>
      <c r="B7" s="300">
        <f t="shared" ref="B7:C22" si="1">SUM(D7+F7+H7+J7+L7+N7+P7)</f>
        <v>7</v>
      </c>
      <c r="C7" s="300">
        <f t="shared" si="1"/>
        <v>18733938</v>
      </c>
      <c r="D7" s="302">
        <v>2</v>
      </c>
      <c r="E7" s="302">
        <v>4271938</v>
      </c>
      <c r="F7" s="302">
        <v>0</v>
      </c>
      <c r="G7" s="302">
        <v>0</v>
      </c>
      <c r="H7" s="302">
        <v>2</v>
      </c>
      <c r="I7" s="302">
        <v>7591110</v>
      </c>
      <c r="J7" s="302">
        <v>0</v>
      </c>
      <c r="K7" s="302">
        <v>0</v>
      </c>
      <c r="L7" s="302">
        <v>1</v>
      </c>
      <c r="M7" s="302">
        <v>4998290</v>
      </c>
      <c r="N7" s="302">
        <v>2</v>
      </c>
      <c r="O7" s="302">
        <v>1872600</v>
      </c>
      <c r="P7" s="302">
        <v>0</v>
      </c>
      <c r="Q7" s="302">
        <v>0</v>
      </c>
    </row>
    <row r="8" spans="1:17" x14ac:dyDescent="0.2">
      <c r="A8" s="301" t="s">
        <v>5</v>
      </c>
      <c r="B8" s="300">
        <f t="shared" si="1"/>
        <v>7</v>
      </c>
      <c r="C8" s="300">
        <f t="shared" si="1"/>
        <v>39964466</v>
      </c>
      <c r="D8" s="302">
        <v>0</v>
      </c>
      <c r="E8" s="302">
        <v>0</v>
      </c>
      <c r="F8" s="302">
        <v>1</v>
      </c>
      <c r="G8" s="302">
        <v>8220000</v>
      </c>
      <c r="H8" s="302">
        <v>2</v>
      </c>
      <c r="I8" s="302">
        <v>5550000</v>
      </c>
      <c r="J8" s="302">
        <v>0</v>
      </c>
      <c r="K8" s="302">
        <v>0</v>
      </c>
      <c r="L8" s="302">
        <v>4</v>
      </c>
      <c r="M8" s="302">
        <v>26194466</v>
      </c>
      <c r="N8" s="302">
        <v>0</v>
      </c>
      <c r="O8" s="302">
        <v>0</v>
      </c>
      <c r="P8" s="302">
        <v>0</v>
      </c>
      <c r="Q8" s="302">
        <v>0</v>
      </c>
    </row>
    <row r="9" spans="1:17" x14ac:dyDescent="0.2">
      <c r="A9" s="301" t="s">
        <v>6</v>
      </c>
      <c r="B9" s="300">
        <f t="shared" si="1"/>
        <v>4</v>
      </c>
      <c r="C9" s="300">
        <f t="shared" si="1"/>
        <v>8883753</v>
      </c>
      <c r="D9" s="302">
        <v>1</v>
      </c>
      <c r="E9" s="302">
        <v>550000</v>
      </c>
      <c r="F9" s="302">
        <v>0</v>
      </c>
      <c r="G9" s="302">
        <v>0</v>
      </c>
      <c r="H9" s="302">
        <v>1</v>
      </c>
      <c r="I9" s="302">
        <v>2000000</v>
      </c>
      <c r="J9" s="302">
        <v>0</v>
      </c>
      <c r="K9" s="302">
        <v>0</v>
      </c>
      <c r="L9" s="302">
        <v>1</v>
      </c>
      <c r="M9" s="302">
        <v>3425000</v>
      </c>
      <c r="N9" s="302">
        <v>1</v>
      </c>
      <c r="O9" s="302">
        <v>2908753</v>
      </c>
      <c r="P9" s="302">
        <v>0</v>
      </c>
      <c r="Q9" s="302">
        <v>0</v>
      </c>
    </row>
    <row r="10" spans="1:17" x14ac:dyDescent="0.2">
      <c r="A10" s="301" t="s">
        <v>7</v>
      </c>
      <c r="B10" s="300">
        <f t="shared" si="1"/>
        <v>5</v>
      </c>
      <c r="C10" s="300">
        <f t="shared" si="1"/>
        <v>11429189</v>
      </c>
      <c r="D10" s="302">
        <v>0</v>
      </c>
      <c r="E10" s="302">
        <v>0</v>
      </c>
      <c r="F10" s="302">
        <v>0</v>
      </c>
      <c r="G10" s="302">
        <v>0</v>
      </c>
      <c r="H10" s="302">
        <v>0</v>
      </c>
      <c r="I10" s="302">
        <v>0</v>
      </c>
      <c r="J10" s="302">
        <v>0</v>
      </c>
      <c r="K10" s="302">
        <v>0</v>
      </c>
      <c r="L10" s="302">
        <v>4</v>
      </c>
      <c r="M10" s="302">
        <v>10589001</v>
      </c>
      <c r="N10" s="302">
        <v>1</v>
      </c>
      <c r="O10" s="302">
        <v>840188</v>
      </c>
      <c r="P10" s="302">
        <v>0</v>
      </c>
      <c r="Q10" s="302">
        <v>0</v>
      </c>
    </row>
    <row r="11" spans="1:17" x14ac:dyDescent="0.2">
      <c r="A11" s="301" t="s">
        <v>8</v>
      </c>
      <c r="B11" s="300">
        <f t="shared" si="1"/>
        <v>12</v>
      </c>
      <c r="C11" s="300">
        <f t="shared" si="1"/>
        <v>67288935</v>
      </c>
      <c r="D11" s="302">
        <v>2</v>
      </c>
      <c r="E11" s="302">
        <v>14073255</v>
      </c>
      <c r="F11" s="302">
        <v>0</v>
      </c>
      <c r="G11" s="302">
        <v>0</v>
      </c>
      <c r="H11" s="302">
        <v>2</v>
      </c>
      <c r="I11" s="302">
        <v>7600000</v>
      </c>
      <c r="J11" s="302">
        <v>1</v>
      </c>
      <c r="K11" s="302">
        <v>4700000</v>
      </c>
      <c r="L11" s="302">
        <v>7</v>
      </c>
      <c r="M11" s="302">
        <v>40915680</v>
      </c>
      <c r="N11" s="302">
        <v>0</v>
      </c>
      <c r="O11" s="302">
        <v>0</v>
      </c>
      <c r="P11" s="302">
        <v>0</v>
      </c>
      <c r="Q11" s="302">
        <v>0</v>
      </c>
    </row>
    <row r="12" spans="1:17" x14ac:dyDescent="0.2">
      <c r="A12" s="301" t="s">
        <v>9</v>
      </c>
      <c r="B12" s="300">
        <f t="shared" si="1"/>
        <v>74</v>
      </c>
      <c r="C12" s="300">
        <f t="shared" si="1"/>
        <v>461652229</v>
      </c>
      <c r="D12" s="302">
        <v>5</v>
      </c>
      <c r="E12" s="302">
        <v>16654790</v>
      </c>
      <c r="F12" s="302">
        <v>3</v>
      </c>
      <c r="G12" s="302">
        <v>29759700</v>
      </c>
      <c r="H12" s="302">
        <v>19</v>
      </c>
      <c r="I12" s="302">
        <v>45632438</v>
      </c>
      <c r="J12" s="302">
        <v>28</v>
      </c>
      <c r="K12" s="302">
        <v>133462600</v>
      </c>
      <c r="L12" s="302">
        <v>16</v>
      </c>
      <c r="M12" s="302">
        <v>231079745</v>
      </c>
      <c r="N12" s="302">
        <v>3</v>
      </c>
      <c r="O12" s="302">
        <v>5062956</v>
      </c>
      <c r="P12" s="302">
        <v>0</v>
      </c>
      <c r="Q12" s="302">
        <v>0</v>
      </c>
    </row>
    <row r="13" spans="1:17" x14ac:dyDescent="0.2">
      <c r="A13" s="301" t="s">
        <v>10</v>
      </c>
      <c r="B13" s="300">
        <f t="shared" si="1"/>
        <v>15</v>
      </c>
      <c r="C13" s="300">
        <f t="shared" si="1"/>
        <v>49273256</v>
      </c>
      <c r="D13" s="302">
        <v>4</v>
      </c>
      <c r="E13" s="302">
        <v>3511000</v>
      </c>
      <c r="F13" s="302">
        <v>0</v>
      </c>
      <c r="G13" s="302">
        <v>0</v>
      </c>
      <c r="H13" s="302">
        <v>3</v>
      </c>
      <c r="I13" s="302">
        <v>7303342</v>
      </c>
      <c r="J13" s="302">
        <v>1</v>
      </c>
      <c r="K13" s="302">
        <v>10000000</v>
      </c>
      <c r="L13" s="302">
        <v>7</v>
      </c>
      <c r="M13" s="302">
        <v>28458914</v>
      </c>
      <c r="N13" s="302">
        <v>0</v>
      </c>
      <c r="O13" s="302">
        <v>0</v>
      </c>
      <c r="P13" s="302">
        <v>0</v>
      </c>
      <c r="Q13" s="302">
        <v>0</v>
      </c>
    </row>
    <row r="14" spans="1:17" x14ac:dyDescent="0.2">
      <c r="A14" s="301" t="s">
        <v>134</v>
      </c>
      <c r="B14" s="300">
        <f t="shared" si="1"/>
        <v>19</v>
      </c>
      <c r="C14" s="300">
        <f t="shared" si="1"/>
        <v>169916783</v>
      </c>
      <c r="D14" s="302">
        <v>2</v>
      </c>
      <c r="E14" s="302">
        <v>4362044</v>
      </c>
      <c r="F14" s="302">
        <v>1</v>
      </c>
      <c r="G14" s="302">
        <v>14713400</v>
      </c>
      <c r="H14" s="302">
        <v>4</v>
      </c>
      <c r="I14" s="302">
        <v>12999992</v>
      </c>
      <c r="J14" s="302">
        <v>1</v>
      </c>
      <c r="K14" s="302">
        <v>9968108</v>
      </c>
      <c r="L14" s="302">
        <v>10</v>
      </c>
      <c r="M14" s="302">
        <v>126097575</v>
      </c>
      <c r="N14" s="302">
        <v>1</v>
      </c>
      <c r="O14" s="302">
        <v>1775664</v>
      </c>
      <c r="P14" s="302">
        <v>0</v>
      </c>
      <c r="Q14" s="302">
        <v>0</v>
      </c>
    </row>
    <row r="15" spans="1:17" x14ac:dyDescent="0.2">
      <c r="A15" s="301" t="s">
        <v>12</v>
      </c>
      <c r="B15" s="300">
        <f t="shared" si="1"/>
        <v>18</v>
      </c>
      <c r="C15" s="300">
        <f t="shared" si="1"/>
        <v>129072248</v>
      </c>
      <c r="D15" s="302">
        <v>2</v>
      </c>
      <c r="E15" s="302">
        <v>3772360</v>
      </c>
      <c r="F15" s="302">
        <v>1</v>
      </c>
      <c r="G15" s="302">
        <v>13410000</v>
      </c>
      <c r="H15" s="302">
        <v>6</v>
      </c>
      <c r="I15" s="302">
        <v>16641590</v>
      </c>
      <c r="J15" s="302">
        <v>4</v>
      </c>
      <c r="K15" s="302">
        <v>32599809</v>
      </c>
      <c r="L15" s="302">
        <v>5</v>
      </c>
      <c r="M15" s="302">
        <v>62648489</v>
      </c>
      <c r="N15" s="302">
        <v>0</v>
      </c>
      <c r="O15" s="302">
        <v>0</v>
      </c>
      <c r="P15" s="302">
        <v>0</v>
      </c>
      <c r="Q15" s="302">
        <v>0</v>
      </c>
    </row>
    <row r="16" spans="1:17" x14ac:dyDescent="0.2">
      <c r="A16" s="301" t="s">
        <v>13</v>
      </c>
      <c r="B16" s="300">
        <f t="shared" si="1"/>
        <v>18</v>
      </c>
      <c r="C16" s="300">
        <f t="shared" si="1"/>
        <v>165100272</v>
      </c>
      <c r="D16" s="302">
        <v>2</v>
      </c>
      <c r="E16" s="302">
        <v>1370000</v>
      </c>
      <c r="F16" s="302">
        <v>0</v>
      </c>
      <c r="G16" s="302">
        <v>0</v>
      </c>
      <c r="H16" s="302">
        <v>3</v>
      </c>
      <c r="I16" s="302">
        <v>6786500</v>
      </c>
      <c r="J16" s="302">
        <v>5</v>
      </c>
      <c r="K16" s="302">
        <v>27525218</v>
      </c>
      <c r="L16" s="302">
        <v>8</v>
      </c>
      <c r="M16" s="302">
        <v>129418554</v>
      </c>
      <c r="N16" s="302">
        <v>0</v>
      </c>
      <c r="O16" s="302">
        <v>0</v>
      </c>
      <c r="P16" s="302">
        <v>0</v>
      </c>
      <c r="Q16" s="302">
        <v>0</v>
      </c>
    </row>
    <row r="17" spans="1:17" x14ac:dyDescent="0.2">
      <c r="A17" s="301" t="s">
        <v>47</v>
      </c>
      <c r="B17" s="300">
        <f t="shared" si="1"/>
        <v>23</v>
      </c>
      <c r="C17" s="300">
        <f t="shared" si="1"/>
        <v>95965408</v>
      </c>
      <c r="D17" s="302">
        <v>5</v>
      </c>
      <c r="E17" s="302">
        <v>10062877</v>
      </c>
      <c r="F17" s="302">
        <v>0</v>
      </c>
      <c r="G17" s="302">
        <v>0</v>
      </c>
      <c r="H17" s="302">
        <v>2</v>
      </c>
      <c r="I17" s="302">
        <v>7600000</v>
      </c>
      <c r="J17" s="302">
        <v>6</v>
      </c>
      <c r="K17" s="302">
        <v>28649374</v>
      </c>
      <c r="L17" s="302">
        <v>8</v>
      </c>
      <c r="M17" s="302">
        <v>47714904</v>
      </c>
      <c r="N17" s="302">
        <v>2</v>
      </c>
      <c r="O17" s="302">
        <v>1938253</v>
      </c>
      <c r="P17" s="302">
        <v>0</v>
      </c>
      <c r="Q17" s="302">
        <v>0</v>
      </c>
    </row>
    <row r="18" spans="1:17" x14ac:dyDescent="0.2">
      <c r="A18" s="301" t="s">
        <v>135</v>
      </c>
      <c r="B18" s="300">
        <f t="shared" si="1"/>
        <v>18</v>
      </c>
      <c r="C18" s="300">
        <f t="shared" si="1"/>
        <v>172562300</v>
      </c>
      <c r="D18" s="302">
        <v>2</v>
      </c>
      <c r="E18" s="302">
        <v>12095390</v>
      </c>
      <c r="F18" s="302">
        <v>1</v>
      </c>
      <c r="G18" s="302">
        <v>15000000</v>
      </c>
      <c r="H18" s="302">
        <v>2</v>
      </c>
      <c r="I18" s="302">
        <v>7599996</v>
      </c>
      <c r="J18" s="302">
        <v>4</v>
      </c>
      <c r="K18" s="302">
        <v>22414126</v>
      </c>
      <c r="L18" s="302">
        <v>9</v>
      </c>
      <c r="M18" s="302">
        <v>115452788</v>
      </c>
      <c r="N18" s="302">
        <v>0</v>
      </c>
      <c r="O18" s="302">
        <v>0</v>
      </c>
      <c r="P18" s="302">
        <v>0</v>
      </c>
      <c r="Q18" s="302">
        <v>0</v>
      </c>
    </row>
    <row r="19" spans="1:17" x14ac:dyDescent="0.2">
      <c r="A19" s="301" t="s">
        <v>136</v>
      </c>
      <c r="B19" s="300">
        <f t="shared" si="1"/>
        <v>10</v>
      </c>
      <c r="C19" s="300">
        <f t="shared" si="1"/>
        <v>38012301</v>
      </c>
      <c r="D19" s="302">
        <v>3</v>
      </c>
      <c r="E19" s="302">
        <v>2151000</v>
      </c>
      <c r="F19" s="302">
        <v>0</v>
      </c>
      <c r="G19" s="302">
        <v>0</v>
      </c>
      <c r="H19" s="302">
        <v>2</v>
      </c>
      <c r="I19" s="302">
        <v>7600000</v>
      </c>
      <c r="J19" s="302">
        <v>1</v>
      </c>
      <c r="K19" s="302">
        <v>2966000</v>
      </c>
      <c r="L19" s="302">
        <v>4</v>
      </c>
      <c r="M19" s="302">
        <v>25295301</v>
      </c>
      <c r="N19" s="302">
        <v>0</v>
      </c>
      <c r="O19" s="302">
        <v>0</v>
      </c>
      <c r="P19" s="302">
        <v>0</v>
      </c>
      <c r="Q19" s="302">
        <v>0</v>
      </c>
    </row>
    <row r="20" spans="1:17" x14ac:dyDescent="0.2">
      <c r="A20" s="301" t="s">
        <v>17</v>
      </c>
      <c r="B20" s="300">
        <f t="shared" si="1"/>
        <v>9</v>
      </c>
      <c r="C20" s="300">
        <f t="shared" si="1"/>
        <v>44061744</v>
      </c>
      <c r="D20" s="302">
        <v>3</v>
      </c>
      <c r="E20" s="302">
        <v>7140392</v>
      </c>
      <c r="F20" s="302">
        <v>0</v>
      </c>
      <c r="G20" s="302">
        <v>0</v>
      </c>
      <c r="H20" s="302">
        <v>2</v>
      </c>
      <c r="I20" s="302">
        <v>3750000</v>
      </c>
      <c r="J20" s="302">
        <v>1</v>
      </c>
      <c r="K20" s="302">
        <v>4429750</v>
      </c>
      <c r="L20" s="302">
        <v>3</v>
      </c>
      <c r="M20" s="302">
        <v>28741602</v>
      </c>
      <c r="N20" s="302">
        <v>0</v>
      </c>
      <c r="O20" s="302">
        <v>0</v>
      </c>
      <c r="P20" s="302">
        <v>0</v>
      </c>
      <c r="Q20" s="302">
        <v>0</v>
      </c>
    </row>
    <row r="21" spans="1:17" x14ac:dyDescent="0.2">
      <c r="A21" s="235" t="s">
        <v>18</v>
      </c>
      <c r="B21" s="300">
        <f t="shared" si="1"/>
        <v>217</v>
      </c>
      <c r="C21" s="300">
        <f t="shared" si="1"/>
        <v>1172936781</v>
      </c>
      <c r="D21" s="302">
        <v>21</v>
      </c>
      <c r="E21" s="302">
        <v>61933844</v>
      </c>
      <c r="F21" s="302">
        <v>3</v>
      </c>
      <c r="G21" s="302">
        <v>43792000</v>
      </c>
      <c r="H21" s="302">
        <v>83</v>
      </c>
      <c r="I21" s="302">
        <v>250353748</v>
      </c>
      <c r="J21" s="302">
        <v>37</v>
      </c>
      <c r="K21" s="302">
        <v>272611675</v>
      </c>
      <c r="L21" s="302">
        <v>32</v>
      </c>
      <c r="M21" s="302">
        <v>430466906</v>
      </c>
      <c r="N21" s="302">
        <v>37</v>
      </c>
      <c r="O21" s="302">
        <v>105944260</v>
      </c>
      <c r="P21" s="302">
        <v>4</v>
      </c>
      <c r="Q21" s="302">
        <v>7834348</v>
      </c>
    </row>
    <row r="22" spans="1:17" ht="12" x14ac:dyDescent="0.2">
      <c r="A22" s="235" t="s">
        <v>590</v>
      </c>
      <c r="B22" s="300">
        <f t="shared" si="1"/>
        <v>17</v>
      </c>
      <c r="C22" s="300">
        <f t="shared" si="1"/>
        <v>67584172</v>
      </c>
      <c r="D22" s="302">
        <v>1</v>
      </c>
      <c r="E22" s="302">
        <v>26549584</v>
      </c>
      <c r="F22" s="302">
        <v>0</v>
      </c>
      <c r="G22" s="302">
        <v>0</v>
      </c>
      <c r="H22" s="302">
        <v>6</v>
      </c>
      <c r="I22" s="302">
        <v>13560396</v>
      </c>
      <c r="J22" s="302">
        <v>1</v>
      </c>
      <c r="K22" s="302">
        <v>9415080</v>
      </c>
      <c r="L22" s="302">
        <v>0</v>
      </c>
      <c r="M22" s="302">
        <v>0</v>
      </c>
      <c r="N22" s="302">
        <v>4</v>
      </c>
      <c r="O22" s="302">
        <v>8859112</v>
      </c>
      <c r="P22" s="302">
        <v>5</v>
      </c>
      <c r="Q22" s="302">
        <v>9200000</v>
      </c>
    </row>
    <row r="24" spans="1:17" ht="17.25" customHeight="1" x14ac:dyDescent="0.2">
      <c r="A24" s="306" t="s">
        <v>591</v>
      </c>
      <c r="B24" s="306"/>
      <c r="C24" s="306"/>
      <c r="D24" s="306"/>
      <c r="E24" s="306"/>
      <c r="F24" s="306"/>
      <c r="G24" s="306"/>
      <c r="H24" s="306"/>
      <c r="I24" s="306"/>
      <c r="J24" s="306"/>
      <c r="K24" s="306"/>
      <c r="L24" s="306"/>
      <c r="M24" s="306"/>
      <c r="N24" s="306"/>
      <c r="O24" s="306"/>
    </row>
    <row r="25" spans="1:17" ht="15.75" customHeight="1" x14ac:dyDescent="0.2">
      <c r="A25" s="307" t="s">
        <v>592</v>
      </c>
      <c r="B25" s="307"/>
      <c r="C25" s="307"/>
      <c r="D25" s="307"/>
      <c r="E25" s="307"/>
      <c r="F25" s="307"/>
      <c r="G25" s="307"/>
      <c r="H25" s="307"/>
      <c r="I25" s="307"/>
      <c r="J25" s="307"/>
      <c r="K25" s="307"/>
      <c r="L25" s="307"/>
      <c r="M25" s="307"/>
      <c r="N25" s="307"/>
      <c r="O25" s="307"/>
    </row>
    <row r="26" spans="1:17" ht="14.25" customHeight="1" x14ac:dyDescent="0.2">
      <c r="A26" s="2" t="s">
        <v>593</v>
      </c>
      <c r="B26" s="2"/>
      <c r="C26" s="2"/>
      <c r="D26" s="2"/>
      <c r="E26" s="2"/>
      <c r="F26" s="2"/>
      <c r="G26" s="2"/>
      <c r="H26" s="2"/>
      <c r="I26" s="2"/>
      <c r="J26" s="2"/>
      <c r="K26" s="2"/>
      <c r="L26" s="2"/>
      <c r="M26" s="2"/>
    </row>
    <row r="27" spans="1:17" ht="13.5" customHeight="1" x14ac:dyDescent="0.2">
      <c r="A27" s="244" t="s">
        <v>594</v>
      </c>
      <c r="B27" s="2"/>
      <c r="C27" s="2"/>
      <c r="D27" s="2"/>
      <c r="E27" s="2"/>
      <c r="F27" s="2"/>
      <c r="G27" s="2"/>
      <c r="H27" s="2"/>
      <c r="I27" s="2"/>
      <c r="J27" s="2"/>
      <c r="K27" s="2"/>
      <c r="L27" s="2"/>
      <c r="M27" s="2"/>
    </row>
    <row r="28" spans="1:17" ht="12.75" customHeight="1" x14ac:dyDescent="0.2">
      <c r="A28" s="235" t="s">
        <v>595</v>
      </c>
    </row>
    <row r="29" spans="1:17" ht="14.25" customHeight="1" x14ac:dyDescent="0.2">
      <c r="A29" s="296" t="s">
        <v>19</v>
      </c>
      <c r="B29" s="296"/>
      <c r="C29" s="287"/>
      <c r="D29" s="287"/>
      <c r="E29" s="287"/>
      <c r="F29" s="287"/>
      <c r="G29" s="287"/>
      <c r="H29" s="287"/>
      <c r="I29" s="287"/>
      <c r="J29" s="287"/>
      <c r="K29" s="287"/>
      <c r="L29" s="287"/>
      <c r="M29" s="287"/>
      <c r="N29" s="287"/>
      <c r="O29" s="287"/>
    </row>
    <row r="30" spans="1:17" ht="14.25" customHeight="1" x14ac:dyDescent="0.2">
      <c r="A30" s="235" t="s">
        <v>546</v>
      </c>
      <c r="J30" s="2"/>
      <c r="K30" s="2"/>
      <c r="L30" s="2"/>
      <c r="M30" s="2"/>
    </row>
  </sheetData>
  <mergeCells count="13">
    <mergeCell ref="N4:O4"/>
    <mergeCell ref="P4:Q4"/>
    <mergeCell ref="A24:O24"/>
    <mergeCell ref="A25:O25"/>
    <mergeCell ref="A29:B29"/>
    <mergeCell ref="A2:L2"/>
    <mergeCell ref="A4:A5"/>
    <mergeCell ref="B4:C4"/>
    <mergeCell ref="D4:E4"/>
    <mergeCell ref="F4:G4"/>
    <mergeCell ref="H4:I4"/>
    <mergeCell ref="J4:K4"/>
    <mergeCell ref="L4:M4"/>
  </mergeCells>
  <pageMargins left="0.25" right="0.25" top="0.75" bottom="0.75" header="0.3" footer="0.3"/>
  <pageSetup paperSize="14" scale="70" orientation="landscape" r:id="rId1"/>
  <headerFooter alignWithMargins="0"/>
</worksheet>
</file>

<file path=xl/worksheets/sheet3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BA17A-7183-43B6-8D7D-2D7F596894D9}">
  <sheetPr codeName="Hoja310"/>
  <dimension ref="A1:I34"/>
  <sheetViews>
    <sheetView workbookViewId="0">
      <selection activeCell="F37" sqref="F37"/>
    </sheetView>
  </sheetViews>
  <sheetFormatPr baseColWidth="10" defaultRowHeight="13.2" x14ac:dyDescent="0.25"/>
  <cols>
    <col min="1" max="1" width="49.88671875" customWidth="1"/>
  </cols>
  <sheetData>
    <row r="1" spans="1:9" x14ac:dyDescent="0.25">
      <c r="A1" s="1009"/>
    </row>
    <row r="2" spans="1:9" s="2" customFormat="1" ht="32.25" customHeight="1" x14ac:dyDescent="0.2">
      <c r="A2" s="308" t="s">
        <v>3534</v>
      </c>
      <c r="B2" s="308"/>
      <c r="C2" s="308"/>
      <c r="D2" s="308"/>
      <c r="E2" s="624"/>
      <c r="F2" s="624"/>
      <c r="G2" s="720"/>
      <c r="H2" s="335"/>
      <c r="I2" s="720"/>
    </row>
    <row r="3" spans="1:9" s="2" customFormat="1" ht="10.199999999999999" x14ac:dyDescent="0.2"/>
    <row r="4" spans="1:9" s="2" customFormat="1" ht="12.75" customHeight="1" x14ac:dyDescent="0.2">
      <c r="A4" s="323" t="s">
        <v>3535</v>
      </c>
      <c r="B4" s="323" t="s">
        <v>3536</v>
      </c>
      <c r="C4" s="323"/>
      <c r="D4" s="323"/>
      <c r="H4" s="1681"/>
    </row>
    <row r="5" spans="1:9" s="2" customFormat="1" ht="10.199999999999999" x14ac:dyDescent="0.2">
      <c r="A5" s="323"/>
      <c r="B5" s="621">
        <v>2011</v>
      </c>
      <c r="C5" s="441">
        <v>2012</v>
      </c>
      <c r="D5" s="621">
        <v>2013</v>
      </c>
      <c r="E5" s="1681"/>
      <c r="G5" s="363"/>
      <c r="H5" s="363"/>
      <c r="I5" s="363"/>
    </row>
    <row r="6" spans="1:9" s="2" customFormat="1" ht="10.199999999999999" x14ac:dyDescent="0.2">
      <c r="A6" s="624" t="s">
        <v>1127</v>
      </c>
      <c r="B6" s="1682">
        <f>SUM(B7:B29)</f>
        <v>267920</v>
      </c>
      <c r="C6" s="1682">
        <f>SUM(C7:C29)</f>
        <v>768870</v>
      </c>
      <c r="D6" s="1682">
        <f>SUM(D7:D29)</f>
        <v>902015</v>
      </c>
      <c r="E6" s="363"/>
      <c r="F6" s="363"/>
      <c r="G6" s="1683"/>
      <c r="H6" s="1684"/>
      <c r="I6" s="643"/>
    </row>
    <row r="7" spans="1:9" s="2" customFormat="1" ht="10.199999999999999" x14ac:dyDescent="0.2">
      <c r="A7" s="702" t="s">
        <v>3537</v>
      </c>
      <c r="B7" s="1683">
        <v>3455</v>
      </c>
      <c r="C7" s="1684">
        <v>3992</v>
      </c>
      <c r="D7" s="643">
        <v>5813</v>
      </c>
      <c r="E7" s="1684"/>
      <c r="F7" s="643"/>
      <c r="G7" s="1683"/>
      <c r="H7" s="1684"/>
      <c r="I7" s="643"/>
    </row>
    <row r="8" spans="1:9" s="2" customFormat="1" ht="10.199999999999999" x14ac:dyDescent="0.2">
      <c r="A8" s="651" t="s">
        <v>3538</v>
      </c>
      <c r="B8" s="1683">
        <v>180378</v>
      </c>
      <c r="C8" s="1684">
        <v>181267</v>
      </c>
      <c r="D8" s="643">
        <v>203062</v>
      </c>
      <c r="E8" s="1684"/>
      <c r="F8" s="643"/>
      <c r="G8" s="1683"/>
      <c r="H8" s="1684"/>
      <c r="I8" s="643"/>
    </row>
    <row r="9" spans="1:9" s="2" customFormat="1" ht="10.199999999999999" x14ac:dyDescent="0.2">
      <c r="A9" s="702" t="s">
        <v>3539</v>
      </c>
      <c r="B9" s="1683">
        <v>176</v>
      </c>
      <c r="C9" s="1684">
        <v>128</v>
      </c>
      <c r="D9" s="643">
        <v>126</v>
      </c>
      <c r="E9" s="1684"/>
      <c r="F9" s="643"/>
      <c r="G9" s="1683"/>
      <c r="H9" s="1684"/>
      <c r="I9" s="643"/>
    </row>
    <row r="10" spans="1:9" s="2" customFormat="1" ht="10.199999999999999" x14ac:dyDescent="0.2">
      <c r="A10" s="702" t="s">
        <v>3540</v>
      </c>
      <c r="B10" s="1683">
        <v>3706</v>
      </c>
      <c r="C10" s="1684">
        <v>5438</v>
      </c>
      <c r="D10" s="643">
        <v>8008</v>
      </c>
      <c r="E10" s="1684"/>
      <c r="F10" s="643"/>
      <c r="G10" s="1683"/>
      <c r="H10" s="1684"/>
      <c r="I10" s="643"/>
    </row>
    <row r="11" spans="1:9" s="2" customFormat="1" ht="10.199999999999999" x14ac:dyDescent="0.2">
      <c r="A11" s="651" t="s">
        <v>3541</v>
      </c>
      <c r="B11" s="1683">
        <v>11910</v>
      </c>
      <c r="C11" s="1684">
        <v>13185</v>
      </c>
      <c r="D11" s="643">
        <v>24699</v>
      </c>
      <c r="E11" s="1684"/>
      <c r="F11" s="643"/>
      <c r="G11" s="1683"/>
      <c r="H11" s="1684"/>
      <c r="I11" s="643"/>
    </row>
    <row r="12" spans="1:9" s="2" customFormat="1" ht="10.199999999999999" x14ac:dyDescent="0.2">
      <c r="A12" s="651" t="s">
        <v>3542</v>
      </c>
      <c r="B12" s="1685" t="s">
        <v>193</v>
      </c>
      <c r="C12" s="1684" t="s">
        <v>193</v>
      </c>
      <c r="D12" s="643">
        <v>1360</v>
      </c>
      <c r="E12" s="1684"/>
      <c r="F12" s="643"/>
      <c r="G12" s="1683"/>
      <c r="H12" s="1684"/>
      <c r="I12" s="643"/>
    </row>
    <row r="13" spans="1:9" s="2" customFormat="1" ht="10.199999999999999" x14ac:dyDescent="0.2">
      <c r="A13" s="651" t="s">
        <v>3543</v>
      </c>
      <c r="B13" s="1683">
        <v>48695</v>
      </c>
      <c r="C13" s="1684">
        <v>131406</v>
      </c>
      <c r="D13" s="643">
        <v>110016</v>
      </c>
      <c r="E13" s="1684"/>
      <c r="F13" s="643"/>
      <c r="H13" s="1684"/>
      <c r="I13" s="643"/>
    </row>
    <row r="14" spans="1:9" s="2" customFormat="1" ht="10.199999999999999" x14ac:dyDescent="0.2">
      <c r="A14" s="702" t="s">
        <v>3544</v>
      </c>
      <c r="B14" s="1685" t="s">
        <v>193</v>
      </c>
      <c r="C14" s="1684">
        <v>11566</v>
      </c>
      <c r="D14" s="643">
        <v>10484</v>
      </c>
      <c r="E14" s="1684"/>
      <c r="F14" s="643"/>
      <c r="H14" s="1684"/>
      <c r="I14" s="643"/>
    </row>
    <row r="15" spans="1:9" s="2" customFormat="1" ht="10.199999999999999" x14ac:dyDescent="0.2">
      <c r="A15" s="651" t="s">
        <v>3545</v>
      </c>
      <c r="B15" s="1685" t="s">
        <v>193</v>
      </c>
      <c r="C15" s="1684">
        <v>24302</v>
      </c>
      <c r="D15" s="643">
        <v>28351</v>
      </c>
      <c r="E15" s="1684"/>
      <c r="F15" s="643"/>
      <c r="H15" s="1684"/>
      <c r="I15" s="643"/>
    </row>
    <row r="16" spans="1:9" s="2" customFormat="1" ht="10.199999999999999" x14ac:dyDescent="0.2">
      <c r="A16" s="651" t="s">
        <v>3546</v>
      </c>
      <c r="B16" s="1685" t="s">
        <v>193</v>
      </c>
      <c r="C16" s="1684">
        <v>37055</v>
      </c>
      <c r="D16" s="643">
        <v>41178</v>
      </c>
      <c r="E16" s="1684"/>
      <c r="F16" s="643"/>
      <c r="H16" s="1684"/>
      <c r="I16" s="643"/>
    </row>
    <row r="17" spans="1:9" s="2" customFormat="1" ht="10.199999999999999" x14ac:dyDescent="0.2">
      <c r="A17" s="651" t="s">
        <v>3547</v>
      </c>
      <c r="B17" s="1685" t="s">
        <v>193</v>
      </c>
      <c r="C17" s="1684">
        <v>8151</v>
      </c>
      <c r="D17" s="643">
        <v>8920</v>
      </c>
      <c r="E17" s="1684"/>
      <c r="F17" s="643"/>
      <c r="H17" s="1684"/>
      <c r="I17" s="643"/>
    </row>
    <row r="18" spans="1:9" s="2" customFormat="1" ht="10.199999999999999" x14ac:dyDescent="0.2">
      <c r="A18" s="651" t="s">
        <v>3548</v>
      </c>
      <c r="B18" s="1685" t="s">
        <v>193</v>
      </c>
      <c r="C18" s="1684">
        <v>15729</v>
      </c>
      <c r="D18" s="643">
        <v>22231</v>
      </c>
      <c r="E18" s="1684"/>
      <c r="F18" s="643"/>
      <c r="H18" s="1684"/>
      <c r="I18" s="643"/>
    </row>
    <row r="19" spans="1:9" s="2" customFormat="1" ht="10.199999999999999" x14ac:dyDescent="0.2">
      <c r="A19" s="651" t="s">
        <v>3549</v>
      </c>
      <c r="B19" s="1685" t="s">
        <v>193</v>
      </c>
      <c r="C19" s="1684">
        <v>82948</v>
      </c>
      <c r="D19" s="643">
        <v>102418</v>
      </c>
      <c r="E19" s="1684"/>
      <c r="F19" s="643"/>
      <c r="H19" s="1684"/>
      <c r="I19" s="643"/>
    </row>
    <row r="20" spans="1:9" s="2" customFormat="1" ht="10.199999999999999" x14ac:dyDescent="0.2">
      <c r="A20" s="651" t="s">
        <v>3550</v>
      </c>
      <c r="B20" s="1685" t="s">
        <v>193</v>
      </c>
      <c r="C20" s="1684">
        <v>11903</v>
      </c>
      <c r="D20" s="643">
        <v>26680</v>
      </c>
      <c r="E20" s="1684"/>
      <c r="F20" s="643"/>
      <c r="H20" s="1684"/>
      <c r="I20" s="643"/>
    </row>
    <row r="21" spans="1:9" s="2" customFormat="1" ht="10.199999999999999" x14ac:dyDescent="0.2">
      <c r="A21" s="651" t="s">
        <v>3551</v>
      </c>
      <c r="B21" s="1685" t="s">
        <v>193</v>
      </c>
      <c r="C21" s="1684">
        <v>2204</v>
      </c>
      <c r="D21" s="643">
        <v>3466</v>
      </c>
      <c r="E21" s="1684"/>
      <c r="F21" s="643"/>
      <c r="H21" s="1684"/>
      <c r="I21" s="643"/>
    </row>
    <row r="22" spans="1:9" s="2" customFormat="1" ht="10.199999999999999" x14ac:dyDescent="0.2">
      <c r="A22" s="651" t="s">
        <v>3552</v>
      </c>
      <c r="B22" s="1685" t="s">
        <v>193</v>
      </c>
      <c r="C22" s="1684">
        <v>79764</v>
      </c>
      <c r="D22" s="643">
        <v>116595</v>
      </c>
      <c r="E22" s="1684"/>
      <c r="F22" s="643"/>
      <c r="H22" s="1684"/>
      <c r="I22" s="643"/>
    </row>
    <row r="23" spans="1:9" s="2" customFormat="1" ht="10.199999999999999" x14ac:dyDescent="0.2">
      <c r="A23" s="651" t="s">
        <v>3553</v>
      </c>
      <c r="B23" s="1685" t="s">
        <v>193</v>
      </c>
      <c r="C23" s="1684">
        <v>47613</v>
      </c>
      <c r="D23" s="643">
        <v>24860</v>
      </c>
      <c r="E23" s="1684"/>
      <c r="F23" s="643"/>
      <c r="H23" s="1684"/>
      <c r="I23" s="643"/>
    </row>
    <row r="24" spans="1:9" s="2" customFormat="1" ht="10.199999999999999" x14ac:dyDescent="0.2">
      <c r="A24" s="651" t="s">
        <v>3554</v>
      </c>
      <c r="B24" s="1685" t="s">
        <v>193</v>
      </c>
      <c r="C24" s="1684">
        <v>20386</v>
      </c>
      <c r="D24" s="643">
        <v>23466</v>
      </c>
      <c r="E24" s="1684"/>
      <c r="F24" s="643"/>
      <c r="H24" s="1684"/>
      <c r="I24" s="643"/>
    </row>
    <row r="25" spans="1:9" s="2" customFormat="1" ht="10.199999999999999" x14ac:dyDescent="0.2">
      <c r="A25" s="651" t="s">
        <v>3555</v>
      </c>
      <c r="B25" s="1685" t="s">
        <v>193</v>
      </c>
      <c r="C25" s="1684">
        <v>91833</v>
      </c>
      <c r="D25" s="643">
        <v>113641</v>
      </c>
      <c r="E25" s="1684"/>
      <c r="F25" s="643"/>
      <c r="H25" s="1684"/>
      <c r="I25" s="643"/>
    </row>
    <row r="26" spans="1:9" s="2" customFormat="1" ht="10.199999999999999" x14ac:dyDescent="0.2">
      <c r="A26" s="651" t="s">
        <v>3556</v>
      </c>
      <c r="B26" s="646" t="s">
        <v>193</v>
      </c>
      <c r="C26" s="1684" t="s">
        <v>193</v>
      </c>
      <c r="D26" s="643">
        <v>26641</v>
      </c>
      <c r="E26" s="1684"/>
      <c r="F26" s="643"/>
      <c r="G26" s="1683"/>
      <c r="H26" s="1684"/>
    </row>
    <row r="27" spans="1:9" s="2" customFormat="1" ht="10.199999999999999" x14ac:dyDescent="0.2">
      <c r="A27" s="2" t="s">
        <v>3557</v>
      </c>
      <c r="B27" s="1683">
        <v>1504</v>
      </c>
      <c r="C27" s="1684" t="s">
        <v>193</v>
      </c>
      <c r="D27" s="1684" t="s">
        <v>193</v>
      </c>
      <c r="E27" s="1684"/>
      <c r="G27" s="1683"/>
      <c r="H27" s="1684"/>
    </row>
    <row r="28" spans="1:9" s="2" customFormat="1" ht="10.199999999999999" x14ac:dyDescent="0.2">
      <c r="A28" s="2" t="s">
        <v>3558</v>
      </c>
      <c r="B28" s="1683">
        <v>17988</v>
      </c>
      <c r="C28" s="1684" t="s">
        <v>193</v>
      </c>
      <c r="D28" s="1684" t="s">
        <v>193</v>
      </c>
      <c r="E28" s="1684"/>
      <c r="G28" s="1683"/>
      <c r="H28" s="1684"/>
    </row>
    <row r="29" spans="1:9" s="2" customFormat="1" ht="10.199999999999999" x14ac:dyDescent="0.2">
      <c r="A29" s="2" t="s">
        <v>3559</v>
      </c>
      <c r="B29" s="1683">
        <v>108</v>
      </c>
      <c r="C29" s="1684" t="s">
        <v>193</v>
      </c>
      <c r="D29" s="1684" t="s">
        <v>193</v>
      </c>
      <c r="E29" s="1684"/>
      <c r="H29" s="1684"/>
    </row>
    <row r="30" spans="1:9" s="2" customFormat="1" ht="5.25" customHeight="1" x14ac:dyDescent="0.2">
      <c r="B30" s="1680"/>
      <c r="C30" s="655"/>
      <c r="E30" s="1684"/>
      <c r="H30" s="1684"/>
    </row>
    <row r="31" spans="1:9" s="2" customFormat="1" ht="22.5" customHeight="1" x14ac:dyDescent="0.2">
      <c r="A31" s="639" t="s">
        <v>3560</v>
      </c>
      <c r="B31" s="639"/>
      <c r="C31" s="639"/>
      <c r="D31" s="639"/>
      <c r="E31" s="1684"/>
      <c r="H31" s="1684"/>
    </row>
    <row r="32" spans="1:9" s="2" customFormat="1" ht="24" customHeight="1" x14ac:dyDescent="0.2">
      <c r="A32" s="639" t="s">
        <v>3561</v>
      </c>
      <c r="B32" s="639"/>
      <c r="C32" s="639"/>
      <c r="D32" s="639"/>
      <c r="E32" s="702"/>
      <c r="F32" s="702"/>
      <c r="H32" s="1686"/>
    </row>
    <row r="33" spans="1:8" s="2" customFormat="1" ht="10.199999999999999" x14ac:dyDescent="0.2">
      <c r="A33" s="652" t="s">
        <v>1313</v>
      </c>
      <c r="B33" s="652"/>
      <c r="C33" s="652"/>
      <c r="D33" s="652"/>
      <c r="E33" s="702"/>
      <c r="F33" s="702"/>
      <c r="H33" s="1686"/>
    </row>
    <row r="34" spans="1:8" s="2" customFormat="1" ht="10.199999999999999" x14ac:dyDescent="0.2">
      <c r="A34" s="745" t="s">
        <v>3533</v>
      </c>
      <c r="B34" s="745"/>
      <c r="C34" s="745"/>
      <c r="D34" s="745"/>
      <c r="E34" s="1684"/>
      <c r="G34" s="1683"/>
      <c r="H34" s="1684"/>
    </row>
  </sheetData>
  <mergeCells count="7">
    <mergeCell ref="A34:D34"/>
    <mergeCell ref="A2:D2"/>
    <mergeCell ref="A4:A5"/>
    <mergeCell ref="B4:D4"/>
    <mergeCell ref="A31:D31"/>
    <mergeCell ref="A32:D32"/>
    <mergeCell ref="A33:D33"/>
  </mergeCells>
  <pageMargins left="0.7" right="0.7" top="0.75" bottom="0.75" header="0.3" footer="0.3"/>
  <pageSetup paperSize="14" orientation="landscape" r:id="rId1"/>
</worksheet>
</file>

<file path=xl/worksheets/sheet3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E428F-1BA0-4926-9C00-EF35D0B7DDDF}">
  <sheetPr codeName="Hoja311"/>
  <dimension ref="A1:K18"/>
  <sheetViews>
    <sheetView zoomScale="140" zoomScaleNormal="140" workbookViewId="0">
      <selection activeCell="F37" sqref="F37"/>
    </sheetView>
  </sheetViews>
  <sheetFormatPr baseColWidth="10" defaultRowHeight="13.2" x14ac:dyDescent="0.25"/>
  <cols>
    <col min="1" max="1" width="36.109375" customWidth="1"/>
    <col min="2" max="3" width="15.33203125" customWidth="1"/>
  </cols>
  <sheetData>
    <row r="1" spans="1:11" x14ac:dyDescent="0.25">
      <c r="A1" s="1009"/>
    </row>
    <row r="2" spans="1:11" s="2" customFormat="1" ht="24.75" customHeight="1" x14ac:dyDescent="0.2">
      <c r="A2" s="236" t="s">
        <v>3562</v>
      </c>
      <c r="B2" s="236"/>
      <c r="C2" s="236"/>
      <c r="D2" s="337"/>
      <c r="E2" s="337"/>
      <c r="F2" s="337"/>
      <c r="G2" s="335"/>
      <c r="H2" s="988"/>
      <c r="I2" s="988"/>
      <c r="J2" s="988"/>
      <c r="K2" s="988"/>
    </row>
    <row r="3" spans="1:11" s="2" customFormat="1" ht="11.25" customHeight="1" x14ac:dyDescent="0.2">
      <c r="A3" s="662"/>
      <c r="B3" s="662"/>
      <c r="C3" s="662"/>
      <c r="D3" s="337"/>
      <c r="E3" s="337"/>
      <c r="F3" s="337"/>
      <c r="G3" s="335"/>
      <c r="H3" s="988"/>
      <c r="I3" s="988"/>
      <c r="J3" s="988"/>
      <c r="K3" s="988"/>
    </row>
    <row r="4" spans="1:11" s="324" customFormat="1" ht="19.5" customHeight="1" x14ac:dyDescent="0.25">
      <c r="A4" s="1254" t="s">
        <v>3563</v>
      </c>
      <c r="B4" s="1687" t="s">
        <v>3564</v>
      </c>
      <c r="C4" s="1687"/>
      <c r="D4" s="1688"/>
      <c r="E4" s="1688"/>
      <c r="F4" s="1688"/>
    </row>
    <row r="5" spans="1:11" s="324" customFormat="1" ht="19.5" customHeight="1" x14ac:dyDescent="0.25">
      <c r="A5" s="1255"/>
      <c r="B5" s="441">
        <v>2012</v>
      </c>
      <c r="C5" s="621">
        <v>2013</v>
      </c>
      <c r="E5" s="1689"/>
      <c r="J5" s="1689"/>
    </row>
    <row r="6" spans="1:11" s="2" customFormat="1" ht="10.199999999999999" x14ac:dyDescent="0.2">
      <c r="A6" s="1690" t="s">
        <v>3</v>
      </c>
      <c r="B6" s="1691">
        <f>SUM(B7:B12)</f>
        <v>1374</v>
      </c>
      <c r="C6" s="1691">
        <f>SUM(C7:C12)</f>
        <v>9876</v>
      </c>
      <c r="E6" s="1692"/>
      <c r="F6" s="1692"/>
      <c r="G6" s="1692"/>
      <c r="H6" s="655"/>
      <c r="J6" s="1692"/>
      <c r="K6" s="1692"/>
    </row>
    <row r="7" spans="1:11" s="2" customFormat="1" ht="10.199999999999999" x14ac:dyDescent="0.2">
      <c r="A7" s="794" t="s">
        <v>3541</v>
      </c>
      <c r="B7" s="1693">
        <v>83</v>
      </c>
      <c r="C7" s="643">
        <v>738</v>
      </c>
      <c r="E7" s="578"/>
      <c r="G7" s="578"/>
      <c r="H7" s="655"/>
      <c r="J7" s="578"/>
    </row>
    <row r="8" spans="1:11" s="2" customFormat="1" ht="10.199999999999999" x14ac:dyDescent="0.2">
      <c r="A8" s="794" t="s">
        <v>3538</v>
      </c>
      <c r="B8" s="1693">
        <v>348</v>
      </c>
      <c r="C8" s="643">
        <v>7180</v>
      </c>
      <c r="E8" s="578"/>
      <c r="G8" s="578"/>
      <c r="H8" s="655"/>
      <c r="J8" s="578"/>
    </row>
    <row r="9" spans="1:11" s="2" customFormat="1" ht="10.199999999999999" x14ac:dyDescent="0.2">
      <c r="A9" s="794" t="s">
        <v>3540</v>
      </c>
      <c r="B9" s="1693">
        <v>192</v>
      </c>
      <c r="C9" s="643">
        <v>360</v>
      </c>
      <c r="E9" s="578"/>
      <c r="G9" s="578"/>
      <c r="H9" s="655"/>
      <c r="J9" s="578"/>
    </row>
    <row r="10" spans="1:11" s="2" customFormat="1" ht="12" x14ac:dyDescent="0.2">
      <c r="A10" s="794" t="s">
        <v>3565</v>
      </c>
      <c r="B10" s="1693" t="s">
        <v>193</v>
      </c>
      <c r="C10" s="643">
        <v>455</v>
      </c>
      <c r="E10" s="578"/>
      <c r="G10" s="578"/>
      <c r="H10" s="655"/>
      <c r="J10" s="578"/>
    </row>
    <row r="11" spans="1:11" s="2" customFormat="1" ht="10.199999999999999" x14ac:dyDescent="0.2">
      <c r="A11" s="794" t="s">
        <v>3566</v>
      </c>
      <c r="B11" s="1693">
        <v>142</v>
      </c>
      <c r="C11" s="643">
        <v>142</v>
      </c>
      <c r="E11" s="578"/>
      <c r="G11" s="578"/>
      <c r="J11" s="578"/>
    </row>
    <row r="12" spans="1:11" s="2" customFormat="1" ht="10.199999999999999" x14ac:dyDescent="0.2">
      <c r="A12" s="794" t="s">
        <v>3567</v>
      </c>
      <c r="B12" s="1693">
        <v>609</v>
      </c>
      <c r="C12" s="643">
        <v>1001</v>
      </c>
      <c r="E12" s="578"/>
      <c r="G12" s="578"/>
      <c r="J12" s="578"/>
    </row>
    <row r="13" spans="1:11" s="2" customFormat="1" ht="4.5" customHeight="1" x14ac:dyDescent="0.2">
      <c r="A13" s="794"/>
      <c r="B13" s="1694"/>
      <c r="C13" s="1020"/>
      <c r="E13" s="578"/>
      <c r="G13" s="578"/>
      <c r="J13" s="578"/>
    </row>
    <row r="14" spans="1:11" s="2" customFormat="1" ht="21.75" customHeight="1" x14ac:dyDescent="0.2">
      <c r="A14" s="639" t="s">
        <v>3568</v>
      </c>
      <c r="B14" s="639"/>
      <c r="C14" s="639"/>
      <c r="F14" s="702"/>
      <c r="G14" s="702"/>
    </row>
    <row r="15" spans="1:11" s="2" customFormat="1" ht="21.75" customHeight="1" x14ac:dyDescent="0.2">
      <c r="A15" s="639" t="s">
        <v>3569</v>
      </c>
      <c r="B15" s="639"/>
      <c r="C15" s="639"/>
      <c r="F15" s="702"/>
      <c r="G15" s="702"/>
    </row>
    <row r="16" spans="1:11" s="2" customFormat="1" ht="10.199999999999999" x14ac:dyDescent="0.2">
      <c r="A16" s="652" t="s">
        <v>1313</v>
      </c>
      <c r="B16" s="652"/>
      <c r="C16" s="652"/>
      <c r="D16" s="309"/>
      <c r="F16" s="702"/>
      <c r="G16" s="702"/>
    </row>
    <row r="17" spans="1:7" s="2" customFormat="1" ht="10.199999999999999" x14ac:dyDescent="0.2">
      <c r="A17" s="2" t="s">
        <v>3533</v>
      </c>
      <c r="B17" s="797"/>
      <c r="G17" s="797"/>
    </row>
    <row r="18" spans="1:7" s="2" customFormat="1" ht="10.199999999999999" x14ac:dyDescent="0.2">
      <c r="B18" s="797"/>
    </row>
  </sheetData>
  <mergeCells count="6">
    <mergeCell ref="A2:C2"/>
    <mergeCell ref="A4:A5"/>
    <mergeCell ref="B4:C4"/>
    <mergeCell ref="A14:C14"/>
    <mergeCell ref="A15:C15"/>
    <mergeCell ref="A16:C16"/>
  </mergeCells>
  <pageMargins left="0.7" right="0.7" top="0.75" bottom="0.75" header="0.3" footer="0.3"/>
  <pageSetup paperSize="14" orientation="landscape" r:id="rId1"/>
</worksheet>
</file>

<file path=xl/worksheets/sheet3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4685B2-622B-4132-95E8-3B2911A9BC05}">
  <sheetPr codeName="Hoja312"/>
  <dimension ref="A1:J87"/>
  <sheetViews>
    <sheetView workbookViewId="0">
      <selection activeCell="F37" sqref="F37"/>
    </sheetView>
  </sheetViews>
  <sheetFormatPr baseColWidth="10" defaultColWidth="11.44140625" defaultRowHeight="13.2" x14ac:dyDescent="0.25"/>
  <cols>
    <col min="1" max="1" width="32.6640625" customWidth="1"/>
  </cols>
  <sheetData>
    <row r="1" spans="1:10" x14ac:dyDescent="0.25">
      <c r="A1" s="1009"/>
    </row>
    <row r="2" spans="1:10" s="2" customFormat="1" ht="31.5" customHeight="1" x14ac:dyDescent="0.2">
      <c r="A2" s="234" t="s">
        <v>3495</v>
      </c>
      <c r="B2" s="234"/>
      <c r="C2" s="234"/>
      <c r="D2" s="234"/>
      <c r="E2" s="624"/>
      <c r="F2" s="308"/>
      <c r="G2" s="308"/>
      <c r="H2" s="308"/>
      <c r="I2" s="308"/>
      <c r="J2" s="309"/>
    </row>
    <row r="3" spans="1:10" s="2" customFormat="1" ht="10.199999999999999" x14ac:dyDescent="0.2">
      <c r="A3" s="335"/>
      <c r="B3" s="335"/>
      <c r="C3" s="335"/>
      <c r="D3" s="335"/>
      <c r="E3" s="624"/>
      <c r="F3" s="335"/>
      <c r="G3" s="335"/>
      <c r="H3" s="335"/>
      <c r="I3" s="335"/>
      <c r="J3" s="309"/>
    </row>
    <row r="4" spans="1:10" s="2" customFormat="1" ht="15.75" customHeight="1" x14ac:dyDescent="0.2">
      <c r="A4" s="275" t="s">
        <v>3570</v>
      </c>
      <c r="B4" s="685" t="s">
        <v>3571</v>
      </c>
      <c r="C4" s="685"/>
      <c r="D4" s="685"/>
    </row>
    <row r="5" spans="1:10" s="2" customFormat="1" ht="15.75" customHeight="1" x14ac:dyDescent="0.2">
      <c r="A5" s="277"/>
      <c r="B5" s="1264" t="s">
        <v>42</v>
      </c>
      <c r="C5" s="1264" t="s">
        <v>122</v>
      </c>
      <c r="D5" s="1264" t="s">
        <v>123</v>
      </c>
    </row>
    <row r="6" spans="1:10" s="2" customFormat="1" ht="10.199999999999999" x14ac:dyDescent="0.2">
      <c r="A6" s="484" t="s">
        <v>1127</v>
      </c>
      <c r="B6" s="1206">
        <f>SUM(C6:D6)</f>
        <v>309</v>
      </c>
      <c r="C6" s="1206">
        <f>SUM(C7+C9+C12+C14+C16+C21+C26+C55+C60+C66+C71+C75+C77+C80+C82)</f>
        <v>212</v>
      </c>
      <c r="D6" s="1206">
        <f>SUM(D7+D9+D12+D14+D16+D21+D26+D55+D60+D66+D71+D75+D77+D80+D82)</f>
        <v>97</v>
      </c>
    </row>
    <row r="7" spans="1:10" s="2" customFormat="1" ht="10.199999999999999" x14ac:dyDescent="0.2">
      <c r="A7" s="1438" t="s">
        <v>4</v>
      </c>
      <c r="B7" s="1206">
        <f>SUM(B8)</f>
        <v>2</v>
      </c>
      <c r="C7" s="1206">
        <f>SUM(C8)</f>
        <v>2</v>
      </c>
      <c r="D7" s="1206">
        <f>SUM(D8)</f>
        <v>0</v>
      </c>
    </row>
    <row r="8" spans="1:10" s="2" customFormat="1" ht="10.199999999999999" x14ac:dyDescent="0.2">
      <c r="A8" s="816" t="s">
        <v>3572</v>
      </c>
      <c r="B8" s="1206">
        <f>SUM(C8:D8)</f>
        <v>2</v>
      </c>
      <c r="C8" s="1047">
        <v>2</v>
      </c>
      <c r="D8" s="1047">
        <v>0</v>
      </c>
    </row>
    <row r="9" spans="1:10" s="2" customFormat="1" ht="10.199999999999999" x14ac:dyDescent="0.2">
      <c r="A9" s="1695" t="s">
        <v>5</v>
      </c>
      <c r="B9" s="1206">
        <f>SUM(B10:B11)</f>
        <v>0</v>
      </c>
      <c r="C9" s="1206">
        <f>SUM(C10:C11)</f>
        <v>0</v>
      </c>
      <c r="D9" s="1206">
        <f>SUM(D10:D11)</f>
        <v>0</v>
      </c>
    </row>
    <row r="10" spans="1:10" s="2" customFormat="1" ht="10.199999999999999" x14ac:dyDescent="0.2">
      <c r="A10" s="816" t="s">
        <v>3573</v>
      </c>
      <c r="B10" s="1206">
        <f t="shared" ref="B10:D11" si="0">SUM(C10:D10)</f>
        <v>0</v>
      </c>
      <c r="C10" s="815">
        <f t="shared" si="0"/>
        <v>0</v>
      </c>
      <c r="D10" s="815">
        <f t="shared" si="0"/>
        <v>0</v>
      </c>
    </row>
    <row r="11" spans="1:10" s="2" customFormat="1" ht="10.199999999999999" x14ac:dyDescent="0.2">
      <c r="A11" s="816" t="s">
        <v>3574</v>
      </c>
      <c r="B11" s="1206">
        <f t="shared" si="0"/>
        <v>0</v>
      </c>
      <c r="C11" s="815">
        <f t="shared" si="0"/>
        <v>0</v>
      </c>
      <c r="D11" s="815">
        <f t="shared" si="0"/>
        <v>0</v>
      </c>
    </row>
    <row r="12" spans="1:10" s="2" customFormat="1" ht="10.199999999999999" x14ac:dyDescent="0.2">
      <c r="A12" s="1438" t="s">
        <v>6</v>
      </c>
      <c r="B12" s="1206">
        <f>SUM(B13)</f>
        <v>1</v>
      </c>
      <c r="C12" s="1206">
        <f>SUM(C13)</f>
        <v>0</v>
      </c>
      <c r="D12" s="1206">
        <f>SUM(D13)</f>
        <v>1</v>
      </c>
    </row>
    <row r="13" spans="1:10" s="2" customFormat="1" ht="10.199999999999999" x14ac:dyDescent="0.2">
      <c r="A13" s="816" t="s">
        <v>3574</v>
      </c>
      <c r="B13" s="1206">
        <f>SUM(C13:D13)</f>
        <v>1</v>
      </c>
      <c r="C13" s="1047">
        <v>0</v>
      </c>
      <c r="D13" s="1047">
        <v>1</v>
      </c>
    </row>
    <row r="14" spans="1:10" s="2" customFormat="1" ht="10.199999999999999" x14ac:dyDescent="0.2">
      <c r="A14" s="1438" t="s">
        <v>7</v>
      </c>
      <c r="B14" s="1206">
        <f>SUM(B15)</f>
        <v>1</v>
      </c>
      <c r="C14" s="1206">
        <f>SUM(C15)</f>
        <v>0</v>
      </c>
      <c r="D14" s="1206">
        <f>SUM(D15)</f>
        <v>1</v>
      </c>
    </row>
    <row r="15" spans="1:10" s="2" customFormat="1" ht="10.199999999999999" x14ac:dyDescent="0.2">
      <c r="A15" s="816" t="s">
        <v>3572</v>
      </c>
      <c r="B15" s="1206">
        <f>SUM(C15:D15)</f>
        <v>1</v>
      </c>
      <c r="C15" s="1047">
        <v>0</v>
      </c>
      <c r="D15" s="1047">
        <v>1</v>
      </c>
    </row>
    <row r="16" spans="1:10" s="2" customFormat="1" ht="10.199999999999999" x14ac:dyDescent="0.2">
      <c r="A16" s="1695" t="s">
        <v>8</v>
      </c>
      <c r="B16" s="1206">
        <f>SUM(B17:B20)</f>
        <v>4</v>
      </c>
      <c r="C16" s="1206">
        <f>SUM(C17:C20)</f>
        <v>1</v>
      </c>
      <c r="D16" s="1206">
        <f>SUM(D17:D20)</f>
        <v>3</v>
      </c>
    </row>
    <row r="17" spans="1:4" s="2" customFormat="1" ht="10.199999999999999" x14ac:dyDescent="0.2">
      <c r="A17" s="816" t="s">
        <v>3572</v>
      </c>
      <c r="B17" s="1206">
        <f>SUM(C17:D17)</f>
        <v>1</v>
      </c>
      <c r="C17" s="1047">
        <v>0</v>
      </c>
      <c r="D17" s="1047">
        <v>1</v>
      </c>
    </row>
    <row r="18" spans="1:4" s="2" customFormat="1" ht="10.199999999999999" x14ac:dyDescent="0.2">
      <c r="A18" s="816" t="s">
        <v>3575</v>
      </c>
      <c r="B18" s="1206">
        <f>SUM(C18:D18)</f>
        <v>1</v>
      </c>
      <c r="C18" s="1047">
        <v>0</v>
      </c>
      <c r="D18" s="1047">
        <v>1</v>
      </c>
    </row>
    <row r="19" spans="1:4" s="2" customFormat="1" ht="10.199999999999999" x14ac:dyDescent="0.2">
      <c r="A19" s="816" t="s">
        <v>3573</v>
      </c>
      <c r="B19" s="1206">
        <f>SUM(C19:D19)</f>
        <v>1</v>
      </c>
      <c r="C19" s="1047">
        <v>1</v>
      </c>
      <c r="D19" s="1047">
        <v>0</v>
      </c>
    </row>
    <row r="20" spans="1:4" s="2" customFormat="1" ht="10.199999999999999" x14ac:dyDescent="0.2">
      <c r="A20" s="816" t="s">
        <v>3576</v>
      </c>
      <c r="B20" s="1206">
        <f>SUM(C20:D20)</f>
        <v>1</v>
      </c>
      <c r="C20" s="1047">
        <v>0</v>
      </c>
      <c r="D20" s="1047">
        <v>1</v>
      </c>
    </row>
    <row r="21" spans="1:4" s="2" customFormat="1" ht="10.199999999999999" x14ac:dyDescent="0.2">
      <c r="A21" s="810" t="s">
        <v>9</v>
      </c>
      <c r="B21" s="1206">
        <f>SUM(B22:B25)</f>
        <v>7</v>
      </c>
      <c r="C21" s="1206">
        <f>SUM(C22:C25)</f>
        <v>6</v>
      </c>
      <c r="D21" s="1206">
        <f>SUM(D22:D25)</f>
        <v>1</v>
      </c>
    </row>
    <row r="22" spans="1:4" s="2" customFormat="1" ht="10.199999999999999" x14ac:dyDescent="0.2">
      <c r="A22" s="816" t="s">
        <v>3577</v>
      </c>
      <c r="B22" s="1206">
        <f>SUM(C22:D22)</f>
        <v>4</v>
      </c>
      <c r="C22" s="1047">
        <v>4</v>
      </c>
      <c r="D22" s="1047">
        <v>0</v>
      </c>
    </row>
    <row r="23" spans="1:4" s="2" customFormat="1" ht="10.199999999999999" x14ac:dyDescent="0.2">
      <c r="A23" s="816" t="s">
        <v>3578</v>
      </c>
      <c r="B23" s="1206">
        <f>SUM(C23:D23)</f>
        <v>1</v>
      </c>
      <c r="C23" s="1047">
        <v>0</v>
      </c>
      <c r="D23" s="1047">
        <v>1</v>
      </c>
    </row>
    <row r="24" spans="1:4" s="2" customFormat="1" ht="10.199999999999999" x14ac:dyDescent="0.2">
      <c r="A24" s="816" t="s">
        <v>3579</v>
      </c>
      <c r="B24" s="1206">
        <f>SUM(C24:D24)</f>
        <v>1</v>
      </c>
      <c r="C24" s="1047">
        <v>1</v>
      </c>
      <c r="D24" s="1047">
        <v>0</v>
      </c>
    </row>
    <row r="25" spans="1:4" s="2" customFormat="1" ht="10.199999999999999" x14ac:dyDescent="0.2">
      <c r="A25" s="816" t="s">
        <v>3580</v>
      </c>
      <c r="B25" s="1206">
        <f>SUM(C25:D25)</f>
        <v>1</v>
      </c>
      <c r="C25" s="1047">
        <v>1</v>
      </c>
      <c r="D25" s="1047">
        <v>0</v>
      </c>
    </row>
    <row r="26" spans="1:4" s="2" customFormat="1" ht="10.199999999999999" x14ac:dyDescent="0.2">
      <c r="A26" s="1696" t="s">
        <v>10</v>
      </c>
      <c r="B26" s="1206">
        <f>SUM(B27:B54)</f>
        <v>226</v>
      </c>
      <c r="C26" s="1206">
        <f>SUM(C27:C54)</f>
        <v>144</v>
      </c>
      <c r="D26" s="1206">
        <f>SUM(D27:D54)</f>
        <v>82</v>
      </c>
    </row>
    <row r="27" spans="1:4" s="2" customFormat="1" ht="10.199999999999999" x14ac:dyDescent="0.2">
      <c r="A27" s="816" t="s">
        <v>3572</v>
      </c>
      <c r="B27" s="1206">
        <f t="shared" ref="B27:B54" si="1">SUM(C27:D27)</f>
        <v>16</v>
      </c>
      <c r="C27" s="1047">
        <v>10</v>
      </c>
      <c r="D27" s="1047">
        <v>6</v>
      </c>
    </row>
    <row r="28" spans="1:4" s="2" customFormat="1" ht="10.199999999999999" x14ac:dyDescent="0.2">
      <c r="A28" s="816" t="s">
        <v>3577</v>
      </c>
      <c r="B28" s="1206">
        <f t="shared" si="1"/>
        <v>11</v>
      </c>
      <c r="C28" s="1047">
        <v>11</v>
      </c>
      <c r="D28" s="1047">
        <v>0</v>
      </c>
    </row>
    <row r="29" spans="1:4" s="2" customFormat="1" ht="10.199999999999999" x14ac:dyDescent="0.2">
      <c r="A29" s="816" t="s">
        <v>3581</v>
      </c>
      <c r="B29" s="1206">
        <f t="shared" si="1"/>
        <v>7</v>
      </c>
      <c r="C29" s="1047">
        <v>4</v>
      </c>
      <c r="D29" s="1047">
        <v>3</v>
      </c>
    </row>
    <row r="30" spans="1:4" s="2" customFormat="1" ht="10.199999999999999" x14ac:dyDescent="0.2">
      <c r="A30" s="816" t="s">
        <v>3575</v>
      </c>
      <c r="B30" s="1206">
        <f t="shared" si="1"/>
        <v>19</v>
      </c>
      <c r="C30" s="1047">
        <v>11</v>
      </c>
      <c r="D30" s="1047">
        <v>8</v>
      </c>
    </row>
    <row r="31" spans="1:4" s="2" customFormat="1" ht="10.199999999999999" x14ac:dyDescent="0.2">
      <c r="A31" s="816" t="s">
        <v>3582</v>
      </c>
      <c r="B31" s="1206">
        <f t="shared" si="1"/>
        <v>5</v>
      </c>
      <c r="C31" s="1047">
        <v>5</v>
      </c>
      <c r="D31" s="1047">
        <v>0</v>
      </c>
    </row>
    <row r="32" spans="1:4" s="2" customFormat="1" ht="10.199999999999999" x14ac:dyDescent="0.2">
      <c r="A32" s="816" t="s">
        <v>3583</v>
      </c>
      <c r="B32" s="1206">
        <f t="shared" si="1"/>
        <v>11</v>
      </c>
      <c r="C32" s="1047">
        <v>8</v>
      </c>
      <c r="D32" s="1047">
        <v>3</v>
      </c>
    </row>
    <row r="33" spans="1:4" s="2" customFormat="1" ht="10.199999999999999" x14ac:dyDescent="0.2">
      <c r="A33" s="816" t="s">
        <v>3584</v>
      </c>
      <c r="B33" s="1206">
        <f t="shared" si="1"/>
        <v>5</v>
      </c>
      <c r="C33" s="1047">
        <v>2</v>
      </c>
      <c r="D33" s="1047">
        <v>3</v>
      </c>
    </row>
    <row r="34" spans="1:4" s="2" customFormat="1" ht="10.199999999999999" x14ac:dyDescent="0.2">
      <c r="A34" s="816" t="s">
        <v>3578</v>
      </c>
      <c r="B34" s="1206">
        <f t="shared" si="1"/>
        <v>2</v>
      </c>
      <c r="C34" s="1047">
        <v>1</v>
      </c>
      <c r="D34" s="1047">
        <v>1</v>
      </c>
    </row>
    <row r="35" spans="1:4" s="2" customFormat="1" ht="10.199999999999999" x14ac:dyDescent="0.2">
      <c r="A35" s="816" t="s">
        <v>3585</v>
      </c>
      <c r="B35" s="1206">
        <f t="shared" si="1"/>
        <v>36</v>
      </c>
      <c r="C35" s="1047">
        <v>21</v>
      </c>
      <c r="D35" s="1047">
        <v>15</v>
      </c>
    </row>
    <row r="36" spans="1:4" s="2" customFormat="1" ht="10.199999999999999" x14ac:dyDescent="0.2">
      <c r="A36" s="816" t="s">
        <v>3586</v>
      </c>
      <c r="B36" s="1206">
        <f t="shared" si="1"/>
        <v>12</v>
      </c>
      <c r="C36" s="1047">
        <v>8</v>
      </c>
      <c r="D36" s="1047">
        <v>4</v>
      </c>
    </row>
    <row r="37" spans="1:4" s="2" customFormat="1" ht="10.199999999999999" x14ac:dyDescent="0.2">
      <c r="A37" s="816" t="s">
        <v>3574</v>
      </c>
      <c r="B37" s="1206">
        <f t="shared" si="1"/>
        <v>8</v>
      </c>
      <c r="C37" s="1047">
        <v>5</v>
      </c>
      <c r="D37" s="1047">
        <v>3</v>
      </c>
    </row>
    <row r="38" spans="1:4" s="2" customFormat="1" ht="10.199999999999999" x14ac:dyDescent="0.2">
      <c r="A38" s="816" t="s">
        <v>3587</v>
      </c>
      <c r="B38" s="1206">
        <f t="shared" si="1"/>
        <v>18</v>
      </c>
      <c r="C38" s="1047">
        <v>12</v>
      </c>
      <c r="D38" s="1047">
        <v>6</v>
      </c>
    </row>
    <row r="39" spans="1:4" s="2" customFormat="1" ht="10.199999999999999" x14ac:dyDescent="0.2">
      <c r="A39" s="816" t="s">
        <v>3588</v>
      </c>
      <c r="B39" s="1206">
        <f t="shared" si="1"/>
        <v>3</v>
      </c>
      <c r="C39" s="1047">
        <v>3</v>
      </c>
      <c r="D39" s="1047">
        <v>0</v>
      </c>
    </row>
    <row r="40" spans="1:4" s="2" customFormat="1" ht="10.199999999999999" x14ac:dyDescent="0.2">
      <c r="A40" s="816" t="s">
        <v>3573</v>
      </c>
      <c r="B40" s="1206">
        <f t="shared" si="1"/>
        <v>3</v>
      </c>
      <c r="C40" s="1047">
        <v>1</v>
      </c>
      <c r="D40" s="1047">
        <v>2</v>
      </c>
    </row>
    <row r="41" spans="1:4" s="2" customFormat="1" ht="10.199999999999999" x14ac:dyDescent="0.2">
      <c r="A41" s="816" t="s">
        <v>3589</v>
      </c>
      <c r="B41" s="1206">
        <f t="shared" si="1"/>
        <v>2</v>
      </c>
      <c r="C41" s="1047">
        <v>0</v>
      </c>
      <c r="D41" s="1047">
        <v>2</v>
      </c>
    </row>
    <row r="42" spans="1:4" s="2" customFormat="1" ht="10.199999999999999" x14ac:dyDescent="0.2">
      <c r="A42" s="816" t="s">
        <v>3579</v>
      </c>
      <c r="B42" s="1206">
        <f t="shared" si="1"/>
        <v>11</v>
      </c>
      <c r="C42" s="1047">
        <v>11</v>
      </c>
      <c r="D42" s="1047">
        <v>0</v>
      </c>
    </row>
    <row r="43" spans="1:4" s="2" customFormat="1" ht="10.199999999999999" x14ac:dyDescent="0.2">
      <c r="A43" s="816" t="s">
        <v>3590</v>
      </c>
      <c r="B43" s="1206">
        <f t="shared" si="1"/>
        <v>2</v>
      </c>
      <c r="C43" s="1047">
        <v>1</v>
      </c>
      <c r="D43" s="1047">
        <v>1</v>
      </c>
    </row>
    <row r="44" spans="1:4" s="2" customFormat="1" ht="10.199999999999999" x14ac:dyDescent="0.2">
      <c r="A44" s="816" t="s">
        <v>3591</v>
      </c>
      <c r="B44" s="1206">
        <f t="shared" si="1"/>
        <v>10</v>
      </c>
      <c r="C44" s="1047">
        <v>7</v>
      </c>
      <c r="D44" s="1047">
        <v>3</v>
      </c>
    </row>
    <row r="45" spans="1:4" s="2" customFormat="1" ht="10.199999999999999" x14ac:dyDescent="0.2">
      <c r="A45" s="816" t="s">
        <v>3592</v>
      </c>
      <c r="B45" s="1206">
        <f t="shared" si="1"/>
        <v>2</v>
      </c>
      <c r="C45" s="1047">
        <v>0</v>
      </c>
      <c r="D45" s="1047">
        <v>2</v>
      </c>
    </row>
    <row r="46" spans="1:4" s="2" customFormat="1" ht="10.199999999999999" x14ac:dyDescent="0.2">
      <c r="A46" s="816" t="s">
        <v>3593</v>
      </c>
      <c r="B46" s="1206">
        <f t="shared" si="1"/>
        <v>4</v>
      </c>
      <c r="C46" s="1047">
        <v>2</v>
      </c>
      <c r="D46" s="1047">
        <v>2</v>
      </c>
    </row>
    <row r="47" spans="1:4" s="2" customFormat="1" ht="10.199999999999999" x14ac:dyDescent="0.2">
      <c r="A47" s="816" t="s">
        <v>3594</v>
      </c>
      <c r="B47" s="1206">
        <f t="shared" si="1"/>
        <v>10</v>
      </c>
      <c r="C47" s="1047">
        <v>6</v>
      </c>
      <c r="D47" s="1047">
        <v>4</v>
      </c>
    </row>
    <row r="48" spans="1:4" s="2" customFormat="1" ht="10.199999999999999" x14ac:dyDescent="0.2">
      <c r="A48" s="816" t="s">
        <v>3595</v>
      </c>
      <c r="B48" s="1206">
        <f t="shared" si="1"/>
        <v>10</v>
      </c>
      <c r="C48" s="1047">
        <v>4</v>
      </c>
      <c r="D48" s="1047">
        <v>6</v>
      </c>
    </row>
    <row r="49" spans="1:4" s="2" customFormat="1" ht="10.199999999999999" x14ac:dyDescent="0.2">
      <c r="A49" s="816" t="s">
        <v>3596</v>
      </c>
      <c r="B49" s="1206">
        <f t="shared" si="1"/>
        <v>3</v>
      </c>
      <c r="C49" s="1047">
        <v>1</v>
      </c>
      <c r="D49" s="1047">
        <v>2</v>
      </c>
    </row>
    <row r="50" spans="1:4" s="2" customFormat="1" ht="10.199999999999999" x14ac:dyDescent="0.2">
      <c r="A50" s="816" t="s">
        <v>3576</v>
      </c>
      <c r="B50" s="1206">
        <f t="shared" si="1"/>
        <v>4</v>
      </c>
      <c r="C50" s="1047">
        <v>3</v>
      </c>
      <c r="D50" s="1047">
        <v>1</v>
      </c>
    </row>
    <row r="51" spans="1:4" s="2" customFormat="1" ht="10.199999999999999" x14ac:dyDescent="0.2">
      <c r="A51" s="816" t="s">
        <v>3597</v>
      </c>
      <c r="B51" s="1206">
        <f t="shared" si="1"/>
        <v>5</v>
      </c>
      <c r="C51" s="1047">
        <v>3</v>
      </c>
      <c r="D51" s="1047">
        <v>2</v>
      </c>
    </row>
    <row r="52" spans="1:4" s="2" customFormat="1" ht="10.199999999999999" x14ac:dyDescent="0.2">
      <c r="A52" s="816" t="s">
        <v>3598</v>
      </c>
      <c r="B52" s="1206">
        <f t="shared" si="1"/>
        <v>1</v>
      </c>
      <c r="C52" s="1047">
        <v>0</v>
      </c>
      <c r="D52" s="1047">
        <v>1</v>
      </c>
    </row>
    <row r="53" spans="1:4" s="2" customFormat="1" ht="10.199999999999999" x14ac:dyDescent="0.2">
      <c r="A53" s="816" t="s">
        <v>3599</v>
      </c>
      <c r="B53" s="1206">
        <f t="shared" si="1"/>
        <v>4</v>
      </c>
      <c r="C53" s="1047">
        <v>2</v>
      </c>
      <c r="D53" s="1047">
        <v>2</v>
      </c>
    </row>
    <row r="54" spans="1:4" s="2" customFormat="1" ht="10.199999999999999" x14ac:dyDescent="0.2">
      <c r="A54" s="816" t="s">
        <v>3600</v>
      </c>
      <c r="B54" s="1206">
        <f t="shared" si="1"/>
        <v>2</v>
      </c>
      <c r="C54" s="1047">
        <v>2</v>
      </c>
      <c r="D54" s="1047">
        <v>0</v>
      </c>
    </row>
    <row r="55" spans="1:4" s="2" customFormat="1" ht="10.199999999999999" x14ac:dyDescent="0.2">
      <c r="A55" s="1695" t="s">
        <v>1687</v>
      </c>
      <c r="B55" s="1206">
        <f>SUM(B56:B59)</f>
        <v>4</v>
      </c>
      <c r="C55" s="1206">
        <f>SUM(C56:C59)</f>
        <v>4</v>
      </c>
      <c r="D55" s="1206">
        <f>SUM(D56:D59)</f>
        <v>0</v>
      </c>
    </row>
    <row r="56" spans="1:4" s="2" customFormat="1" ht="10.199999999999999" x14ac:dyDescent="0.2">
      <c r="A56" s="816" t="s">
        <v>3572</v>
      </c>
      <c r="B56" s="1206">
        <f>SUM(C56:D56)</f>
        <v>1</v>
      </c>
      <c r="C56" s="1047">
        <v>1</v>
      </c>
      <c r="D56" s="1047">
        <v>0</v>
      </c>
    </row>
    <row r="57" spans="1:4" s="2" customFormat="1" ht="10.199999999999999" x14ac:dyDescent="0.2">
      <c r="A57" s="816" t="s">
        <v>3594</v>
      </c>
      <c r="B57" s="1206">
        <f>SUM(C57:D57)</f>
        <v>1</v>
      </c>
      <c r="C57" s="1047">
        <v>1</v>
      </c>
      <c r="D57" s="1047">
        <v>0</v>
      </c>
    </row>
    <row r="58" spans="1:4" s="2" customFormat="1" ht="10.199999999999999" x14ac:dyDescent="0.2">
      <c r="A58" s="816" t="s">
        <v>3576</v>
      </c>
      <c r="B58" s="1206">
        <f>SUM(C58:D58)</f>
        <v>1</v>
      </c>
      <c r="C58" s="1047">
        <v>1</v>
      </c>
      <c r="D58" s="1047">
        <v>0</v>
      </c>
    </row>
    <row r="59" spans="1:4" s="2" customFormat="1" ht="10.199999999999999" x14ac:dyDescent="0.2">
      <c r="A59" s="816" t="s">
        <v>3575</v>
      </c>
      <c r="B59" s="1206">
        <f>SUM(C59:D59)</f>
        <v>1</v>
      </c>
      <c r="C59" s="1047">
        <v>1</v>
      </c>
      <c r="D59" s="1047">
        <v>0</v>
      </c>
    </row>
    <row r="60" spans="1:4" s="2" customFormat="1" ht="10.199999999999999" x14ac:dyDescent="0.2">
      <c r="A60" s="1695" t="s">
        <v>12</v>
      </c>
      <c r="B60" s="1206">
        <f>SUM(B61:B65)</f>
        <v>15</v>
      </c>
      <c r="C60" s="1206">
        <f>SUM(C61:C65)</f>
        <v>11</v>
      </c>
      <c r="D60" s="1206">
        <f>SUM(D61:D65)</f>
        <v>4</v>
      </c>
    </row>
    <row r="61" spans="1:4" s="2" customFormat="1" ht="10.199999999999999" x14ac:dyDescent="0.2">
      <c r="A61" s="816" t="s">
        <v>3601</v>
      </c>
      <c r="B61" s="1206">
        <f>SUM(C61:D61)</f>
        <v>1</v>
      </c>
      <c r="C61" s="1047">
        <v>1</v>
      </c>
      <c r="D61" s="1047">
        <v>0</v>
      </c>
    </row>
    <row r="62" spans="1:4" s="2" customFormat="1" ht="10.199999999999999" x14ac:dyDescent="0.2">
      <c r="A62" s="816" t="s">
        <v>3581</v>
      </c>
      <c r="B62" s="1206">
        <f>SUM(C62:D62)</f>
        <v>2</v>
      </c>
      <c r="C62" s="1047">
        <v>2</v>
      </c>
      <c r="D62" s="1047">
        <v>0</v>
      </c>
    </row>
    <row r="63" spans="1:4" s="2" customFormat="1" ht="10.199999999999999" x14ac:dyDescent="0.2">
      <c r="A63" s="816" t="s">
        <v>3575</v>
      </c>
      <c r="B63" s="1206">
        <f>SUM(C63:D63)</f>
        <v>10</v>
      </c>
      <c r="C63" s="1047">
        <v>6</v>
      </c>
      <c r="D63" s="1047">
        <v>4</v>
      </c>
    </row>
    <row r="64" spans="1:4" s="2" customFormat="1" ht="10.199999999999999" x14ac:dyDescent="0.2">
      <c r="A64" s="816" t="s">
        <v>3578</v>
      </c>
      <c r="B64" s="1206">
        <f>SUM(C64:D64)</f>
        <v>1</v>
      </c>
      <c r="C64" s="1047">
        <v>1</v>
      </c>
      <c r="D64" s="1047">
        <v>0</v>
      </c>
    </row>
    <row r="65" spans="1:4" s="2" customFormat="1" ht="10.199999999999999" x14ac:dyDescent="0.2">
      <c r="A65" s="816" t="s">
        <v>3595</v>
      </c>
      <c r="B65" s="1206">
        <f>SUM(C65:D65)</f>
        <v>1</v>
      </c>
      <c r="C65" s="1047">
        <v>1</v>
      </c>
      <c r="D65" s="1047">
        <v>0</v>
      </c>
    </row>
    <row r="66" spans="1:4" s="2" customFormat="1" ht="10.199999999999999" x14ac:dyDescent="0.2">
      <c r="A66" s="1695" t="s">
        <v>13</v>
      </c>
      <c r="B66" s="1206">
        <f>SUM(B67:B70)</f>
        <v>11</v>
      </c>
      <c r="C66" s="1206">
        <f>SUM(C67:C70)</f>
        <v>10</v>
      </c>
      <c r="D66" s="1206">
        <f>SUM(D67:D70)</f>
        <v>1</v>
      </c>
    </row>
    <row r="67" spans="1:4" s="2" customFormat="1" ht="10.199999999999999" x14ac:dyDescent="0.2">
      <c r="A67" s="816" t="s">
        <v>3581</v>
      </c>
      <c r="B67" s="1206">
        <f>SUM(C67:D67)</f>
        <v>4</v>
      </c>
      <c r="C67" s="1047">
        <v>4</v>
      </c>
      <c r="D67" s="1047">
        <v>0</v>
      </c>
    </row>
    <row r="68" spans="1:4" s="2" customFormat="1" ht="10.199999999999999" x14ac:dyDescent="0.2">
      <c r="A68" s="816" t="s">
        <v>3575</v>
      </c>
      <c r="B68" s="1206">
        <f>SUM(C68:D68)</f>
        <v>1</v>
      </c>
      <c r="C68" s="1047">
        <v>1</v>
      </c>
      <c r="D68" s="1047">
        <v>0</v>
      </c>
    </row>
    <row r="69" spans="1:4" s="2" customFormat="1" ht="10.199999999999999" x14ac:dyDescent="0.2">
      <c r="A69" s="816" t="s">
        <v>3573</v>
      </c>
      <c r="B69" s="1206">
        <f>SUM(C69:D69)</f>
        <v>1</v>
      </c>
      <c r="C69" s="1047">
        <v>1</v>
      </c>
      <c r="D69" s="1047">
        <v>0</v>
      </c>
    </row>
    <row r="70" spans="1:4" s="2" customFormat="1" ht="10.199999999999999" x14ac:dyDescent="0.2">
      <c r="A70" s="816" t="s">
        <v>3580</v>
      </c>
      <c r="B70" s="1206">
        <f>SUM(C70:D70)</f>
        <v>5</v>
      </c>
      <c r="C70" s="1047">
        <v>4</v>
      </c>
      <c r="D70" s="1047">
        <v>1</v>
      </c>
    </row>
    <row r="71" spans="1:4" s="2" customFormat="1" ht="10.199999999999999" x14ac:dyDescent="0.2">
      <c r="A71" s="1695" t="s">
        <v>47</v>
      </c>
      <c r="B71" s="1206">
        <f>SUM(B72:B74)</f>
        <v>4</v>
      </c>
      <c r="C71" s="1206">
        <f>SUM(C72:C74)</f>
        <v>3</v>
      </c>
      <c r="D71" s="1206">
        <f>SUM(D72:D74)</f>
        <v>1</v>
      </c>
    </row>
    <row r="72" spans="1:4" s="2" customFormat="1" ht="10.199999999999999" x14ac:dyDescent="0.2">
      <c r="A72" s="816" t="s">
        <v>3572</v>
      </c>
      <c r="B72" s="1206">
        <f>SUM(C72:D72)</f>
        <v>2</v>
      </c>
      <c r="C72" s="1047">
        <v>1</v>
      </c>
      <c r="D72" s="1047">
        <v>1</v>
      </c>
    </row>
    <row r="73" spans="1:4" s="2" customFormat="1" ht="10.199999999999999" x14ac:dyDescent="0.2">
      <c r="A73" s="816" t="s">
        <v>3575</v>
      </c>
      <c r="B73" s="1206">
        <f>SUM(C73:D73)</f>
        <v>1</v>
      </c>
      <c r="C73" s="1047">
        <v>1</v>
      </c>
      <c r="D73" s="1047">
        <v>0</v>
      </c>
    </row>
    <row r="74" spans="1:4" s="2" customFormat="1" ht="10.199999999999999" x14ac:dyDescent="0.2">
      <c r="A74" s="816" t="s">
        <v>3581</v>
      </c>
      <c r="B74" s="1206">
        <f>SUM(C74:D74)</f>
        <v>1</v>
      </c>
      <c r="C74" s="1047">
        <v>1</v>
      </c>
      <c r="D74" s="1047">
        <v>0</v>
      </c>
    </row>
    <row r="75" spans="1:4" s="2" customFormat="1" ht="10.199999999999999" x14ac:dyDescent="0.2">
      <c r="A75" s="1438" t="s">
        <v>15</v>
      </c>
      <c r="B75" s="1206">
        <f>SUM(B76)</f>
        <v>22</v>
      </c>
      <c r="C75" s="1206">
        <f>SUM(C76)</f>
        <v>21</v>
      </c>
      <c r="D75" s="1206">
        <f>SUM(D76)</f>
        <v>1</v>
      </c>
    </row>
    <row r="76" spans="1:4" s="2" customFormat="1" ht="10.199999999999999" x14ac:dyDescent="0.2">
      <c r="A76" s="816" t="s">
        <v>3580</v>
      </c>
      <c r="B76" s="1206">
        <f>SUM(C76:D76)</f>
        <v>22</v>
      </c>
      <c r="C76" s="1047">
        <v>21</v>
      </c>
      <c r="D76" s="1047">
        <v>1</v>
      </c>
    </row>
    <row r="77" spans="1:4" s="2" customFormat="1" ht="10.199999999999999" x14ac:dyDescent="0.2">
      <c r="A77" s="1695" t="s">
        <v>16</v>
      </c>
      <c r="B77" s="1206">
        <f>SUM(B78:B79)</f>
        <v>9</v>
      </c>
      <c r="C77" s="1206">
        <f>SUM(C78:C79)</f>
        <v>7</v>
      </c>
      <c r="D77" s="1206">
        <f>SUM(D78:D79)</f>
        <v>2</v>
      </c>
    </row>
    <row r="78" spans="1:4" s="2" customFormat="1" ht="10.199999999999999" x14ac:dyDescent="0.2">
      <c r="A78" s="816" t="s">
        <v>3575</v>
      </c>
      <c r="B78" s="1206">
        <f>SUM(C78:D78)</f>
        <v>8</v>
      </c>
      <c r="C78" s="1047">
        <v>7</v>
      </c>
      <c r="D78" s="1047">
        <v>1</v>
      </c>
    </row>
    <row r="79" spans="1:4" s="2" customFormat="1" ht="10.199999999999999" x14ac:dyDescent="0.2">
      <c r="A79" s="816" t="s">
        <v>3573</v>
      </c>
      <c r="B79" s="1206">
        <f>SUM(C79:D79)</f>
        <v>1</v>
      </c>
      <c r="C79" s="1047">
        <v>0</v>
      </c>
      <c r="D79" s="1047">
        <v>1</v>
      </c>
    </row>
    <row r="80" spans="1:4" s="2" customFormat="1" ht="10.199999999999999" x14ac:dyDescent="0.2">
      <c r="A80" s="1438" t="s">
        <v>17</v>
      </c>
      <c r="B80" s="1206">
        <f>SUM(B81)</f>
        <v>1</v>
      </c>
      <c r="C80" s="1206">
        <f>SUM(C81)</f>
        <v>1</v>
      </c>
      <c r="D80" s="1206">
        <f>SUM(D81)</f>
        <v>0</v>
      </c>
    </row>
    <row r="81" spans="1:9" s="2" customFormat="1" ht="10.199999999999999" x14ac:dyDescent="0.2">
      <c r="A81" s="816" t="s">
        <v>3575</v>
      </c>
      <c r="B81" s="1206">
        <f>SUM(C81:D81)</f>
        <v>1</v>
      </c>
      <c r="C81" s="1047">
        <v>1</v>
      </c>
      <c r="D81" s="1047">
        <v>0</v>
      </c>
    </row>
    <row r="82" spans="1:9" s="2" customFormat="1" ht="10.199999999999999" x14ac:dyDescent="0.2">
      <c r="A82" s="1696" t="s">
        <v>18</v>
      </c>
      <c r="B82" s="1206">
        <f>SUM(B83)</f>
        <v>2</v>
      </c>
      <c r="C82" s="1206">
        <f>SUM(C83)</f>
        <v>2</v>
      </c>
      <c r="D82" s="1206">
        <f>SUM(D83)</f>
        <v>0</v>
      </c>
    </row>
    <row r="83" spans="1:9" s="2" customFormat="1" ht="10.199999999999999" x14ac:dyDescent="0.2">
      <c r="A83" s="816" t="s">
        <v>3574</v>
      </c>
      <c r="B83" s="1206">
        <f>SUM(C83:D83)</f>
        <v>2</v>
      </c>
      <c r="C83" s="1047">
        <v>2</v>
      </c>
      <c r="D83" s="1047">
        <v>0</v>
      </c>
    </row>
    <row r="84" spans="1:9" s="2" customFormat="1" ht="5.25" customHeight="1" x14ac:dyDescent="0.2">
      <c r="A84" s="816"/>
      <c r="B84" s="1681"/>
      <c r="C84" s="816"/>
      <c r="D84" s="816"/>
      <c r="F84" s="816"/>
      <c r="G84" s="1681"/>
      <c r="H84" s="816"/>
      <c r="I84" s="816"/>
    </row>
    <row r="85" spans="1:9" s="2" customFormat="1" ht="10.199999999999999" x14ac:dyDescent="0.2">
      <c r="A85" s="1697" t="s">
        <v>19</v>
      </c>
      <c r="B85" s="1697"/>
      <c r="C85" s="1697"/>
      <c r="D85" s="1697"/>
      <c r="F85" s="1698"/>
      <c r="G85" s="1698"/>
      <c r="H85" s="1698"/>
      <c r="I85" s="1698"/>
    </row>
    <row r="86" spans="1:9" s="2" customFormat="1" ht="10.199999999999999" x14ac:dyDescent="0.2">
      <c r="A86" s="745" t="s">
        <v>3533</v>
      </c>
      <c r="B86" s="745"/>
      <c r="C86" s="745"/>
      <c r="D86" s="745"/>
    </row>
    <row r="87" spans="1:9" s="2" customFormat="1" ht="10.199999999999999" x14ac:dyDescent="0.2">
      <c r="A87" s="651"/>
      <c r="B87" s="645"/>
      <c r="C87" s="651"/>
      <c r="D87" s="651"/>
      <c r="F87" s="1507"/>
      <c r="G87" s="626"/>
      <c r="H87" s="315"/>
      <c r="I87" s="1699"/>
    </row>
  </sheetData>
  <mergeCells count="6">
    <mergeCell ref="A2:D2"/>
    <mergeCell ref="F2:I2"/>
    <mergeCell ref="A4:A5"/>
    <mergeCell ref="B4:D4"/>
    <mergeCell ref="A85:D85"/>
    <mergeCell ref="A86:D86"/>
  </mergeCells>
  <pageMargins left="0.7" right="0.7" top="0.75" bottom="0.75" header="0.3" footer="0.3"/>
  <pageSetup paperSize="14" orientation="landscape" r:id="rId1"/>
</worksheet>
</file>

<file path=xl/worksheets/sheet3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4B4DB-A0E9-4B27-9074-231A8103993E}">
  <sheetPr codeName="Hoja313"/>
  <dimension ref="A1:I49"/>
  <sheetViews>
    <sheetView workbookViewId="0">
      <selection activeCell="F37" sqref="F37"/>
    </sheetView>
  </sheetViews>
  <sheetFormatPr baseColWidth="10" defaultColWidth="11.44140625" defaultRowHeight="10.199999999999999" x14ac:dyDescent="0.2"/>
  <cols>
    <col min="1" max="1" width="24.88671875" style="2" customWidth="1"/>
    <col min="2" max="3" width="14.44140625" style="2" customWidth="1"/>
    <col min="4" max="4" width="12.88671875" style="2" customWidth="1"/>
    <col min="5" max="5" width="14.6640625" style="2" customWidth="1"/>
    <col min="6" max="6" width="22.33203125" style="2" customWidth="1"/>
    <col min="7" max="8" width="11.44140625" style="2"/>
    <col min="9" max="9" width="15.33203125" style="2" customWidth="1"/>
    <col min="10" max="16384" width="11.44140625" style="2"/>
  </cols>
  <sheetData>
    <row r="1" spans="1:9" ht="13.2" x14ac:dyDescent="0.2">
      <c r="A1" s="1009"/>
      <c r="B1" s="645"/>
      <c r="C1" s="651"/>
      <c r="D1" s="651"/>
      <c r="F1" s="1507"/>
      <c r="G1" s="660"/>
      <c r="H1" s="315"/>
      <c r="I1" s="1699"/>
    </row>
    <row r="2" spans="1:9" ht="24" customHeight="1" x14ac:dyDescent="0.25">
      <c r="A2" s="308" t="s">
        <v>3496</v>
      </c>
      <c r="B2" s="308"/>
      <c r="C2" s="308"/>
      <c r="D2" s="308"/>
      <c r="E2" s="701"/>
      <c r="G2" s="645"/>
      <c r="H2" s="651"/>
      <c r="I2" s="651"/>
    </row>
    <row r="3" spans="1:9" x14ac:dyDescent="0.2">
      <c r="F3" s="651"/>
      <c r="G3" s="645"/>
      <c r="H3" s="651"/>
      <c r="I3" s="651"/>
    </row>
    <row r="4" spans="1:9" ht="12.75" customHeight="1" x14ac:dyDescent="0.2">
      <c r="A4" s="275" t="s">
        <v>3570</v>
      </c>
      <c r="B4" s="685" t="s">
        <v>3602</v>
      </c>
      <c r="C4" s="685"/>
      <c r="D4" s="685"/>
    </row>
    <row r="5" spans="1:9" ht="12.75" customHeight="1" x14ac:dyDescent="0.25">
      <c r="A5" s="277"/>
      <c r="B5" s="1033" t="s">
        <v>42</v>
      </c>
      <c r="C5" s="1033" t="s">
        <v>122</v>
      </c>
      <c r="D5" s="1033" t="s">
        <v>123</v>
      </c>
      <c r="E5" s="1011"/>
    </row>
    <row r="6" spans="1:9" ht="12.75" customHeight="1" x14ac:dyDescent="0.2">
      <c r="A6" s="443" t="s">
        <v>3</v>
      </c>
      <c r="B6" s="1206">
        <f>SUM(C6:D6)</f>
        <v>63</v>
      </c>
      <c r="C6" s="1206">
        <f>SUM(C7+C9+C11+C13+C16+C34+C36+C38+C40+C42+C44)</f>
        <v>36</v>
      </c>
      <c r="D6" s="1206">
        <f>SUM(D7+D9+D11+D13+D16+D34+D36+D38+D40+D42+D44)</f>
        <v>27</v>
      </c>
    </row>
    <row r="7" spans="1:9" x14ac:dyDescent="0.2">
      <c r="A7" s="1438" t="s">
        <v>4</v>
      </c>
      <c r="B7" s="1206">
        <f>SUM(B8)</f>
        <v>1</v>
      </c>
      <c r="C7" s="1206">
        <f>SUM(C8)</f>
        <v>1</v>
      </c>
      <c r="D7" s="1206">
        <f>SUM(D8)</f>
        <v>0</v>
      </c>
    </row>
    <row r="8" spans="1:9" x14ac:dyDescent="0.2">
      <c r="A8" s="816" t="s">
        <v>3572</v>
      </c>
      <c r="B8" s="1206">
        <f>SUM(C8:D8)</f>
        <v>1</v>
      </c>
      <c r="C8" s="1047">
        <v>1</v>
      </c>
      <c r="D8" s="1047">
        <v>0</v>
      </c>
    </row>
    <row r="9" spans="1:9" x14ac:dyDescent="0.2">
      <c r="A9" s="1695" t="s">
        <v>5</v>
      </c>
      <c r="B9" s="1206">
        <f>SUM(B10)</f>
        <v>1</v>
      </c>
      <c r="C9" s="1206">
        <f>SUM(C10)</f>
        <v>0</v>
      </c>
      <c r="D9" s="1206">
        <f>SUM(D10)</f>
        <v>1</v>
      </c>
    </row>
    <row r="10" spans="1:9" x14ac:dyDescent="0.2">
      <c r="A10" s="816" t="s">
        <v>3573</v>
      </c>
      <c r="B10" s="1206">
        <f>SUM(C10:D10)</f>
        <v>1</v>
      </c>
      <c r="C10" s="1047">
        <v>0</v>
      </c>
      <c r="D10" s="1047">
        <v>1</v>
      </c>
    </row>
    <row r="11" spans="1:9" x14ac:dyDescent="0.2">
      <c r="A11" s="1695" t="s">
        <v>8</v>
      </c>
      <c r="B11" s="1206">
        <f>SUM(B12)</f>
        <v>1</v>
      </c>
      <c r="C11" s="1206">
        <f>SUM(C12)</f>
        <v>0</v>
      </c>
      <c r="D11" s="1206">
        <f>SUM(D12)</f>
        <v>1</v>
      </c>
    </row>
    <row r="12" spans="1:9" x14ac:dyDescent="0.2">
      <c r="A12" s="816" t="s">
        <v>3573</v>
      </c>
      <c r="B12" s="1206">
        <f>SUM(C12:D12)</f>
        <v>1</v>
      </c>
      <c r="C12" s="1047">
        <v>0</v>
      </c>
      <c r="D12" s="1047">
        <v>1</v>
      </c>
    </row>
    <row r="13" spans="1:9" x14ac:dyDescent="0.2">
      <c r="A13" s="810" t="s">
        <v>9</v>
      </c>
      <c r="B13" s="1206">
        <f>SUM(B14:B15)</f>
        <v>2</v>
      </c>
      <c r="C13" s="1206">
        <f>SUM(C14:C15)</f>
        <v>1</v>
      </c>
      <c r="D13" s="1206">
        <f>SUM(D14:D15)</f>
        <v>1</v>
      </c>
    </row>
    <row r="14" spans="1:9" x14ac:dyDescent="0.2">
      <c r="A14" s="816" t="s">
        <v>3575</v>
      </c>
      <c r="B14" s="1206">
        <f>SUM(C14:D14)</f>
        <v>1</v>
      </c>
      <c r="C14" s="1047">
        <v>0</v>
      </c>
      <c r="D14" s="1047">
        <v>1</v>
      </c>
    </row>
    <row r="15" spans="1:9" x14ac:dyDescent="0.2">
      <c r="A15" s="816" t="s">
        <v>3580</v>
      </c>
      <c r="B15" s="1206">
        <f>SUM(C15:D15)</f>
        <v>1</v>
      </c>
      <c r="C15" s="1047">
        <v>1</v>
      </c>
      <c r="D15" s="1047">
        <v>0</v>
      </c>
    </row>
    <row r="16" spans="1:9" x14ac:dyDescent="0.2">
      <c r="A16" s="1696" t="s">
        <v>10</v>
      </c>
      <c r="B16" s="1206">
        <f>SUM(B17:B33)</f>
        <v>46</v>
      </c>
      <c r="C16" s="1206">
        <f>SUM(C17:C33)</f>
        <v>26</v>
      </c>
      <c r="D16" s="1206">
        <f>SUM(D17:D33)</f>
        <v>20</v>
      </c>
    </row>
    <row r="17" spans="1:4" x14ac:dyDescent="0.2">
      <c r="A17" s="816" t="s">
        <v>3572</v>
      </c>
      <c r="B17" s="1206">
        <f t="shared" ref="B17:B33" si="0">SUM(C17:D17)</f>
        <v>10</v>
      </c>
      <c r="C17" s="1047">
        <v>7</v>
      </c>
      <c r="D17" s="1047">
        <v>3</v>
      </c>
    </row>
    <row r="18" spans="1:4" x14ac:dyDescent="0.2">
      <c r="A18" s="816" t="s">
        <v>3581</v>
      </c>
      <c r="B18" s="1206">
        <f t="shared" si="0"/>
        <v>5</v>
      </c>
      <c r="C18" s="1047">
        <v>4</v>
      </c>
      <c r="D18" s="1047">
        <v>1</v>
      </c>
    </row>
    <row r="19" spans="1:4" x14ac:dyDescent="0.2">
      <c r="A19" s="816" t="s">
        <v>3575</v>
      </c>
      <c r="B19" s="1206">
        <f t="shared" si="0"/>
        <v>2</v>
      </c>
      <c r="C19" s="1047">
        <v>0</v>
      </c>
      <c r="D19" s="1047">
        <v>2</v>
      </c>
    </row>
    <row r="20" spans="1:4" x14ac:dyDescent="0.2">
      <c r="A20" s="816" t="s">
        <v>3583</v>
      </c>
      <c r="B20" s="1206">
        <f t="shared" si="0"/>
        <v>3</v>
      </c>
      <c r="C20" s="1047">
        <v>0</v>
      </c>
      <c r="D20" s="1047">
        <v>3</v>
      </c>
    </row>
    <row r="21" spans="1:4" x14ac:dyDescent="0.2">
      <c r="A21" s="816" t="s">
        <v>3603</v>
      </c>
      <c r="B21" s="1206">
        <f t="shared" si="0"/>
        <v>1</v>
      </c>
      <c r="C21" s="1047">
        <v>0</v>
      </c>
      <c r="D21" s="1047">
        <v>1</v>
      </c>
    </row>
    <row r="22" spans="1:4" x14ac:dyDescent="0.2">
      <c r="A22" s="816" t="s">
        <v>3578</v>
      </c>
      <c r="B22" s="1206">
        <f t="shared" si="0"/>
        <v>5</v>
      </c>
      <c r="C22" s="1047">
        <v>4</v>
      </c>
      <c r="D22" s="1047">
        <v>1</v>
      </c>
    </row>
    <row r="23" spans="1:4" x14ac:dyDescent="0.2">
      <c r="A23" s="816" t="s">
        <v>3586</v>
      </c>
      <c r="B23" s="1206">
        <f t="shared" si="0"/>
        <v>2</v>
      </c>
      <c r="C23" s="1047">
        <v>0</v>
      </c>
      <c r="D23" s="1047">
        <v>2</v>
      </c>
    </row>
    <row r="24" spans="1:4" x14ac:dyDescent="0.2">
      <c r="A24" s="816" t="s">
        <v>3574</v>
      </c>
      <c r="B24" s="1206">
        <f t="shared" si="0"/>
        <v>3</v>
      </c>
      <c r="C24" s="1047">
        <v>0</v>
      </c>
      <c r="D24" s="1047">
        <v>3</v>
      </c>
    </row>
    <row r="25" spans="1:4" x14ac:dyDescent="0.2">
      <c r="A25" s="816" t="s">
        <v>3604</v>
      </c>
      <c r="B25" s="1206">
        <f t="shared" si="0"/>
        <v>1</v>
      </c>
      <c r="C25" s="1047">
        <v>1</v>
      </c>
      <c r="D25" s="1047">
        <v>0</v>
      </c>
    </row>
    <row r="26" spans="1:4" x14ac:dyDescent="0.2">
      <c r="A26" s="816" t="s">
        <v>3588</v>
      </c>
      <c r="B26" s="1206">
        <f t="shared" si="0"/>
        <v>2</v>
      </c>
      <c r="C26" s="1047">
        <v>2</v>
      </c>
      <c r="D26" s="1047">
        <v>0</v>
      </c>
    </row>
    <row r="27" spans="1:4" x14ac:dyDescent="0.2">
      <c r="A27" s="816" t="s">
        <v>3573</v>
      </c>
      <c r="B27" s="1206">
        <f t="shared" si="0"/>
        <v>2</v>
      </c>
      <c r="C27" s="1047">
        <v>1</v>
      </c>
      <c r="D27" s="1047">
        <v>1</v>
      </c>
    </row>
    <row r="28" spans="1:4" x14ac:dyDescent="0.2">
      <c r="A28" s="816" t="s">
        <v>3589</v>
      </c>
      <c r="B28" s="1206">
        <f t="shared" si="0"/>
        <v>4</v>
      </c>
      <c r="C28" s="1047">
        <v>2</v>
      </c>
      <c r="D28" s="1047">
        <v>2</v>
      </c>
    </row>
    <row r="29" spans="1:4" ht="12" customHeight="1" x14ac:dyDescent="0.2">
      <c r="A29" s="816" t="s">
        <v>3579</v>
      </c>
      <c r="B29" s="1206">
        <f t="shared" si="0"/>
        <v>1</v>
      </c>
      <c r="C29" s="1047">
        <v>1</v>
      </c>
      <c r="D29" s="1047">
        <v>0</v>
      </c>
    </row>
    <row r="30" spans="1:4" x14ac:dyDescent="0.2">
      <c r="A30" s="816" t="s">
        <v>3605</v>
      </c>
      <c r="B30" s="1206">
        <f t="shared" si="0"/>
        <v>1</v>
      </c>
      <c r="C30" s="1047">
        <v>0</v>
      </c>
      <c r="D30" s="1047">
        <v>1</v>
      </c>
    </row>
    <row r="31" spans="1:4" x14ac:dyDescent="0.2">
      <c r="A31" s="816" t="s">
        <v>3591</v>
      </c>
      <c r="B31" s="1206">
        <f t="shared" si="0"/>
        <v>2</v>
      </c>
      <c r="C31" s="1047">
        <v>2</v>
      </c>
      <c r="D31" s="1047">
        <v>0</v>
      </c>
    </row>
    <row r="32" spans="1:4" x14ac:dyDescent="0.2">
      <c r="A32" s="816" t="s">
        <v>3598</v>
      </c>
      <c r="B32" s="1206">
        <f t="shared" si="0"/>
        <v>1</v>
      </c>
      <c r="C32" s="1047">
        <v>1</v>
      </c>
      <c r="D32" s="1047">
        <v>0</v>
      </c>
    </row>
    <row r="33" spans="1:9" x14ac:dyDescent="0.2">
      <c r="A33" s="816" t="s">
        <v>3599</v>
      </c>
      <c r="B33" s="1206">
        <f t="shared" si="0"/>
        <v>1</v>
      </c>
      <c r="C33" s="1047">
        <v>1</v>
      </c>
      <c r="D33" s="1047">
        <v>0</v>
      </c>
    </row>
    <row r="34" spans="1:9" x14ac:dyDescent="0.2">
      <c r="A34" s="1695" t="s">
        <v>12</v>
      </c>
      <c r="B34" s="1206">
        <f>SUM(B35)</f>
        <v>1</v>
      </c>
      <c r="C34" s="1206">
        <f>SUM(C35)</f>
        <v>1</v>
      </c>
      <c r="D34" s="1206">
        <f>SUM(D35)</f>
        <v>0</v>
      </c>
    </row>
    <row r="35" spans="1:9" x14ac:dyDescent="0.2">
      <c r="A35" s="816" t="s">
        <v>3589</v>
      </c>
      <c r="B35" s="1206">
        <f>SUM(C35:D35)</f>
        <v>1</v>
      </c>
      <c r="C35" s="1047">
        <v>1</v>
      </c>
      <c r="D35" s="1047">
        <v>0</v>
      </c>
    </row>
    <row r="36" spans="1:9" x14ac:dyDescent="0.2">
      <c r="A36" s="1695" t="s">
        <v>13</v>
      </c>
      <c r="B36" s="1206">
        <f>SUM(B37)</f>
        <v>1</v>
      </c>
      <c r="C36" s="1206">
        <f>SUM(C37)</f>
        <v>1</v>
      </c>
      <c r="D36" s="1206">
        <f>SUM(D37)</f>
        <v>0</v>
      </c>
    </row>
    <row r="37" spans="1:9" x14ac:dyDescent="0.2">
      <c r="A37" s="816" t="s">
        <v>3573</v>
      </c>
      <c r="B37" s="1206">
        <f>SUM(C37:D37)</f>
        <v>1</v>
      </c>
      <c r="C37" s="1047">
        <v>1</v>
      </c>
      <c r="D37" s="1047">
        <v>0</v>
      </c>
    </row>
    <row r="38" spans="1:9" x14ac:dyDescent="0.2">
      <c r="A38" s="1695" t="s">
        <v>47</v>
      </c>
      <c r="B38" s="1206">
        <f>SUM(B39)</f>
        <v>1</v>
      </c>
      <c r="C38" s="1206">
        <f>SUM(C39)</f>
        <v>1</v>
      </c>
      <c r="D38" s="1206">
        <f>SUM(D39)</f>
        <v>0</v>
      </c>
    </row>
    <row r="39" spans="1:9" x14ac:dyDescent="0.2">
      <c r="A39" s="816" t="s">
        <v>3581</v>
      </c>
      <c r="B39" s="1206">
        <f>SUM(C39:D39)</f>
        <v>1</v>
      </c>
      <c r="C39" s="1047">
        <v>1</v>
      </c>
      <c r="D39" s="1047">
        <v>0</v>
      </c>
    </row>
    <row r="40" spans="1:9" x14ac:dyDescent="0.2">
      <c r="A40" s="1438" t="s">
        <v>15</v>
      </c>
      <c r="B40" s="1206">
        <f>SUM(B41)</f>
        <v>5</v>
      </c>
      <c r="C40" s="1206">
        <f>SUM(C41)</f>
        <v>5</v>
      </c>
      <c r="D40" s="1206">
        <f>SUM(D41)</f>
        <v>0</v>
      </c>
    </row>
    <row r="41" spans="1:9" x14ac:dyDescent="0.2">
      <c r="A41" s="816" t="s">
        <v>3580</v>
      </c>
      <c r="B41" s="1206">
        <f>SUM(C41:D41)</f>
        <v>5</v>
      </c>
      <c r="C41" s="1047">
        <v>5</v>
      </c>
      <c r="D41" s="1047">
        <v>0</v>
      </c>
    </row>
    <row r="42" spans="1:9" x14ac:dyDescent="0.2">
      <c r="A42" s="1695" t="s">
        <v>16</v>
      </c>
      <c r="B42" s="1206">
        <f>SUM(B43)</f>
        <v>1</v>
      </c>
      <c r="C42" s="1206">
        <f>SUM(C43)</f>
        <v>0</v>
      </c>
      <c r="D42" s="1206">
        <f>SUM(D43)</f>
        <v>1</v>
      </c>
    </row>
    <row r="43" spans="1:9" x14ac:dyDescent="0.2">
      <c r="A43" s="816" t="s">
        <v>3572</v>
      </c>
      <c r="B43" s="1206">
        <f>SUM(C43:D43)</f>
        <v>1</v>
      </c>
      <c r="C43" s="1047">
        <v>0</v>
      </c>
      <c r="D43" s="1047">
        <v>1</v>
      </c>
    </row>
    <row r="44" spans="1:9" x14ac:dyDescent="0.2">
      <c r="A44" s="1696" t="s">
        <v>18</v>
      </c>
      <c r="B44" s="1206">
        <f>SUM(B45:B46)</f>
        <v>3</v>
      </c>
      <c r="C44" s="1206">
        <f>SUM(C45:C46)</f>
        <v>0</v>
      </c>
      <c r="D44" s="1206">
        <f>SUM(D45:D46)</f>
        <v>3</v>
      </c>
    </row>
    <row r="45" spans="1:9" x14ac:dyDescent="0.2">
      <c r="A45" s="816" t="s">
        <v>3574</v>
      </c>
      <c r="B45" s="1206">
        <f>SUM(C45:D45)</f>
        <v>1</v>
      </c>
      <c r="C45" s="1047">
        <v>0</v>
      </c>
      <c r="D45" s="1047">
        <v>1</v>
      </c>
    </row>
    <row r="46" spans="1:9" x14ac:dyDescent="0.2">
      <c r="A46" s="816" t="s">
        <v>3589</v>
      </c>
      <c r="B46" s="1206">
        <f>SUM(C46:D46)</f>
        <v>2</v>
      </c>
      <c r="C46" s="1047">
        <v>0</v>
      </c>
      <c r="D46" s="1047">
        <v>2</v>
      </c>
    </row>
    <row r="47" spans="1:9" ht="13.5" customHeight="1" x14ac:dyDescent="0.2">
      <c r="A47" s="816"/>
      <c r="B47" s="1276"/>
      <c r="C47" s="816"/>
      <c r="D47" s="816"/>
      <c r="F47" s="816"/>
      <c r="G47" s="1681"/>
      <c r="H47" s="816"/>
      <c r="I47" s="816"/>
    </row>
    <row r="48" spans="1:9" x14ac:dyDescent="0.2">
      <c r="A48" s="1697" t="s">
        <v>19</v>
      </c>
      <c r="B48" s="1697"/>
      <c r="C48" s="1697"/>
      <c r="D48" s="1697"/>
    </row>
    <row r="49" spans="1:4" x14ac:dyDescent="0.2">
      <c r="A49" s="745" t="s">
        <v>3533</v>
      </c>
      <c r="B49" s="745"/>
      <c r="C49" s="745"/>
      <c r="D49" s="745"/>
    </row>
  </sheetData>
  <mergeCells count="5">
    <mergeCell ref="A2:D2"/>
    <mergeCell ref="A4:A5"/>
    <mergeCell ref="B4:D4"/>
    <mergeCell ref="A48:D48"/>
    <mergeCell ref="A49:D49"/>
  </mergeCells>
  <pageMargins left="0.7" right="0.7" top="0.75" bottom="0.75" header="0.3" footer="0.3"/>
  <pageSetup paperSize="14" orientation="landscape" r:id="rId1"/>
  <rowBreaks count="1" manualBreakCount="1">
    <brk id="1" max="16383" man="1"/>
  </rowBreaks>
</worksheet>
</file>

<file path=xl/worksheets/sheet3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9855C9-324B-4B84-BE58-DEA1853A09E1}">
  <sheetPr codeName="Hoja314"/>
  <dimension ref="A1:F29"/>
  <sheetViews>
    <sheetView workbookViewId="0">
      <selection activeCell="F37" sqref="F37"/>
    </sheetView>
  </sheetViews>
  <sheetFormatPr baseColWidth="10" defaultRowHeight="13.2" x14ac:dyDescent="0.25"/>
  <cols>
    <col min="1" max="1" width="28" customWidth="1"/>
  </cols>
  <sheetData>
    <row r="1" spans="1:6" x14ac:dyDescent="0.25">
      <c r="A1" s="1009"/>
    </row>
    <row r="2" spans="1:6" s="2" customFormat="1" ht="30" customHeight="1" x14ac:dyDescent="0.2">
      <c r="A2" s="234" t="s">
        <v>3497</v>
      </c>
      <c r="B2" s="234"/>
      <c r="C2" s="234"/>
    </row>
    <row r="3" spans="1:6" s="2" customFormat="1" ht="10.199999999999999" x14ac:dyDescent="0.2"/>
    <row r="4" spans="1:6" s="692" customFormat="1" ht="21.75" customHeight="1" x14ac:dyDescent="0.25">
      <c r="A4" s="328" t="s">
        <v>0</v>
      </c>
      <c r="B4" s="1700">
        <v>2012</v>
      </c>
      <c r="C4" s="621">
        <v>2013</v>
      </c>
      <c r="E4" s="796"/>
    </row>
    <row r="5" spans="1:6" s="2" customFormat="1" ht="10.199999999999999" x14ac:dyDescent="0.2">
      <c r="A5" s="321" t="s">
        <v>3</v>
      </c>
      <c r="B5" s="660">
        <f>SUM(B6:B20)</f>
        <v>162</v>
      </c>
      <c r="C5" s="660">
        <f>SUM(C6:C20)</f>
        <v>150</v>
      </c>
      <c r="E5" s="646"/>
      <c r="F5" s="646"/>
    </row>
    <row r="6" spans="1:6" s="2" customFormat="1" ht="10.199999999999999" x14ac:dyDescent="0.2">
      <c r="A6" s="1701" t="s">
        <v>4</v>
      </c>
      <c r="B6" s="626">
        <v>0</v>
      </c>
      <c r="C6" s="626">
        <v>0</v>
      </c>
      <c r="E6" s="646"/>
      <c r="F6" s="646"/>
    </row>
    <row r="7" spans="1:6" s="2" customFormat="1" ht="10.199999999999999" x14ac:dyDescent="0.2">
      <c r="A7" s="1701" t="s">
        <v>5</v>
      </c>
      <c r="B7" s="626">
        <v>3</v>
      </c>
      <c r="C7" s="626">
        <v>3</v>
      </c>
      <c r="E7" s="646"/>
      <c r="F7" s="646"/>
    </row>
    <row r="8" spans="1:6" s="2" customFormat="1" ht="10.199999999999999" x14ac:dyDescent="0.2">
      <c r="A8" s="1701" t="s">
        <v>6</v>
      </c>
      <c r="B8" s="626">
        <v>11</v>
      </c>
      <c r="C8" s="626">
        <v>10</v>
      </c>
      <c r="E8" s="646"/>
      <c r="F8" s="646"/>
    </row>
    <row r="9" spans="1:6" s="2" customFormat="1" ht="10.199999999999999" x14ac:dyDescent="0.2">
      <c r="A9" s="1701" t="s">
        <v>7</v>
      </c>
      <c r="B9" s="626">
        <v>9</v>
      </c>
      <c r="C9" s="626">
        <v>7</v>
      </c>
      <c r="E9" s="646"/>
      <c r="F9" s="646"/>
    </row>
    <row r="10" spans="1:6" s="2" customFormat="1" ht="10.199999999999999" x14ac:dyDescent="0.2">
      <c r="A10" s="1701" t="s">
        <v>8</v>
      </c>
      <c r="B10" s="626">
        <v>5</v>
      </c>
      <c r="C10" s="626">
        <v>5</v>
      </c>
      <c r="E10" s="646"/>
      <c r="F10" s="646"/>
    </row>
    <row r="11" spans="1:6" s="2" customFormat="1" ht="10.199999999999999" x14ac:dyDescent="0.2">
      <c r="A11" s="1701" t="s">
        <v>9</v>
      </c>
      <c r="B11" s="626">
        <v>7</v>
      </c>
      <c r="C11" s="626">
        <v>12</v>
      </c>
      <c r="E11" s="646"/>
      <c r="F11" s="646"/>
    </row>
    <row r="12" spans="1:6" s="2" customFormat="1" ht="10.199999999999999" x14ac:dyDescent="0.2">
      <c r="A12" s="1701" t="s">
        <v>10</v>
      </c>
      <c r="B12" s="626">
        <v>38</v>
      </c>
      <c r="C12" s="626">
        <v>39</v>
      </c>
      <c r="E12" s="646"/>
      <c r="F12" s="646"/>
    </row>
    <row r="13" spans="1:6" s="2" customFormat="1" ht="10.199999999999999" x14ac:dyDescent="0.2">
      <c r="A13" s="1701" t="s">
        <v>134</v>
      </c>
      <c r="B13" s="626">
        <v>1</v>
      </c>
      <c r="C13" s="626">
        <v>1</v>
      </c>
      <c r="E13" s="646"/>
      <c r="F13" s="646"/>
    </row>
    <row r="14" spans="1:6" s="2" customFormat="1" ht="10.199999999999999" x14ac:dyDescent="0.2">
      <c r="A14" s="1701" t="s">
        <v>12</v>
      </c>
      <c r="B14" s="626">
        <v>14</v>
      </c>
      <c r="C14" s="626">
        <v>15</v>
      </c>
      <c r="E14" s="646"/>
      <c r="F14" s="646"/>
    </row>
    <row r="15" spans="1:6" s="2" customFormat="1" ht="10.199999999999999" x14ac:dyDescent="0.2">
      <c r="A15" s="1701" t="s">
        <v>13</v>
      </c>
      <c r="B15" s="626">
        <v>11</v>
      </c>
      <c r="C15" s="626">
        <v>12</v>
      </c>
      <c r="E15" s="646"/>
      <c r="F15" s="646"/>
    </row>
    <row r="16" spans="1:6" s="2" customFormat="1" ht="10.199999999999999" x14ac:dyDescent="0.2">
      <c r="A16" s="1701" t="s">
        <v>47</v>
      </c>
      <c r="B16" s="626">
        <v>11</v>
      </c>
      <c r="C16" s="626">
        <v>13</v>
      </c>
      <c r="E16" s="646"/>
      <c r="F16" s="646"/>
    </row>
    <row r="17" spans="1:6" s="2" customFormat="1" ht="10.199999999999999" x14ac:dyDescent="0.2">
      <c r="A17" s="1701" t="s">
        <v>135</v>
      </c>
      <c r="B17" s="626">
        <v>8</v>
      </c>
      <c r="C17" s="626">
        <v>8</v>
      </c>
      <c r="E17" s="646"/>
      <c r="F17" s="646"/>
    </row>
    <row r="18" spans="1:6" s="2" customFormat="1" ht="10.199999999999999" x14ac:dyDescent="0.2">
      <c r="A18" s="1701" t="s">
        <v>136</v>
      </c>
      <c r="B18" s="626">
        <v>20</v>
      </c>
      <c r="C18" s="626">
        <v>15</v>
      </c>
      <c r="E18" s="646"/>
      <c r="F18" s="646"/>
    </row>
    <row r="19" spans="1:6" s="2" customFormat="1" ht="10.199999999999999" x14ac:dyDescent="0.2">
      <c r="A19" s="1701" t="s">
        <v>17</v>
      </c>
      <c r="B19" s="626">
        <v>15</v>
      </c>
      <c r="C19" s="626">
        <v>6</v>
      </c>
      <c r="E19" s="646"/>
      <c r="F19" s="646"/>
    </row>
    <row r="20" spans="1:6" s="2" customFormat="1" ht="10.199999999999999" x14ac:dyDescent="0.2">
      <c r="A20" s="1701" t="s">
        <v>18</v>
      </c>
      <c r="B20" s="626">
        <v>9</v>
      </c>
      <c r="C20" s="626">
        <v>4</v>
      </c>
      <c r="E20" s="646"/>
      <c r="F20" s="646"/>
    </row>
    <row r="21" spans="1:6" s="2" customFormat="1" ht="5.25" customHeight="1" x14ac:dyDescent="0.2"/>
    <row r="22" spans="1:6" s="2" customFormat="1" ht="21" customHeight="1" x14ac:dyDescent="0.2">
      <c r="A22" s="652" t="s">
        <v>3606</v>
      </c>
      <c r="B22" s="652"/>
      <c r="C22" s="652"/>
    </row>
    <row r="23" spans="1:6" s="2" customFormat="1" ht="10.199999999999999" x14ac:dyDescent="0.2"/>
    <row r="24" spans="1:6" s="2" customFormat="1" ht="10.199999999999999" x14ac:dyDescent="0.2"/>
    <row r="25" spans="1:6" s="2" customFormat="1" ht="10.199999999999999" x14ac:dyDescent="0.2"/>
    <row r="26" spans="1:6" s="2" customFormat="1" ht="10.199999999999999" x14ac:dyDescent="0.2"/>
    <row r="27" spans="1:6" s="2" customFormat="1" ht="10.199999999999999" x14ac:dyDescent="0.2"/>
    <row r="28" spans="1:6" s="2" customFormat="1" ht="10.199999999999999" x14ac:dyDescent="0.2"/>
    <row r="29" spans="1:6" s="2" customFormat="1" ht="10.199999999999999" x14ac:dyDescent="0.2"/>
  </sheetData>
  <mergeCells count="2">
    <mergeCell ref="A2:C2"/>
    <mergeCell ref="A22:C22"/>
  </mergeCells>
  <pageMargins left="0.7" right="0.7" top="0.75" bottom="0.75" header="0.3" footer="0.3"/>
  <pageSetup paperSize="14" orientation="landscape" r:id="rId1"/>
</worksheet>
</file>

<file path=xl/worksheets/sheet3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271D1-FC5C-4B4C-92FC-9BBCA5F9FC5D}">
  <sheetPr codeName="Hoja315"/>
  <dimension ref="A2:Q26"/>
  <sheetViews>
    <sheetView zoomScaleNormal="100" workbookViewId="0">
      <selection activeCell="F37" sqref="F37"/>
    </sheetView>
  </sheetViews>
  <sheetFormatPr baseColWidth="10" defaultRowHeight="13.2" x14ac:dyDescent="0.25"/>
  <cols>
    <col min="1" max="1" width="22" customWidth="1"/>
  </cols>
  <sheetData>
    <row r="2" spans="1:17" x14ac:dyDescent="0.25">
      <c r="A2" s="337" t="s">
        <v>3498</v>
      </c>
    </row>
    <row r="3" spans="1:17" x14ac:dyDescent="0.25">
      <c r="A3" s="337"/>
    </row>
    <row r="4" spans="1:17" s="1702" customFormat="1" ht="14.4" x14ac:dyDescent="0.3">
      <c r="A4" s="298" t="s">
        <v>0</v>
      </c>
      <c r="B4" s="685" t="s">
        <v>2204</v>
      </c>
      <c r="C4" s="685"/>
      <c r="D4" s="685"/>
      <c r="E4" s="685"/>
      <c r="F4" s="685"/>
      <c r="G4" s="685"/>
      <c r="H4" s="685"/>
      <c r="I4" s="685"/>
      <c r="J4" s="685"/>
      <c r="K4" s="685"/>
    </row>
    <row r="5" spans="1:17" s="1702" customFormat="1" ht="14.4" x14ac:dyDescent="0.3">
      <c r="A5" s="298"/>
      <c r="B5" s="298" t="s">
        <v>3</v>
      </c>
      <c r="C5" s="874" t="s">
        <v>2205</v>
      </c>
      <c r="D5" s="875"/>
      <c r="E5" s="875"/>
      <c r="F5" s="875"/>
      <c r="G5" s="875"/>
      <c r="H5" s="875"/>
      <c r="I5" s="875"/>
      <c r="J5" s="875"/>
      <c r="K5" s="876"/>
    </row>
    <row r="6" spans="1:17" s="1703" customFormat="1" ht="20.399999999999999" x14ac:dyDescent="0.25">
      <c r="A6" s="298"/>
      <c r="B6" s="298"/>
      <c r="C6" s="644" t="s">
        <v>3607</v>
      </c>
      <c r="D6" s="644" t="s">
        <v>3608</v>
      </c>
      <c r="E6" s="644" t="s">
        <v>3609</v>
      </c>
      <c r="F6" s="644" t="s">
        <v>3610</v>
      </c>
      <c r="G6" s="644" t="s">
        <v>3600</v>
      </c>
      <c r="H6" s="644" t="s">
        <v>3578</v>
      </c>
      <c r="I6" s="644" t="s">
        <v>3572</v>
      </c>
      <c r="J6" s="644" t="s">
        <v>3596</v>
      </c>
      <c r="K6" s="644" t="s">
        <v>996</v>
      </c>
    </row>
    <row r="7" spans="1:17" x14ac:dyDescent="0.25">
      <c r="A7" s="712" t="s">
        <v>3</v>
      </c>
      <c r="B7" s="622">
        <f>SUM(B8:B22)</f>
        <v>89203</v>
      </c>
      <c r="C7" s="622">
        <f>SUM(C8:C22)</f>
        <v>39824</v>
      </c>
      <c r="D7" s="622">
        <f t="shared" ref="D7:J7" si="0">SUM(D8:D22)</f>
        <v>2106</v>
      </c>
      <c r="E7" s="622">
        <f t="shared" si="0"/>
        <v>21223</v>
      </c>
      <c r="F7" s="622">
        <f t="shared" si="0"/>
        <v>11634</v>
      </c>
      <c r="G7" s="622">
        <f>SUM(G8:G22)</f>
        <v>4254</v>
      </c>
      <c r="H7" s="622">
        <f t="shared" si="0"/>
        <v>1802</v>
      </c>
      <c r="I7" s="622">
        <f>SUM(I8:I22)</f>
        <v>2703</v>
      </c>
      <c r="J7" s="622">
        <f t="shared" si="0"/>
        <v>1853</v>
      </c>
      <c r="K7" s="622">
        <f>SUM(K8:K22)</f>
        <v>3804</v>
      </c>
      <c r="L7" s="655"/>
      <c r="M7" s="655"/>
      <c r="N7" s="655"/>
      <c r="O7" s="655"/>
      <c r="P7" s="655"/>
      <c r="Q7" s="984"/>
    </row>
    <row r="8" spans="1:17" ht="14.4" x14ac:dyDescent="0.25">
      <c r="A8" s="288" t="s">
        <v>4</v>
      </c>
      <c r="B8" s="622">
        <f>SUM(C8:K8)</f>
        <v>2334</v>
      </c>
      <c r="C8" s="877">
        <v>1501</v>
      </c>
      <c r="D8" s="877">
        <v>23</v>
      </c>
      <c r="E8" s="877">
        <v>201</v>
      </c>
      <c r="F8" s="877">
        <v>294</v>
      </c>
      <c r="G8" s="877">
        <v>50</v>
      </c>
      <c r="H8" s="877">
        <v>47</v>
      </c>
      <c r="I8" s="877">
        <v>154</v>
      </c>
      <c r="J8" s="877">
        <v>0</v>
      </c>
      <c r="K8" s="877">
        <v>64</v>
      </c>
      <c r="L8" s="890"/>
      <c r="M8" s="890"/>
      <c r="N8" s="890"/>
      <c r="O8" s="890"/>
      <c r="P8" s="890"/>
      <c r="Q8" s="984"/>
    </row>
    <row r="9" spans="1:17" ht="14.4" x14ac:dyDescent="0.25">
      <c r="A9" s="288" t="s">
        <v>5</v>
      </c>
      <c r="B9" s="622">
        <f>SUM(C9:K9)</f>
        <v>2554</v>
      </c>
      <c r="C9" s="877">
        <v>1296</v>
      </c>
      <c r="D9" s="877">
        <v>93</v>
      </c>
      <c r="E9" s="877">
        <v>299</v>
      </c>
      <c r="F9" s="877">
        <v>216</v>
      </c>
      <c r="G9" s="877">
        <v>317</v>
      </c>
      <c r="H9" s="877">
        <v>2</v>
      </c>
      <c r="I9" s="877">
        <v>88</v>
      </c>
      <c r="J9" s="877">
        <v>157</v>
      </c>
      <c r="K9" s="877">
        <v>86</v>
      </c>
      <c r="L9" s="890"/>
      <c r="M9" s="890"/>
      <c r="N9" s="890"/>
      <c r="O9" s="890"/>
      <c r="P9" s="890"/>
      <c r="Q9" s="984"/>
    </row>
    <row r="10" spans="1:17" ht="14.4" x14ac:dyDescent="0.25">
      <c r="A10" s="288" t="s">
        <v>6</v>
      </c>
      <c r="B10" s="622">
        <f t="shared" ref="B10:B22" si="1">SUM(C10:K10)</f>
        <v>4316</v>
      </c>
      <c r="C10" s="877">
        <v>2942</v>
      </c>
      <c r="D10" s="877">
        <v>123</v>
      </c>
      <c r="E10" s="877">
        <v>459</v>
      </c>
      <c r="F10" s="877">
        <v>354</v>
      </c>
      <c r="G10" s="877">
        <v>27</v>
      </c>
      <c r="H10" s="877">
        <v>2</v>
      </c>
      <c r="I10" s="877">
        <v>253</v>
      </c>
      <c r="J10" s="877">
        <v>0</v>
      </c>
      <c r="K10" s="877">
        <v>156</v>
      </c>
      <c r="L10" s="890"/>
      <c r="M10" s="890"/>
      <c r="N10" s="890"/>
      <c r="O10" s="890"/>
      <c r="P10" s="890"/>
      <c r="Q10" s="984"/>
    </row>
    <row r="11" spans="1:17" ht="14.4" x14ac:dyDescent="0.25">
      <c r="A11" s="288" t="s">
        <v>7</v>
      </c>
      <c r="B11" s="622">
        <f t="shared" si="1"/>
        <v>2274</v>
      </c>
      <c r="C11" s="877">
        <v>622</v>
      </c>
      <c r="D11" s="877">
        <v>42</v>
      </c>
      <c r="E11" s="877">
        <v>1007</v>
      </c>
      <c r="F11" s="877">
        <v>287</v>
      </c>
      <c r="G11" s="877">
        <v>122</v>
      </c>
      <c r="H11" s="877">
        <v>81</v>
      </c>
      <c r="I11" s="877">
        <v>88</v>
      </c>
      <c r="J11" s="877">
        <v>10</v>
      </c>
      <c r="K11" s="877">
        <v>15</v>
      </c>
      <c r="L11" s="890"/>
      <c r="M11" s="890"/>
      <c r="N11" s="890"/>
      <c r="O11" s="890"/>
      <c r="P11" s="890"/>
      <c r="Q11" s="984"/>
    </row>
    <row r="12" spans="1:17" ht="14.4" x14ac:dyDescent="0.25">
      <c r="A12" s="288" t="s">
        <v>8</v>
      </c>
      <c r="B12" s="622">
        <f>SUM(C12:K12)</f>
        <v>3182</v>
      </c>
      <c r="C12" s="877">
        <v>1178</v>
      </c>
      <c r="D12" s="877">
        <v>54</v>
      </c>
      <c r="E12" s="877">
        <v>394</v>
      </c>
      <c r="F12" s="877">
        <v>1092</v>
      </c>
      <c r="G12" s="877">
        <v>100</v>
      </c>
      <c r="H12" s="877">
        <v>44</v>
      </c>
      <c r="I12" s="877">
        <v>59</v>
      </c>
      <c r="J12" s="877">
        <v>22</v>
      </c>
      <c r="K12" s="877">
        <v>239</v>
      </c>
      <c r="L12" s="890"/>
      <c r="M12" s="890"/>
      <c r="N12" s="890"/>
      <c r="O12" s="890"/>
      <c r="P12" s="890"/>
      <c r="Q12" s="984"/>
    </row>
    <row r="13" spans="1:17" ht="14.4" x14ac:dyDescent="0.25">
      <c r="A13" s="288" t="s">
        <v>9</v>
      </c>
      <c r="B13" s="622">
        <f t="shared" si="1"/>
        <v>14537</v>
      </c>
      <c r="C13" s="877">
        <v>7740</v>
      </c>
      <c r="D13" s="877">
        <v>129</v>
      </c>
      <c r="E13" s="877">
        <v>2175</v>
      </c>
      <c r="F13" s="877">
        <v>2060</v>
      </c>
      <c r="G13" s="877">
        <v>626</v>
      </c>
      <c r="H13" s="877">
        <v>417</v>
      </c>
      <c r="I13" s="877">
        <v>565</v>
      </c>
      <c r="J13" s="877">
        <v>375</v>
      </c>
      <c r="K13" s="877">
        <v>450</v>
      </c>
      <c r="L13" s="890"/>
      <c r="M13" s="890"/>
      <c r="N13" s="890"/>
      <c r="O13" s="890"/>
      <c r="P13" s="890"/>
      <c r="Q13" s="984"/>
    </row>
    <row r="14" spans="1:17" ht="14.4" x14ac:dyDescent="0.25">
      <c r="A14" s="288" t="s">
        <v>10</v>
      </c>
      <c r="B14" s="622">
        <f t="shared" si="1"/>
        <v>9591</v>
      </c>
      <c r="C14" s="877">
        <v>3492</v>
      </c>
      <c r="D14" s="877">
        <v>385</v>
      </c>
      <c r="E14" s="877">
        <v>1363</v>
      </c>
      <c r="F14" s="877">
        <v>1779</v>
      </c>
      <c r="G14" s="877">
        <v>686</v>
      </c>
      <c r="H14" s="877">
        <v>210</v>
      </c>
      <c r="I14" s="877">
        <v>365</v>
      </c>
      <c r="J14" s="877">
        <v>427</v>
      </c>
      <c r="K14" s="877">
        <v>884</v>
      </c>
      <c r="L14" s="890"/>
      <c r="M14" s="890"/>
      <c r="N14" s="890"/>
      <c r="O14" s="890"/>
      <c r="P14" s="890"/>
      <c r="Q14" s="984"/>
    </row>
    <row r="15" spans="1:17" ht="14.4" x14ac:dyDescent="0.25">
      <c r="A15" s="288" t="s">
        <v>134</v>
      </c>
      <c r="B15" s="622">
        <f t="shared" si="1"/>
        <v>4913</v>
      </c>
      <c r="C15" s="877">
        <v>2212</v>
      </c>
      <c r="D15" s="877">
        <v>51</v>
      </c>
      <c r="E15" s="877">
        <v>1314</v>
      </c>
      <c r="F15" s="877">
        <v>598</v>
      </c>
      <c r="G15" s="877">
        <v>401</v>
      </c>
      <c r="H15" s="877">
        <v>107</v>
      </c>
      <c r="I15" s="877">
        <v>66</v>
      </c>
      <c r="J15" s="877">
        <v>118</v>
      </c>
      <c r="K15" s="877">
        <v>46</v>
      </c>
      <c r="L15" s="890"/>
      <c r="M15" s="890"/>
      <c r="N15" s="890"/>
      <c r="O15" s="890"/>
      <c r="P15" s="890"/>
      <c r="Q15" s="984"/>
    </row>
    <row r="16" spans="1:17" ht="14.4" x14ac:dyDescent="0.25">
      <c r="A16" s="288" t="s">
        <v>12</v>
      </c>
      <c r="B16" s="622">
        <f t="shared" si="1"/>
        <v>7047</v>
      </c>
      <c r="C16" s="877">
        <v>1872</v>
      </c>
      <c r="D16" s="877">
        <v>74</v>
      </c>
      <c r="E16" s="877">
        <v>2226</v>
      </c>
      <c r="F16" s="877">
        <v>1098</v>
      </c>
      <c r="G16" s="877">
        <v>954</v>
      </c>
      <c r="H16" s="877">
        <v>281</v>
      </c>
      <c r="I16" s="877">
        <v>184</v>
      </c>
      <c r="J16" s="877">
        <v>133</v>
      </c>
      <c r="K16" s="877">
        <v>225</v>
      </c>
      <c r="L16" s="890"/>
      <c r="M16" s="890"/>
      <c r="N16" s="890"/>
      <c r="O16" s="890"/>
      <c r="P16" s="890"/>
      <c r="Q16" s="984"/>
    </row>
    <row r="17" spans="1:17" ht="14.4" x14ac:dyDescent="0.25">
      <c r="A17" s="288" t="s">
        <v>13</v>
      </c>
      <c r="B17" s="622">
        <f t="shared" si="1"/>
        <v>14232</v>
      </c>
      <c r="C17" s="877">
        <v>7845</v>
      </c>
      <c r="D17" s="877">
        <v>440</v>
      </c>
      <c r="E17" s="877">
        <v>4001</v>
      </c>
      <c r="F17" s="877">
        <v>937</v>
      </c>
      <c r="G17" s="877">
        <v>284</v>
      </c>
      <c r="H17" s="877">
        <v>92</v>
      </c>
      <c r="I17" s="877">
        <v>63</v>
      </c>
      <c r="J17" s="877">
        <v>301</v>
      </c>
      <c r="K17" s="877">
        <v>269</v>
      </c>
      <c r="L17" s="890"/>
      <c r="M17" s="890"/>
      <c r="N17" s="890"/>
      <c r="O17" s="890"/>
      <c r="P17" s="890"/>
      <c r="Q17" s="984"/>
    </row>
    <row r="18" spans="1:17" ht="14.4" x14ac:dyDescent="0.25">
      <c r="A18" s="288" t="s">
        <v>47</v>
      </c>
      <c r="B18" s="622">
        <f t="shared" si="1"/>
        <v>17376</v>
      </c>
      <c r="C18" s="877">
        <v>6418</v>
      </c>
      <c r="D18" s="877">
        <v>43</v>
      </c>
      <c r="E18" s="877">
        <v>6185</v>
      </c>
      <c r="F18" s="877">
        <v>2241</v>
      </c>
      <c r="G18" s="877">
        <v>487</v>
      </c>
      <c r="H18" s="877">
        <v>506</v>
      </c>
      <c r="I18" s="877">
        <v>521</v>
      </c>
      <c r="J18" s="877">
        <v>235</v>
      </c>
      <c r="K18" s="877">
        <v>740</v>
      </c>
      <c r="L18" s="890"/>
      <c r="M18" s="890"/>
      <c r="N18" s="890"/>
      <c r="O18" s="890"/>
      <c r="P18" s="890"/>
      <c r="Q18" s="984"/>
    </row>
    <row r="19" spans="1:17" ht="14.4" x14ac:dyDescent="0.25">
      <c r="A19" s="288" t="s">
        <v>135</v>
      </c>
      <c r="B19" s="622">
        <f t="shared" si="1"/>
        <v>513</v>
      </c>
      <c r="C19" s="877">
        <v>106</v>
      </c>
      <c r="D19" s="877">
        <v>14</v>
      </c>
      <c r="E19" s="877">
        <v>141</v>
      </c>
      <c r="F19" s="877">
        <v>212</v>
      </c>
      <c r="G19" s="877">
        <v>19</v>
      </c>
      <c r="H19" s="877">
        <v>1</v>
      </c>
      <c r="I19" s="877">
        <v>20</v>
      </c>
      <c r="J19" s="877">
        <v>0</v>
      </c>
      <c r="K19" s="877">
        <v>0</v>
      </c>
      <c r="L19" s="890"/>
      <c r="M19" s="890"/>
      <c r="N19" s="890"/>
      <c r="O19" s="890"/>
      <c r="P19" s="890"/>
      <c r="Q19" s="984"/>
    </row>
    <row r="20" spans="1:17" ht="14.4" x14ac:dyDescent="0.25">
      <c r="A20" s="288" t="s">
        <v>136</v>
      </c>
      <c r="B20" s="622">
        <f t="shared" si="1"/>
        <v>4965</v>
      </c>
      <c r="C20" s="877">
        <v>1682</v>
      </c>
      <c r="D20" s="877">
        <v>635</v>
      </c>
      <c r="E20" s="877">
        <v>1374</v>
      </c>
      <c r="F20" s="877">
        <v>422</v>
      </c>
      <c r="G20" s="877">
        <v>175</v>
      </c>
      <c r="H20" s="877">
        <v>4</v>
      </c>
      <c r="I20" s="877">
        <v>80</v>
      </c>
      <c r="J20" s="877">
        <v>72</v>
      </c>
      <c r="K20" s="877">
        <v>521</v>
      </c>
      <c r="L20" s="890"/>
      <c r="M20" s="890"/>
      <c r="N20" s="890"/>
      <c r="O20" s="890"/>
      <c r="P20" s="890"/>
      <c r="Q20" s="984"/>
    </row>
    <row r="21" spans="1:17" ht="14.4" x14ac:dyDescent="0.25">
      <c r="A21" s="288" t="s">
        <v>17</v>
      </c>
      <c r="B21" s="622">
        <f t="shared" si="1"/>
        <v>217</v>
      </c>
      <c r="C21" s="877">
        <v>142</v>
      </c>
      <c r="D21" s="877">
        <v>0</v>
      </c>
      <c r="E21" s="877">
        <v>17</v>
      </c>
      <c r="F21" s="877">
        <v>34</v>
      </c>
      <c r="G21" s="877">
        <v>6</v>
      </c>
      <c r="H21" s="877">
        <v>1</v>
      </c>
      <c r="I21" s="877">
        <v>4</v>
      </c>
      <c r="J21" s="877">
        <v>0</v>
      </c>
      <c r="K21" s="877">
        <v>13</v>
      </c>
      <c r="L21" s="890"/>
      <c r="M21" s="890"/>
      <c r="N21" s="890"/>
      <c r="O21" s="890"/>
      <c r="P21" s="890"/>
      <c r="Q21" s="984"/>
    </row>
    <row r="22" spans="1:17" ht="14.4" x14ac:dyDescent="0.25">
      <c r="A22" s="284" t="s">
        <v>18</v>
      </c>
      <c r="B22" s="622">
        <f t="shared" si="1"/>
        <v>1152</v>
      </c>
      <c r="C22" s="877">
        <v>776</v>
      </c>
      <c r="D22" s="877">
        <v>0</v>
      </c>
      <c r="E22" s="877">
        <v>67</v>
      </c>
      <c r="F22" s="877">
        <v>10</v>
      </c>
      <c r="G22" s="877">
        <v>0</v>
      </c>
      <c r="H22" s="877">
        <v>7</v>
      </c>
      <c r="I22" s="877">
        <v>193</v>
      </c>
      <c r="J22" s="877">
        <v>3</v>
      </c>
      <c r="K22" s="877">
        <v>96</v>
      </c>
      <c r="L22" s="890"/>
      <c r="M22" s="890"/>
      <c r="N22" s="890"/>
      <c r="O22" s="890"/>
      <c r="P22" s="890"/>
      <c r="Q22" s="984"/>
    </row>
    <row r="23" spans="1:17" ht="14.4" x14ac:dyDescent="0.25">
      <c r="A23" s="288"/>
      <c r="B23" s="655"/>
      <c r="C23" s="890"/>
      <c r="D23" s="890"/>
      <c r="E23" s="890"/>
      <c r="F23" s="890"/>
      <c r="G23" s="890"/>
      <c r="H23" s="890"/>
      <c r="I23" s="890"/>
      <c r="J23" s="890"/>
      <c r="K23" s="890"/>
      <c r="L23" s="890"/>
      <c r="M23" s="890"/>
      <c r="N23" s="890"/>
      <c r="O23" s="890"/>
      <c r="P23" s="890"/>
      <c r="Q23" s="984"/>
    </row>
    <row r="24" spans="1:17" ht="24.75" customHeight="1" x14ac:dyDescent="0.25">
      <c r="A24" s="982" t="s">
        <v>3611</v>
      </c>
      <c r="B24" s="982"/>
      <c r="C24" s="982"/>
      <c r="D24" s="982"/>
      <c r="E24" s="982"/>
      <c r="F24" s="982"/>
      <c r="G24" s="982"/>
      <c r="H24" s="982"/>
      <c r="I24" s="982"/>
      <c r="J24" s="982"/>
      <c r="K24" s="982"/>
      <c r="Q24" s="984"/>
    </row>
    <row r="25" spans="1:17" x14ac:dyDescent="0.25">
      <c r="A25" s="1697" t="s">
        <v>19</v>
      </c>
      <c r="B25" s="1697"/>
      <c r="C25" s="1697"/>
      <c r="D25" s="1697"/>
      <c r="E25" s="882"/>
      <c r="F25" s="882"/>
      <c r="G25" s="882"/>
      <c r="H25" s="882"/>
      <c r="I25" s="701"/>
      <c r="Q25" s="984"/>
    </row>
    <row r="26" spans="1:17" x14ac:dyDescent="0.25">
      <c r="A26" s="336" t="s">
        <v>2213</v>
      </c>
      <c r="B26" s="2"/>
      <c r="C26" s="2"/>
      <c r="D26" s="2"/>
      <c r="E26" s="2"/>
      <c r="F26" s="2"/>
      <c r="G26" s="2"/>
      <c r="H26" s="2"/>
      <c r="I26" s="2"/>
      <c r="Q26" s="984"/>
    </row>
  </sheetData>
  <mergeCells count="6">
    <mergeCell ref="A4:A6"/>
    <mergeCell ref="B4:K4"/>
    <mergeCell ref="B5:B6"/>
    <mergeCell ref="C5:K5"/>
    <mergeCell ref="A24:K24"/>
    <mergeCell ref="A25:D25"/>
  </mergeCells>
  <pageMargins left="0.7" right="0.7" top="0.75" bottom="0.75" header="0.3" footer="0.3"/>
  <pageSetup paperSize="14" orientation="landscape" r:id="rId1"/>
</worksheet>
</file>

<file path=xl/worksheets/sheet3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09224-27D1-48FB-8A11-BB8D708F4CEB}">
  <sheetPr codeName="Hoja316"/>
  <dimension ref="A2:K14"/>
  <sheetViews>
    <sheetView zoomScaleNormal="100" workbookViewId="0">
      <selection activeCell="F37" sqref="F37"/>
    </sheetView>
  </sheetViews>
  <sheetFormatPr baseColWidth="10" defaultRowHeight="13.2" x14ac:dyDescent="0.25"/>
  <sheetData>
    <row r="2" spans="1:11" x14ac:dyDescent="0.25">
      <c r="A2" s="24" t="s">
        <v>3499</v>
      </c>
    </row>
    <row r="4" spans="1:11" x14ac:dyDescent="0.25">
      <c r="A4" s="298" t="s">
        <v>825</v>
      </c>
      <c r="B4" s="685" t="s">
        <v>2204</v>
      </c>
      <c r="C4" s="685"/>
      <c r="D4" s="685"/>
      <c r="E4" s="685"/>
      <c r="F4" s="685"/>
      <c r="G4" s="685"/>
      <c r="H4" s="685"/>
      <c r="I4" s="685"/>
      <c r="J4" s="685"/>
      <c r="K4" s="685"/>
    </row>
    <row r="5" spans="1:11" x14ac:dyDescent="0.25">
      <c r="A5" s="298"/>
      <c r="B5" s="298" t="s">
        <v>3</v>
      </c>
      <c r="C5" s="685" t="s">
        <v>2205</v>
      </c>
      <c r="D5" s="685"/>
      <c r="E5" s="685"/>
      <c r="F5" s="685"/>
      <c r="G5" s="685"/>
      <c r="H5" s="685"/>
      <c r="I5" s="685"/>
      <c r="J5" s="685"/>
      <c r="K5" s="685"/>
    </row>
    <row r="6" spans="1:11" ht="20.399999999999999" x14ac:dyDescent="0.25">
      <c r="A6" s="298"/>
      <c r="B6" s="298"/>
      <c r="C6" s="644" t="s">
        <v>3607</v>
      </c>
      <c r="D6" s="644" t="s">
        <v>3608</v>
      </c>
      <c r="E6" s="644" t="s">
        <v>3609</v>
      </c>
      <c r="F6" s="644" t="s">
        <v>3610</v>
      </c>
      <c r="G6" s="644" t="s">
        <v>3600</v>
      </c>
      <c r="H6" s="644" t="s">
        <v>3578</v>
      </c>
      <c r="I6" s="644" t="s">
        <v>3572</v>
      </c>
      <c r="J6" s="644" t="s">
        <v>3596</v>
      </c>
      <c r="K6" s="644" t="s">
        <v>996</v>
      </c>
    </row>
    <row r="7" spans="1:11" x14ac:dyDescent="0.25">
      <c r="A7" s="669" t="s">
        <v>2214</v>
      </c>
      <c r="B7" s="655">
        <f>SUM(C7:K7)</f>
        <v>51734</v>
      </c>
      <c r="C7" s="643">
        <v>23473</v>
      </c>
      <c r="D7" s="643">
        <v>830</v>
      </c>
      <c r="E7" s="643">
        <v>12640</v>
      </c>
      <c r="F7" s="643">
        <v>6822</v>
      </c>
      <c r="G7" s="643">
        <v>2288</v>
      </c>
      <c r="H7" s="643">
        <v>2192</v>
      </c>
      <c r="I7" s="643">
        <v>767</v>
      </c>
      <c r="J7" s="643">
        <v>698</v>
      </c>
      <c r="K7" s="643">
        <v>2024</v>
      </c>
    </row>
    <row r="8" spans="1:11" x14ac:dyDescent="0.25">
      <c r="A8" s="669">
        <v>2010</v>
      </c>
      <c r="B8" s="655">
        <f t="shared" ref="B8:B11" si="0">SUM(C8:K8)</f>
        <v>48261</v>
      </c>
      <c r="C8" s="643">
        <v>24574</v>
      </c>
      <c r="D8" s="643">
        <v>839</v>
      </c>
      <c r="E8" s="643">
        <v>9338</v>
      </c>
      <c r="F8" s="643">
        <v>5831</v>
      </c>
      <c r="G8" s="643">
        <v>1773</v>
      </c>
      <c r="H8" s="643">
        <v>2234</v>
      </c>
      <c r="I8" s="643">
        <v>964</v>
      </c>
      <c r="J8" s="643">
        <v>551</v>
      </c>
      <c r="K8" s="643">
        <v>2157</v>
      </c>
    </row>
    <row r="9" spans="1:11" x14ac:dyDescent="0.25">
      <c r="A9" s="669" t="s">
        <v>2215</v>
      </c>
      <c r="B9" s="655">
        <f t="shared" si="0"/>
        <v>65199</v>
      </c>
      <c r="C9" s="643">
        <v>30584</v>
      </c>
      <c r="D9" s="643">
        <v>1257</v>
      </c>
      <c r="E9" s="643">
        <v>11405</v>
      </c>
      <c r="F9" s="643">
        <v>11553</v>
      </c>
      <c r="G9" s="643">
        <v>2965</v>
      </c>
      <c r="H9" s="643">
        <v>2617</v>
      </c>
      <c r="I9" s="643">
        <v>1694</v>
      </c>
      <c r="J9" s="643">
        <v>546</v>
      </c>
      <c r="K9" s="643">
        <v>2578</v>
      </c>
    </row>
    <row r="10" spans="1:11" x14ac:dyDescent="0.25">
      <c r="A10" s="669" t="s">
        <v>2216</v>
      </c>
      <c r="B10" s="655">
        <f t="shared" si="0"/>
        <v>97648</v>
      </c>
      <c r="C10" s="643">
        <v>38134</v>
      </c>
      <c r="D10" s="643">
        <v>1308</v>
      </c>
      <c r="E10" s="643">
        <v>22334</v>
      </c>
      <c r="F10" s="643">
        <v>15947</v>
      </c>
      <c r="G10" s="643">
        <v>6394</v>
      </c>
      <c r="H10" s="643">
        <v>4059</v>
      </c>
      <c r="I10" s="643">
        <v>1656</v>
      </c>
      <c r="J10" s="643">
        <v>2645</v>
      </c>
      <c r="K10" s="643">
        <v>5171</v>
      </c>
    </row>
    <row r="11" spans="1:11" x14ac:dyDescent="0.25">
      <c r="A11" s="669" t="s">
        <v>2217</v>
      </c>
      <c r="B11" s="655">
        <f t="shared" si="0"/>
        <v>89203</v>
      </c>
      <c r="C11" s="643">
        <v>39824</v>
      </c>
      <c r="D11" s="643">
        <v>2106</v>
      </c>
      <c r="E11" s="643">
        <v>21223</v>
      </c>
      <c r="F11" s="643">
        <v>11634</v>
      </c>
      <c r="G11" s="643">
        <v>4254</v>
      </c>
      <c r="H11" s="643">
        <v>1802</v>
      </c>
      <c r="I11" s="643">
        <v>2703</v>
      </c>
      <c r="J11" s="643">
        <v>1853</v>
      </c>
      <c r="K11" s="643">
        <v>3804</v>
      </c>
    </row>
    <row r="12" spans="1:11" x14ac:dyDescent="0.25">
      <c r="A12" s="669"/>
      <c r="B12" s="655"/>
      <c r="C12" s="643"/>
      <c r="D12" s="643"/>
      <c r="E12" s="643"/>
      <c r="F12" s="643"/>
      <c r="G12" s="643"/>
      <c r="H12" s="643"/>
      <c r="I12" s="643"/>
      <c r="J12" s="643"/>
      <c r="K12" s="643"/>
    </row>
    <row r="13" spans="1:11" ht="27.75" customHeight="1" x14ac:dyDescent="0.25">
      <c r="A13" s="982" t="s">
        <v>3611</v>
      </c>
      <c r="B13" s="982"/>
      <c r="C13" s="982"/>
      <c r="D13" s="982"/>
      <c r="E13" s="982"/>
      <c r="F13" s="982"/>
      <c r="G13" s="982"/>
      <c r="H13" s="982"/>
      <c r="I13" s="982"/>
      <c r="J13" s="982"/>
      <c r="K13" s="982"/>
    </row>
    <row r="14" spans="1:11" x14ac:dyDescent="0.25">
      <c r="A14" s="336" t="s">
        <v>2213</v>
      </c>
      <c r="B14" s="2"/>
      <c r="C14" s="2"/>
      <c r="D14" s="2"/>
      <c r="E14" s="2"/>
      <c r="F14" s="2"/>
      <c r="G14" s="2"/>
      <c r="H14" s="2"/>
      <c r="I14" s="2"/>
    </row>
  </sheetData>
  <mergeCells count="5">
    <mergeCell ref="A4:A6"/>
    <mergeCell ref="B4:K4"/>
    <mergeCell ref="B5:B6"/>
    <mergeCell ref="C5:K5"/>
    <mergeCell ref="A13:K13"/>
  </mergeCells>
  <pageMargins left="0.70866141732283472" right="0.70866141732283472" top="0.74803149606299213" bottom="0.74803149606299213" header="0.31496062992125984" footer="0.31496062992125984"/>
  <pageSetup paperSize="14" scale="115" orientation="landscape" r:id="rId1"/>
</worksheet>
</file>

<file path=xl/worksheets/sheet3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91FD60-9975-47E6-8C80-B04BB3231CCE}">
  <sheetPr codeName="Hoja317"/>
  <dimension ref="A2:K26"/>
  <sheetViews>
    <sheetView zoomScaleNormal="100" workbookViewId="0">
      <selection activeCell="F37" sqref="F37"/>
    </sheetView>
  </sheetViews>
  <sheetFormatPr baseColWidth="10" defaultRowHeight="13.2" x14ac:dyDescent="0.25"/>
  <cols>
    <col min="1" max="1" width="21.6640625" customWidth="1"/>
    <col min="2" max="4" width="11.88671875" bestFit="1" customWidth="1"/>
    <col min="5" max="11" width="11.5546875" bestFit="1" customWidth="1"/>
  </cols>
  <sheetData>
    <row r="2" spans="1:11" ht="24" customHeight="1" x14ac:dyDescent="0.25">
      <c r="A2" s="234" t="s">
        <v>3500</v>
      </c>
      <c r="B2" s="234"/>
      <c r="C2" s="234"/>
      <c r="D2" s="234"/>
      <c r="E2" s="234"/>
      <c r="F2" s="234"/>
      <c r="G2" s="234"/>
      <c r="H2" s="234"/>
      <c r="I2" s="234"/>
      <c r="J2" s="234"/>
      <c r="K2" s="234"/>
    </row>
    <row r="3" spans="1:11" x14ac:dyDescent="0.25">
      <c r="A3" s="1704"/>
      <c r="B3" s="884"/>
      <c r="C3" s="884"/>
      <c r="D3" s="884"/>
      <c r="E3" s="884"/>
      <c r="F3" s="884"/>
      <c r="G3" s="884"/>
      <c r="H3" s="884"/>
      <c r="I3" s="884"/>
    </row>
    <row r="4" spans="1:11" s="1705" customFormat="1" x14ac:dyDescent="0.25">
      <c r="A4" s="298" t="s">
        <v>0</v>
      </c>
      <c r="B4" s="688" t="s">
        <v>2218</v>
      </c>
      <c r="C4" s="689"/>
      <c r="D4" s="689"/>
      <c r="E4" s="689"/>
      <c r="F4" s="689"/>
      <c r="G4" s="689"/>
      <c r="H4" s="689"/>
      <c r="I4" s="689"/>
      <c r="J4" s="689"/>
      <c r="K4" s="694"/>
    </row>
    <row r="5" spans="1:11" s="1705" customFormat="1" x14ac:dyDescent="0.25">
      <c r="A5" s="298"/>
      <c r="B5" s="298" t="s">
        <v>3</v>
      </c>
      <c r="C5" s="688" t="s">
        <v>2205</v>
      </c>
      <c r="D5" s="689"/>
      <c r="E5" s="689"/>
      <c r="F5" s="689"/>
      <c r="G5" s="689"/>
      <c r="H5" s="689"/>
      <c r="I5" s="689"/>
      <c r="J5" s="689"/>
      <c r="K5" s="694"/>
    </row>
    <row r="6" spans="1:11" s="1705" customFormat="1" ht="20.399999999999999" x14ac:dyDescent="0.25">
      <c r="A6" s="298"/>
      <c r="B6" s="1706"/>
      <c r="C6" s="644" t="s">
        <v>3607</v>
      </c>
      <c r="D6" s="644" t="s">
        <v>3608</v>
      </c>
      <c r="E6" s="644" t="s">
        <v>3609</v>
      </c>
      <c r="F6" s="644" t="s">
        <v>3610</v>
      </c>
      <c r="G6" s="644" t="s">
        <v>3600</v>
      </c>
      <c r="H6" s="644" t="s">
        <v>3578</v>
      </c>
      <c r="I6" s="644" t="s">
        <v>3572</v>
      </c>
      <c r="J6" s="644" t="s">
        <v>3596</v>
      </c>
      <c r="K6" s="644" t="s">
        <v>996</v>
      </c>
    </row>
    <row r="7" spans="1:11" x14ac:dyDescent="0.25">
      <c r="A7" s="884" t="s">
        <v>3</v>
      </c>
      <c r="B7" s="622">
        <f>SUM(B8:B22)</f>
        <v>4672677</v>
      </c>
      <c r="C7" s="622">
        <f>SUM(C8:C22)</f>
        <v>1548509</v>
      </c>
      <c r="D7" s="622">
        <f t="shared" ref="D7:K7" si="0">SUM(D8:D22)</f>
        <v>2513284</v>
      </c>
      <c r="E7" s="622">
        <f t="shared" si="0"/>
        <v>204374</v>
      </c>
      <c r="F7" s="622">
        <f t="shared" si="0"/>
        <v>228583</v>
      </c>
      <c r="G7" s="622">
        <f t="shared" si="0"/>
        <v>9632</v>
      </c>
      <c r="H7" s="622">
        <f t="shared" si="0"/>
        <v>7771</v>
      </c>
      <c r="I7" s="622">
        <f t="shared" si="0"/>
        <v>50710</v>
      </c>
      <c r="J7" s="622">
        <f t="shared" si="0"/>
        <v>6739</v>
      </c>
      <c r="K7" s="622">
        <f t="shared" si="0"/>
        <v>103075</v>
      </c>
    </row>
    <row r="8" spans="1:11" ht="14.4" x14ac:dyDescent="0.25">
      <c r="A8" s="288" t="s">
        <v>4</v>
      </c>
      <c r="B8" s="622">
        <f>SUM(C8:K8)</f>
        <v>149764</v>
      </c>
      <c r="C8" s="877">
        <v>55100</v>
      </c>
      <c r="D8" s="877">
        <v>94234</v>
      </c>
      <c r="E8" s="877">
        <v>0</v>
      </c>
      <c r="F8" s="877">
        <v>200</v>
      </c>
      <c r="G8" s="877">
        <v>0</v>
      </c>
      <c r="H8" s="877">
        <v>0</v>
      </c>
      <c r="I8" s="877">
        <v>0</v>
      </c>
      <c r="J8" s="877"/>
      <c r="K8" s="877">
        <v>230</v>
      </c>
    </row>
    <row r="9" spans="1:11" ht="14.4" x14ac:dyDescent="0.25">
      <c r="A9" s="288" t="s">
        <v>5</v>
      </c>
      <c r="B9" s="622">
        <f t="shared" ref="B9:B22" si="1">SUM(C9:K9)</f>
        <v>134168</v>
      </c>
      <c r="C9" s="877">
        <v>2000</v>
      </c>
      <c r="D9" s="877">
        <v>131000</v>
      </c>
      <c r="E9" s="877">
        <v>168</v>
      </c>
      <c r="F9" s="877">
        <v>0</v>
      </c>
      <c r="G9" s="877">
        <v>0</v>
      </c>
      <c r="H9" s="877">
        <v>0</v>
      </c>
      <c r="I9" s="877">
        <v>0</v>
      </c>
      <c r="J9" s="877">
        <v>0</v>
      </c>
      <c r="K9" s="877">
        <v>1000</v>
      </c>
    </row>
    <row r="10" spans="1:11" ht="14.4" x14ac:dyDescent="0.25">
      <c r="A10" s="288" t="s">
        <v>6</v>
      </c>
      <c r="B10" s="622">
        <f t="shared" si="1"/>
        <v>176556</v>
      </c>
      <c r="C10" s="877">
        <v>8988</v>
      </c>
      <c r="D10" s="877">
        <v>161283</v>
      </c>
      <c r="E10" s="877">
        <v>3530</v>
      </c>
      <c r="F10" s="877">
        <v>2755</v>
      </c>
      <c r="G10" s="877">
        <v>0</v>
      </c>
      <c r="H10" s="877">
        <v>0</v>
      </c>
      <c r="I10" s="877">
        <v>0</v>
      </c>
      <c r="J10" s="877"/>
      <c r="K10" s="877">
        <v>0</v>
      </c>
    </row>
    <row r="11" spans="1:11" ht="14.4" x14ac:dyDescent="0.25">
      <c r="A11" s="288" t="s">
        <v>7</v>
      </c>
      <c r="B11" s="622">
        <f t="shared" si="1"/>
        <v>67965</v>
      </c>
      <c r="C11" s="877">
        <v>26638</v>
      </c>
      <c r="D11" s="877">
        <v>37332</v>
      </c>
      <c r="E11" s="877">
        <v>110</v>
      </c>
      <c r="F11" s="877">
        <v>1400</v>
      </c>
      <c r="G11" s="877">
        <v>0</v>
      </c>
      <c r="H11" s="877">
        <v>225</v>
      </c>
      <c r="I11" s="877">
        <v>0</v>
      </c>
      <c r="J11" s="877">
        <v>0</v>
      </c>
      <c r="K11" s="877">
        <v>2260</v>
      </c>
    </row>
    <row r="12" spans="1:11" ht="14.4" x14ac:dyDescent="0.25">
      <c r="A12" s="288" t="s">
        <v>8</v>
      </c>
      <c r="B12" s="622">
        <f t="shared" si="1"/>
        <v>179354</v>
      </c>
      <c r="C12" s="877">
        <v>33270</v>
      </c>
      <c r="D12" s="877">
        <v>117684</v>
      </c>
      <c r="E12" s="877">
        <v>780</v>
      </c>
      <c r="F12" s="877">
        <v>14020</v>
      </c>
      <c r="G12" s="877">
        <v>2000</v>
      </c>
      <c r="H12" s="877">
        <v>0</v>
      </c>
      <c r="I12" s="877">
        <v>0</v>
      </c>
      <c r="J12" s="877">
        <v>0</v>
      </c>
      <c r="K12" s="877">
        <v>11600</v>
      </c>
    </row>
    <row r="13" spans="1:11" ht="14.4" x14ac:dyDescent="0.25">
      <c r="A13" s="288" t="s">
        <v>9</v>
      </c>
      <c r="B13" s="622">
        <f t="shared" si="1"/>
        <v>434287</v>
      </c>
      <c r="C13" s="877">
        <v>172745</v>
      </c>
      <c r="D13" s="877">
        <v>236600</v>
      </c>
      <c r="E13" s="877">
        <v>4139</v>
      </c>
      <c r="F13" s="877">
        <v>6162</v>
      </c>
      <c r="G13" s="877">
        <v>695</v>
      </c>
      <c r="H13" s="877">
        <v>4000</v>
      </c>
      <c r="I13" s="877">
        <v>600</v>
      </c>
      <c r="J13" s="877">
        <v>115</v>
      </c>
      <c r="K13" s="877">
        <v>9231</v>
      </c>
    </row>
    <row r="14" spans="1:11" ht="14.4" x14ac:dyDescent="0.25">
      <c r="A14" s="288" t="s">
        <v>10</v>
      </c>
      <c r="B14" s="622">
        <f t="shared" si="1"/>
        <v>1478711</v>
      </c>
      <c r="C14" s="877">
        <v>113271</v>
      </c>
      <c r="D14" s="877">
        <v>1209629</v>
      </c>
      <c r="E14" s="877">
        <v>36327</v>
      </c>
      <c r="F14" s="877">
        <v>28070</v>
      </c>
      <c r="G14" s="877">
        <v>1397</v>
      </c>
      <c r="H14" s="877">
        <v>0</v>
      </c>
      <c r="I14" s="877">
        <v>41440</v>
      </c>
      <c r="J14" s="877">
        <v>6228</v>
      </c>
      <c r="K14" s="877">
        <v>42349</v>
      </c>
    </row>
    <row r="15" spans="1:11" ht="14.4" x14ac:dyDescent="0.25">
      <c r="A15" s="288" t="s">
        <v>134</v>
      </c>
      <c r="B15" s="622">
        <f t="shared" si="1"/>
        <v>164473</v>
      </c>
      <c r="C15" s="877">
        <v>88982</v>
      </c>
      <c r="D15" s="877">
        <v>23273</v>
      </c>
      <c r="E15" s="877">
        <v>27536</v>
      </c>
      <c r="F15" s="877">
        <v>6700</v>
      </c>
      <c r="G15" s="877">
        <v>4692</v>
      </c>
      <c r="H15" s="877">
        <v>2670</v>
      </c>
      <c r="I15" s="877">
        <v>0</v>
      </c>
      <c r="J15" s="877">
        <v>0</v>
      </c>
      <c r="K15" s="877">
        <v>10620</v>
      </c>
    </row>
    <row r="16" spans="1:11" ht="14.4" x14ac:dyDescent="0.25">
      <c r="A16" s="288" t="s">
        <v>12</v>
      </c>
      <c r="B16" s="622">
        <f t="shared" si="1"/>
        <v>420175</v>
      </c>
      <c r="C16" s="877">
        <v>266479</v>
      </c>
      <c r="D16" s="877">
        <v>116178</v>
      </c>
      <c r="E16" s="877">
        <v>15715</v>
      </c>
      <c r="F16" s="877">
        <v>18150</v>
      </c>
      <c r="G16" s="877">
        <v>0</v>
      </c>
      <c r="H16" s="877">
        <v>0</v>
      </c>
      <c r="I16" s="877">
        <v>0</v>
      </c>
      <c r="J16" s="877">
        <v>0</v>
      </c>
      <c r="K16" s="877">
        <v>3653</v>
      </c>
    </row>
    <row r="17" spans="1:11" ht="14.4" x14ac:dyDescent="0.25">
      <c r="A17" s="288" t="s">
        <v>13</v>
      </c>
      <c r="B17" s="622">
        <f t="shared" si="1"/>
        <v>601892</v>
      </c>
      <c r="C17" s="877">
        <v>176018</v>
      </c>
      <c r="D17" s="877">
        <v>315153</v>
      </c>
      <c r="E17" s="877">
        <v>50130</v>
      </c>
      <c r="F17" s="877">
        <v>49820</v>
      </c>
      <c r="G17" s="877">
        <v>0</v>
      </c>
      <c r="H17" s="877">
        <v>100</v>
      </c>
      <c r="I17" s="877">
        <v>5620</v>
      </c>
      <c r="J17" s="877">
        <v>0</v>
      </c>
      <c r="K17" s="877">
        <v>5051</v>
      </c>
    </row>
    <row r="18" spans="1:11" ht="14.4" x14ac:dyDescent="0.25">
      <c r="A18" s="288" t="s">
        <v>47</v>
      </c>
      <c r="B18" s="622">
        <f t="shared" si="1"/>
        <v>340667</v>
      </c>
      <c r="C18" s="877">
        <v>268584</v>
      </c>
      <c r="D18" s="877">
        <v>25400</v>
      </c>
      <c r="E18" s="877">
        <v>24797</v>
      </c>
      <c r="F18" s="877">
        <v>16220</v>
      </c>
      <c r="G18" s="877">
        <v>598</v>
      </c>
      <c r="H18" s="877">
        <v>276</v>
      </c>
      <c r="I18" s="877">
        <v>400</v>
      </c>
      <c r="J18" s="877">
        <v>396</v>
      </c>
      <c r="K18" s="877">
        <v>3996</v>
      </c>
    </row>
    <row r="19" spans="1:11" ht="14.4" x14ac:dyDescent="0.25">
      <c r="A19" s="288" t="s">
        <v>135</v>
      </c>
      <c r="B19" s="622">
        <f t="shared" si="1"/>
        <v>29435</v>
      </c>
      <c r="C19" s="877">
        <v>3660</v>
      </c>
      <c r="D19" s="877">
        <v>14225</v>
      </c>
      <c r="E19" s="877">
        <v>0</v>
      </c>
      <c r="F19" s="877">
        <v>10440</v>
      </c>
      <c r="G19" s="877">
        <v>0</v>
      </c>
      <c r="H19" s="877">
        <v>0</v>
      </c>
      <c r="I19" s="877">
        <v>1110</v>
      </c>
      <c r="J19" s="877">
        <v>0</v>
      </c>
      <c r="K19" s="877">
        <v>0</v>
      </c>
    </row>
    <row r="20" spans="1:11" ht="14.4" x14ac:dyDescent="0.25">
      <c r="A20" s="288" t="s">
        <v>136</v>
      </c>
      <c r="B20" s="622">
        <f t="shared" si="1"/>
        <v>467976</v>
      </c>
      <c r="C20" s="877">
        <v>310456</v>
      </c>
      <c r="D20" s="877">
        <v>31293</v>
      </c>
      <c r="E20" s="877">
        <v>39206</v>
      </c>
      <c r="F20" s="877">
        <v>74646</v>
      </c>
      <c r="G20" s="877">
        <v>250</v>
      </c>
      <c r="H20" s="877">
        <v>500</v>
      </c>
      <c r="I20" s="877">
        <v>1540</v>
      </c>
      <c r="J20" s="877">
        <v>0</v>
      </c>
      <c r="K20" s="877">
        <v>10085</v>
      </c>
    </row>
    <row r="21" spans="1:11" ht="14.4" x14ac:dyDescent="0.25">
      <c r="A21" s="288" t="s">
        <v>17</v>
      </c>
      <c r="B21" s="622">
        <f t="shared" si="1"/>
        <v>200</v>
      </c>
      <c r="C21" s="877">
        <v>100</v>
      </c>
      <c r="D21" s="877">
        <v>0</v>
      </c>
      <c r="E21" s="877">
        <v>100</v>
      </c>
      <c r="F21" s="877">
        <v>0</v>
      </c>
      <c r="G21" s="877">
        <v>0</v>
      </c>
      <c r="H21" s="877">
        <v>0</v>
      </c>
      <c r="I21" s="877">
        <v>0</v>
      </c>
      <c r="J21" s="877">
        <v>0</v>
      </c>
      <c r="K21" s="877">
        <v>0</v>
      </c>
    </row>
    <row r="22" spans="1:11" ht="14.4" x14ac:dyDescent="0.25">
      <c r="A22" s="284" t="s">
        <v>18</v>
      </c>
      <c r="B22" s="622">
        <f t="shared" si="1"/>
        <v>27054</v>
      </c>
      <c r="C22" s="877">
        <v>22218</v>
      </c>
      <c r="D22" s="877">
        <v>0</v>
      </c>
      <c r="E22" s="877">
        <v>1836</v>
      </c>
      <c r="F22" s="877">
        <v>0</v>
      </c>
      <c r="G22" s="877"/>
      <c r="H22" s="877">
        <v>0</v>
      </c>
      <c r="I22" s="877">
        <v>0</v>
      </c>
      <c r="J22" s="877">
        <v>0</v>
      </c>
      <c r="K22" s="877">
        <v>3000</v>
      </c>
    </row>
    <row r="23" spans="1:11" ht="14.4" x14ac:dyDescent="0.25">
      <c r="A23" s="288"/>
      <c r="B23" s="655"/>
      <c r="C23" s="890"/>
      <c r="D23" s="890"/>
      <c r="E23" s="890"/>
      <c r="F23" s="890"/>
      <c r="G23" s="890"/>
      <c r="H23" s="890"/>
      <c r="I23" s="890"/>
      <c r="J23" s="890"/>
      <c r="K23" s="890"/>
    </row>
    <row r="24" spans="1:11" ht="26.25" customHeight="1" x14ac:dyDescent="0.25">
      <c r="A24" s="982" t="s">
        <v>3611</v>
      </c>
      <c r="B24" s="982"/>
      <c r="C24" s="982"/>
      <c r="D24" s="982"/>
      <c r="E24" s="982"/>
      <c r="F24" s="982"/>
      <c r="G24" s="982"/>
      <c r="H24" s="982"/>
      <c r="I24" s="982"/>
      <c r="J24" s="982"/>
      <c r="K24" s="982"/>
    </row>
    <row r="25" spans="1:11" x14ac:dyDescent="0.25">
      <c r="A25" s="1697" t="s">
        <v>19</v>
      </c>
      <c r="B25" s="1697"/>
      <c r="C25" s="1697"/>
      <c r="D25" s="1697"/>
      <c r="E25" s="882"/>
      <c r="F25" s="882"/>
      <c r="G25" s="882"/>
      <c r="H25" s="882"/>
      <c r="I25" s="701"/>
    </row>
    <row r="26" spans="1:11" x14ac:dyDescent="0.25">
      <c r="A26" s="336" t="s">
        <v>2213</v>
      </c>
      <c r="B26" s="633"/>
      <c r="C26" s="885"/>
      <c r="D26" s="885"/>
      <c r="E26" s="885"/>
      <c r="F26" s="885"/>
      <c r="G26" s="885"/>
      <c r="H26" s="885"/>
      <c r="I26" s="885"/>
    </row>
  </sheetData>
  <mergeCells count="7">
    <mergeCell ref="A25:D25"/>
    <mergeCell ref="A2:K2"/>
    <mergeCell ref="A4:A6"/>
    <mergeCell ref="B4:K4"/>
    <mergeCell ref="B5:B6"/>
    <mergeCell ref="C5:K5"/>
    <mergeCell ref="A24:K24"/>
  </mergeCells>
  <pageMargins left="0.7" right="0.7" top="0.75" bottom="0.75" header="0.3" footer="0.3"/>
  <pageSetup paperSize="14" orientation="landscape" r:id="rId1"/>
</worksheet>
</file>

<file path=xl/worksheets/sheet3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379735-B9DB-4A02-8E0B-6344CC3665D8}">
  <sheetPr codeName="Hoja318"/>
  <dimension ref="A3:K15"/>
  <sheetViews>
    <sheetView topLeftCell="A2" zoomScaleNormal="100" workbookViewId="0">
      <selection activeCell="F37" sqref="F37"/>
    </sheetView>
  </sheetViews>
  <sheetFormatPr baseColWidth="10" defaultRowHeight="13.2" x14ac:dyDescent="0.25"/>
  <sheetData>
    <row r="3" spans="1:11" ht="24" customHeight="1" x14ac:dyDescent="0.25">
      <c r="A3" s="308" t="s">
        <v>3501</v>
      </c>
      <c r="B3" s="308"/>
      <c r="C3" s="308"/>
      <c r="D3" s="308"/>
      <c r="E3" s="308"/>
      <c r="F3" s="308"/>
      <c r="G3" s="308"/>
      <c r="H3" s="308"/>
      <c r="I3" s="308"/>
      <c r="J3" s="308"/>
      <c r="K3" s="308"/>
    </row>
    <row r="5" spans="1:11" x14ac:dyDescent="0.25">
      <c r="A5" s="653" t="s">
        <v>825</v>
      </c>
      <c r="B5" s="874" t="s">
        <v>2218</v>
      </c>
      <c r="C5" s="875"/>
      <c r="D5" s="875"/>
      <c r="E5" s="875"/>
      <c r="F5" s="875"/>
      <c r="G5" s="875"/>
      <c r="H5" s="875"/>
      <c r="I5" s="875"/>
      <c r="J5" s="875"/>
      <c r="K5" s="876"/>
    </row>
    <row r="6" spans="1:11" x14ac:dyDescent="0.25">
      <c r="A6" s="887"/>
      <c r="B6" s="653" t="s">
        <v>3</v>
      </c>
      <c r="C6" s="874" t="s">
        <v>2205</v>
      </c>
      <c r="D6" s="875"/>
      <c r="E6" s="875"/>
      <c r="F6" s="875"/>
      <c r="G6" s="875"/>
      <c r="H6" s="875"/>
      <c r="I6" s="875"/>
      <c r="J6" s="875"/>
      <c r="K6" s="876"/>
    </row>
    <row r="7" spans="1:11" ht="20.399999999999999" x14ac:dyDescent="0.25">
      <c r="A7" s="654"/>
      <c r="B7" s="654"/>
      <c r="C7" s="980" t="s">
        <v>3607</v>
      </c>
      <c r="D7" s="980" t="s">
        <v>3608</v>
      </c>
      <c r="E7" s="980" t="s">
        <v>3609</v>
      </c>
      <c r="F7" s="980" t="s">
        <v>3610</v>
      </c>
      <c r="G7" s="980" t="s">
        <v>3600</v>
      </c>
      <c r="H7" s="980" t="s">
        <v>3578</v>
      </c>
      <c r="I7" s="980" t="s">
        <v>3572</v>
      </c>
      <c r="J7" s="980" t="s">
        <v>3596</v>
      </c>
      <c r="K7" s="980" t="s">
        <v>996</v>
      </c>
    </row>
    <row r="8" spans="1:11" x14ac:dyDescent="0.25">
      <c r="A8" s="669" t="s">
        <v>2214</v>
      </c>
      <c r="B8" s="655">
        <f>SUM(C8:K8)</f>
        <v>4704965</v>
      </c>
      <c r="C8" s="643">
        <v>1001725</v>
      </c>
      <c r="D8" s="643">
        <v>3203314</v>
      </c>
      <c r="E8" s="643">
        <v>161928</v>
      </c>
      <c r="F8" s="643">
        <v>221530</v>
      </c>
      <c r="G8" s="643">
        <v>14351</v>
      </c>
      <c r="H8" s="643">
        <v>20985</v>
      </c>
      <c r="I8" s="643">
        <v>10435</v>
      </c>
      <c r="J8" s="643">
        <v>13710</v>
      </c>
      <c r="K8" s="643">
        <v>56987</v>
      </c>
    </row>
    <row r="9" spans="1:11" x14ac:dyDescent="0.25">
      <c r="A9" s="669" t="s">
        <v>2219</v>
      </c>
      <c r="B9" s="655">
        <f t="shared" ref="B9:B11" si="0">SUM(C9:K9)</f>
        <v>3917151</v>
      </c>
      <c r="C9" s="643">
        <v>1076732</v>
      </c>
      <c r="D9" s="643">
        <v>2470311</v>
      </c>
      <c r="E9" s="643">
        <v>113305</v>
      </c>
      <c r="F9" s="643">
        <v>145153</v>
      </c>
      <c r="G9" s="643">
        <v>2703</v>
      </c>
      <c r="H9" s="643">
        <v>33911</v>
      </c>
      <c r="I9" s="643">
        <v>4312</v>
      </c>
      <c r="J9" s="643">
        <v>1402</v>
      </c>
      <c r="K9" s="643">
        <v>69322</v>
      </c>
    </row>
    <row r="10" spans="1:11" x14ac:dyDescent="0.25">
      <c r="A10" s="669" t="s">
        <v>2215</v>
      </c>
      <c r="B10" s="655">
        <f t="shared" si="0"/>
        <v>4648127</v>
      </c>
      <c r="C10" s="643">
        <v>1038576</v>
      </c>
      <c r="D10" s="643">
        <v>3133793</v>
      </c>
      <c r="E10" s="643">
        <v>128077</v>
      </c>
      <c r="F10" s="643">
        <v>176398</v>
      </c>
      <c r="G10" s="643">
        <v>9241</v>
      </c>
      <c r="H10" s="643">
        <v>21107</v>
      </c>
      <c r="I10" s="643">
        <v>73081</v>
      </c>
      <c r="J10" s="643">
        <v>10672</v>
      </c>
      <c r="K10" s="643">
        <v>57182</v>
      </c>
    </row>
    <row r="11" spans="1:11" x14ac:dyDescent="0.25">
      <c r="A11" s="669" t="s">
        <v>2216</v>
      </c>
      <c r="B11" s="655">
        <f t="shared" si="0"/>
        <v>5182538</v>
      </c>
      <c r="C11" s="643">
        <v>1197929</v>
      </c>
      <c r="D11" s="643">
        <v>3516200</v>
      </c>
      <c r="E11" s="643">
        <v>124798</v>
      </c>
      <c r="F11" s="643">
        <v>168922</v>
      </c>
      <c r="G11" s="643">
        <v>12749</v>
      </c>
      <c r="H11" s="643">
        <v>25933</v>
      </c>
      <c r="I11" s="643">
        <v>92322</v>
      </c>
      <c r="J11" s="643">
        <v>3140</v>
      </c>
      <c r="K11" s="643">
        <v>40545</v>
      </c>
    </row>
    <row r="12" spans="1:11" x14ac:dyDescent="0.25">
      <c r="A12" s="669" t="s">
        <v>2217</v>
      </c>
      <c r="B12" s="655">
        <f>SUM(C12:K12)</f>
        <v>4672677</v>
      </c>
      <c r="C12" s="643">
        <v>1548509</v>
      </c>
      <c r="D12" s="643">
        <v>2513284</v>
      </c>
      <c r="E12" s="643">
        <v>204374</v>
      </c>
      <c r="F12" s="643">
        <v>228583</v>
      </c>
      <c r="G12" s="643">
        <v>9632</v>
      </c>
      <c r="H12" s="643">
        <v>7771</v>
      </c>
      <c r="I12" s="643">
        <v>50710</v>
      </c>
      <c r="J12" s="643">
        <v>6739</v>
      </c>
      <c r="K12" s="643">
        <v>103075</v>
      </c>
    </row>
    <row r="13" spans="1:11" x14ac:dyDescent="0.25">
      <c r="A13" s="669"/>
      <c r="B13" s="655"/>
      <c r="C13" s="643"/>
      <c r="D13" s="643"/>
      <c r="E13" s="643"/>
      <c r="F13" s="643"/>
      <c r="G13" s="643"/>
      <c r="H13" s="643"/>
      <c r="I13" s="643"/>
      <c r="J13" s="643"/>
      <c r="K13" s="643"/>
    </row>
    <row r="14" spans="1:11" ht="26.25" customHeight="1" x14ac:dyDescent="0.25">
      <c r="A14" s="982" t="s">
        <v>3611</v>
      </c>
      <c r="B14" s="982"/>
      <c r="C14" s="982"/>
      <c r="D14" s="982"/>
      <c r="E14" s="982"/>
      <c r="F14" s="982"/>
      <c r="G14" s="982"/>
      <c r="H14" s="982"/>
      <c r="I14" s="982"/>
      <c r="J14" s="982"/>
      <c r="K14" s="982"/>
    </row>
    <row r="15" spans="1:11" x14ac:dyDescent="0.25">
      <c r="A15" s="336" t="s">
        <v>2213</v>
      </c>
      <c r="B15" s="633"/>
      <c r="C15" s="885"/>
      <c r="D15" s="885"/>
      <c r="E15" s="885"/>
      <c r="F15" s="885"/>
      <c r="G15" s="885"/>
      <c r="H15" s="885"/>
      <c r="I15" s="885"/>
    </row>
  </sheetData>
  <mergeCells count="6">
    <mergeCell ref="A3:K3"/>
    <mergeCell ref="A5:A7"/>
    <mergeCell ref="B5:K5"/>
    <mergeCell ref="B6:B7"/>
    <mergeCell ref="C6:K6"/>
    <mergeCell ref="A14:K14"/>
  </mergeCells>
  <pageMargins left="0.70866141732283472" right="0.70866141732283472" top="0.74803149606299213" bottom="0.74803149606299213" header="0.31496062992125984" footer="0.31496062992125984"/>
  <pageSetup paperSize="14" scale="115" orientation="landscape" r:id="rId1"/>
</worksheet>
</file>

<file path=xl/worksheets/sheet3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4178B4-D1BB-42E7-A6DA-9EB47C741B03}">
  <sheetPr codeName="Hoja319"/>
  <dimension ref="A2:K26"/>
  <sheetViews>
    <sheetView zoomScaleNormal="100" workbookViewId="0">
      <selection activeCell="F37" sqref="F37"/>
    </sheetView>
  </sheetViews>
  <sheetFormatPr baseColWidth="10" defaultRowHeight="13.2" x14ac:dyDescent="0.25"/>
  <cols>
    <col min="1" max="1" width="17.6640625" customWidth="1"/>
    <col min="2" max="3" width="11.88671875" bestFit="1" customWidth="1"/>
    <col min="4" max="11" width="11.5546875" bestFit="1" customWidth="1"/>
  </cols>
  <sheetData>
    <row r="2" spans="1:11" ht="27.75" customHeight="1" x14ac:dyDescent="0.25">
      <c r="A2" s="234" t="s">
        <v>3502</v>
      </c>
      <c r="B2" s="234"/>
      <c r="C2" s="234"/>
      <c r="D2" s="234"/>
      <c r="E2" s="234"/>
      <c r="F2" s="234"/>
      <c r="G2" s="234"/>
      <c r="H2" s="234"/>
      <c r="I2" s="234"/>
      <c r="J2" s="234"/>
      <c r="K2" s="234"/>
    </row>
    <row r="3" spans="1:11" x14ac:dyDescent="0.25">
      <c r="A3" s="888"/>
      <c r="B3" s="888"/>
      <c r="C3" s="888"/>
      <c r="D3" s="888"/>
      <c r="E3" s="888"/>
      <c r="F3" s="888"/>
      <c r="G3" s="888"/>
      <c r="H3" s="885"/>
      <c r="I3" s="885"/>
    </row>
    <row r="4" spans="1:11" ht="15" customHeight="1" x14ac:dyDescent="0.25">
      <c r="A4" s="653" t="s">
        <v>0</v>
      </c>
      <c r="B4" s="874" t="s">
        <v>2218</v>
      </c>
      <c r="C4" s="875"/>
      <c r="D4" s="875"/>
      <c r="E4" s="875"/>
      <c r="F4" s="875"/>
      <c r="G4" s="875"/>
      <c r="H4" s="875"/>
      <c r="I4" s="875"/>
      <c r="J4" s="875"/>
      <c r="K4" s="876"/>
    </row>
    <row r="5" spans="1:11" x14ac:dyDescent="0.25">
      <c r="A5" s="887"/>
      <c r="B5" s="298" t="s">
        <v>3</v>
      </c>
      <c r="C5" s="874" t="s">
        <v>2205</v>
      </c>
      <c r="D5" s="875"/>
      <c r="E5" s="875"/>
      <c r="F5" s="875"/>
      <c r="G5" s="875"/>
      <c r="H5" s="875"/>
      <c r="I5" s="875"/>
      <c r="J5" s="875"/>
      <c r="K5" s="876"/>
    </row>
    <row r="6" spans="1:11" s="1009" customFormat="1" ht="30.75" customHeight="1" x14ac:dyDescent="0.25">
      <c r="A6" s="654"/>
      <c r="B6" s="1707"/>
      <c r="C6" s="644" t="s">
        <v>3607</v>
      </c>
      <c r="D6" s="644" t="s">
        <v>3608</v>
      </c>
      <c r="E6" s="644" t="s">
        <v>3609</v>
      </c>
      <c r="F6" s="644" t="s">
        <v>3610</v>
      </c>
      <c r="G6" s="644" t="s">
        <v>3600</v>
      </c>
      <c r="H6" s="644" t="s">
        <v>3578</v>
      </c>
      <c r="I6" s="644" t="s">
        <v>3572</v>
      </c>
      <c r="J6" s="644" t="s">
        <v>3596</v>
      </c>
      <c r="K6" s="644" t="s">
        <v>996</v>
      </c>
    </row>
    <row r="7" spans="1:11" x14ac:dyDescent="0.25">
      <c r="A7" s="884" t="s">
        <v>3</v>
      </c>
      <c r="B7" s="622">
        <f>SUM(B8:B22)</f>
        <v>4241356</v>
      </c>
      <c r="C7" s="622">
        <f>SUM(C8:C22)</f>
        <v>1894542</v>
      </c>
      <c r="D7" s="622">
        <f t="shared" ref="D7:K7" si="0">SUM(D8:D22)</f>
        <v>527085</v>
      </c>
      <c r="E7" s="622">
        <f>SUM(E8:E22)</f>
        <v>581356</v>
      </c>
      <c r="F7" s="622">
        <f t="shared" si="0"/>
        <v>426869</v>
      </c>
      <c r="G7" s="622">
        <f t="shared" si="0"/>
        <v>158089</v>
      </c>
      <c r="H7" s="622">
        <f t="shared" si="0"/>
        <v>121369</v>
      </c>
      <c r="I7" s="622">
        <f t="shared" si="0"/>
        <v>181425</v>
      </c>
      <c r="J7" s="622">
        <f>SUM(J8:J22)</f>
        <v>56019</v>
      </c>
      <c r="K7" s="622">
        <f t="shared" si="0"/>
        <v>294602</v>
      </c>
    </row>
    <row r="8" spans="1:11" ht="14.4" x14ac:dyDescent="0.25">
      <c r="A8" s="288" t="s">
        <v>4</v>
      </c>
      <c r="B8" s="622">
        <f>SUM(C8:K8)</f>
        <v>39344</v>
      </c>
      <c r="C8" s="877">
        <v>3484</v>
      </c>
      <c r="D8" s="877">
        <v>1375</v>
      </c>
      <c r="E8" s="877">
        <v>11960</v>
      </c>
      <c r="F8" s="877">
        <v>12700</v>
      </c>
      <c r="G8" s="877">
        <v>2730</v>
      </c>
      <c r="H8" s="877">
        <v>2915</v>
      </c>
      <c r="I8" s="877">
        <v>2240</v>
      </c>
      <c r="J8" s="877">
        <v>0</v>
      </c>
      <c r="K8" s="877">
        <v>1940</v>
      </c>
    </row>
    <row r="9" spans="1:11" ht="14.4" x14ac:dyDescent="0.25">
      <c r="A9" s="288" t="s">
        <v>5</v>
      </c>
      <c r="B9" s="622">
        <f t="shared" ref="B9:B22" si="1">SUM(C9:K9)</f>
        <v>93155</v>
      </c>
      <c r="C9" s="877">
        <v>46540</v>
      </c>
      <c r="D9" s="877">
        <v>6120</v>
      </c>
      <c r="E9" s="877">
        <v>4612</v>
      </c>
      <c r="F9" s="877">
        <v>4780</v>
      </c>
      <c r="G9" s="877">
        <v>5655</v>
      </c>
      <c r="H9" s="877">
        <v>356</v>
      </c>
      <c r="I9" s="877">
        <v>22314</v>
      </c>
      <c r="J9" s="877">
        <v>1958</v>
      </c>
      <c r="K9" s="877">
        <v>820</v>
      </c>
    </row>
    <row r="10" spans="1:11" ht="14.4" x14ac:dyDescent="0.25">
      <c r="A10" s="288" t="s">
        <v>6</v>
      </c>
      <c r="B10" s="622">
        <f t="shared" si="1"/>
        <v>164180</v>
      </c>
      <c r="C10" s="877">
        <v>62798</v>
      </c>
      <c r="D10" s="877">
        <v>36715</v>
      </c>
      <c r="E10" s="877">
        <v>15267</v>
      </c>
      <c r="F10" s="877">
        <v>28420</v>
      </c>
      <c r="G10" s="877">
        <v>1950</v>
      </c>
      <c r="H10" s="877">
        <v>1200</v>
      </c>
      <c r="I10" s="877">
        <v>4820</v>
      </c>
      <c r="J10" s="877">
        <v>0</v>
      </c>
      <c r="K10" s="877">
        <v>13010</v>
      </c>
    </row>
    <row r="11" spans="1:11" ht="14.4" x14ac:dyDescent="0.25">
      <c r="A11" s="288" t="s">
        <v>7</v>
      </c>
      <c r="B11" s="622">
        <f t="shared" si="1"/>
        <v>113993</v>
      </c>
      <c r="C11" s="877">
        <v>56214</v>
      </c>
      <c r="D11" s="877">
        <v>3139</v>
      </c>
      <c r="E11" s="877">
        <v>17300</v>
      </c>
      <c r="F11" s="877">
        <v>15500</v>
      </c>
      <c r="G11" s="877">
        <v>5310</v>
      </c>
      <c r="H11" s="877">
        <v>2495</v>
      </c>
      <c r="I11" s="877">
        <v>9300</v>
      </c>
      <c r="J11" s="877">
        <v>1025</v>
      </c>
      <c r="K11" s="877">
        <v>3710</v>
      </c>
    </row>
    <row r="12" spans="1:11" ht="14.4" x14ac:dyDescent="0.25">
      <c r="A12" s="288" t="s">
        <v>8</v>
      </c>
      <c r="B12" s="622">
        <f t="shared" si="1"/>
        <v>157008</v>
      </c>
      <c r="C12" s="877">
        <v>78131</v>
      </c>
      <c r="D12" s="877">
        <v>6386</v>
      </c>
      <c r="E12" s="877">
        <v>19069</v>
      </c>
      <c r="F12" s="877">
        <v>16613</v>
      </c>
      <c r="G12" s="877">
        <v>2980</v>
      </c>
      <c r="H12" s="877">
        <v>2360</v>
      </c>
      <c r="I12" s="877">
        <v>12072</v>
      </c>
      <c r="J12" s="877">
        <v>1012</v>
      </c>
      <c r="K12" s="877">
        <v>18385</v>
      </c>
    </row>
    <row r="13" spans="1:11" ht="14.4" x14ac:dyDescent="0.25">
      <c r="A13" s="288" t="s">
        <v>9</v>
      </c>
      <c r="B13" s="622">
        <f t="shared" si="1"/>
        <v>516657</v>
      </c>
      <c r="C13" s="877">
        <v>309026</v>
      </c>
      <c r="D13" s="877">
        <v>49114</v>
      </c>
      <c r="E13" s="877">
        <v>45718</v>
      </c>
      <c r="F13" s="877">
        <v>22062</v>
      </c>
      <c r="G13" s="877">
        <v>10374</v>
      </c>
      <c r="H13" s="877">
        <v>41097</v>
      </c>
      <c r="I13" s="877">
        <v>12218</v>
      </c>
      <c r="J13" s="877">
        <v>4409</v>
      </c>
      <c r="K13" s="877">
        <v>22639</v>
      </c>
    </row>
    <row r="14" spans="1:11" ht="14.4" x14ac:dyDescent="0.25">
      <c r="A14" s="288" t="s">
        <v>10</v>
      </c>
      <c r="B14" s="622">
        <f t="shared" si="1"/>
        <v>802337</v>
      </c>
      <c r="C14" s="877">
        <v>208997</v>
      </c>
      <c r="D14" s="877">
        <v>280816</v>
      </c>
      <c r="E14" s="877">
        <v>25966</v>
      </c>
      <c r="F14" s="877">
        <v>93199</v>
      </c>
      <c r="G14" s="877">
        <v>33552</v>
      </c>
      <c r="H14" s="877">
        <v>23498</v>
      </c>
      <c r="I14" s="877">
        <v>37064</v>
      </c>
      <c r="J14" s="877">
        <v>13391</v>
      </c>
      <c r="K14" s="877">
        <v>85854</v>
      </c>
    </row>
    <row r="15" spans="1:11" ht="14.4" x14ac:dyDescent="0.25">
      <c r="A15" s="288" t="s">
        <v>134</v>
      </c>
      <c r="B15" s="622">
        <f t="shared" si="1"/>
        <v>220010</v>
      </c>
      <c r="C15" s="877">
        <v>120193</v>
      </c>
      <c r="D15" s="877">
        <v>5841</v>
      </c>
      <c r="E15" s="877">
        <v>42406</v>
      </c>
      <c r="F15" s="877">
        <v>17010</v>
      </c>
      <c r="G15" s="877">
        <v>9525</v>
      </c>
      <c r="H15" s="877">
        <v>6610</v>
      </c>
      <c r="I15" s="877">
        <v>8045</v>
      </c>
      <c r="J15" s="877">
        <v>5350</v>
      </c>
      <c r="K15" s="877">
        <v>5030</v>
      </c>
    </row>
    <row r="16" spans="1:11" ht="14.4" x14ac:dyDescent="0.25">
      <c r="A16" s="288" t="s">
        <v>12</v>
      </c>
      <c r="B16" s="622">
        <f t="shared" si="1"/>
        <v>302098</v>
      </c>
      <c r="C16" s="877">
        <v>80026</v>
      </c>
      <c r="D16" s="877">
        <v>34549</v>
      </c>
      <c r="E16" s="877">
        <v>51840</v>
      </c>
      <c r="F16" s="877">
        <v>33192</v>
      </c>
      <c r="G16" s="877">
        <v>32856</v>
      </c>
      <c r="H16" s="877">
        <v>14365</v>
      </c>
      <c r="I16" s="877">
        <v>28070</v>
      </c>
      <c r="J16" s="877">
        <v>7915</v>
      </c>
      <c r="K16" s="877">
        <v>19285</v>
      </c>
    </row>
    <row r="17" spans="1:11" ht="14.4" x14ac:dyDescent="0.25">
      <c r="A17" s="288" t="s">
        <v>13</v>
      </c>
      <c r="B17" s="622">
        <f t="shared" si="1"/>
        <v>746710</v>
      </c>
      <c r="C17" s="877">
        <v>420699</v>
      </c>
      <c r="D17" s="877">
        <v>78240</v>
      </c>
      <c r="E17" s="877">
        <v>137745</v>
      </c>
      <c r="F17" s="877">
        <v>46833</v>
      </c>
      <c r="G17" s="877">
        <v>18762</v>
      </c>
      <c r="H17" s="877">
        <v>4695</v>
      </c>
      <c r="I17" s="877">
        <v>12425</v>
      </c>
      <c r="J17" s="877">
        <v>4139</v>
      </c>
      <c r="K17" s="877">
        <v>23172</v>
      </c>
    </row>
    <row r="18" spans="1:11" ht="14.4" x14ac:dyDescent="0.25">
      <c r="A18" s="288" t="s">
        <v>47</v>
      </c>
      <c r="B18" s="622">
        <f t="shared" si="1"/>
        <v>851189</v>
      </c>
      <c r="C18" s="877">
        <v>431724</v>
      </c>
      <c r="D18" s="877">
        <v>8959</v>
      </c>
      <c r="E18" s="877">
        <v>164021</v>
      </c>
      <c r="F18" s="877">
        <v>92690</v>
      </c>
      <c r="G18" s="877">
        <v>24178</v>
      </c>
      <c r="H18" s="877">
        <v>17438</v>
      </c>
      <c r="I18" s="877">
        <v>21943</v>
      </c>
      <c r="J18" s="877">
        <v>15625</v>
      </c>
      <c r="K18" s="877">
        <v>74611</v>
      </c>
    </row>
    <row r="19" spans="1:11" ht="14.4" x14ac:dyDescent="0.25">
      <c r="A19" s="288" t="s">
        <v>135</v>
      </c>
      <c r="B19" s="622">
        <f t="shared" si="1"/>
        <v>36713</v>
      </c>
      <c r="C19" s="877">
        <v>9684</v>
      </c>
      <c r="D19" s="877">
        <v>1146</v>
      </c>
      <c r="E19" s="877">
        <v>8385</v>
      </c>
      <c r="F19" s="877">
        <v>14041</v>
      </c>
      <c r="G19" s="877">
        <v>1917</v>
      </c>
      <c r="H19" s="877">
        <v>340</v>
      </c>
      <c r="I19" s="877">
        <v>1200</v>
      </c>
      <c r="J19" s="877">
        <v>0</v>
      </c>
      <c r="K19" s="877">
        <v>0</v>
      </c>
    </row>
    <row r="20" spans="1:11" ht="14.4" x14ac:dyDescent="0.25">
      <c r="A20" s="288" t="s">
        <v>136</v>
      </c>
      <c r="B20" s="622">
        <f t="shared" si="1"/>
        <v>146356</v>
      </c>
      <c r="C20" s="877">
        <v>47419</v>
      </c>
      <c r="D20" s="877">
        <v>14685</v>
      </c>
      <c r="E20" s="877">
        <v>30467</v>
      </c>
      <c r="F20" s="877">
        <v>23099</v>
      </c>
      <c r="G20" s="877">
        <v>7510</v>
      </c>
      <c r="H20" s="877">
        <v>1600</v>
      </c>
      <c r="I20" s="877">
        <v>1830</v>
      </c>
      <c r="J20" s="877">
        <v>895</v>
      </c>
      <c r="K20" s="877">
        <v>18851</v>
      </c>
    </row>
    <row r="21" spans="1:11" ht="14.4" x14ac:dyDescent="0.25">
      <c r="A21" s="288" t="s">
        <v>17</v>
      </c>
      <c r="B21" s="622">
        <f t="shared" si="1"/>
        <v>17944</v>
      </c>
      <c r="C21" s="877">
        <v>8550</v>
      </c>
      <c r="D21" s="877">
        <v>0</v>
      </c>
      <c r="E21" s="877">
        <v>1550</v>
      </c>
      <c r="F21" s="877">
        <v>5380</v>
      </c>
      <c r="G21" s="877">
        <v>790</v>
      </c>
      <c r="H21" s="877">
        <v>600</v>
      </c>
      <c r="I21" s="877">
        <v>244</v>
      </c>
      <c r="J21" s="877">
        <v>0</v>
      </c>
      <c r="K21" s="877">
        <v>830</v>
      </c>
    </row>
    <row r="22" spans="1:11" ht="14.4" x14ac:dyDescent="0.25">
      <c r="A22" s="284" t="s">
        <v>18</v>
      </c>
      <c r="B22" s="622">
        <f t="shared" si="1"/>
        <v>33662</v>
      </c>
      <c r="C22" s="877">
        <v>11057</v>
      </c>
      <c r="D22" s="877">
        <v>0</v>
      </c>
      <c r="E22" s="877">
        <v>5050</v>
      </c>
      <c r="F22" s="877">
        <v>1350</v>
      </c>
      <c r="G22" s="877">
        <v>0</v>
      </c>
      <c r="H22" s="877">
        <v>1800</v>
      </c>
      <c r="I22" s="877">
        <v>7640</v>
      </c>
      <c r="J22" s="877">
        <v>300</v>
      </c>
      <c r="K22" s="877">
        <v>6465</v>
      </c>
    </row>
    <row r="24" spans="1:11" ht="22.5" customHeight="1" x14ac:dyDescent="0.25">
      <c r="A24" s="982" t="s">
        <v>3611</v>
      </c>
      <c r="B24" s="982"/>
      <c r="C24" s="982"/>
      <c r="D24" s="982"/>
      <c r="E24" s="982"/>
      <c r="F24" s="982"/>
      <c r="G24" s="982"/>
      <c r="H24" s="982"/>
      <c r="I24" s="982"/>
      <c r="J24" s="982"/>
      <c r="K24" s="982"/>
    </row>
    <row r="25" spans="1:11" x14ac:dyDescent="0.25">
      <c r="A25" s="881" t="s">
        <v>19</v>
      </c>
      <c r="B25" s="882"/>
      <c r="C25" s="882"/>
      <c r="D25" s="882"/>
      <c r="E25" s="882"/>
      <c r="F25" s="882"/>
      <c r="G25" s="882"/>
      <c r="H25" s="882"/>
      <c r="I25" s="882"/>
      <c r="J25" s="882"/>
      <c r="K25" s="882"/>
    </row>
    <row r="26" spans="1:11" x14ac:dyDescent="0.25">
      <c r="A26" s="336" t="s">
        <v>2213</v>
      </c>
      <c r="B26" s="633"/>
      <c r="C26" s="633"/>
      <c r="D26" s="633"/>
      <c r="E26" s="633"/>
      <c r="F26" s="633"/>
      <c r="G26" s="633"/>
      <c r="H26" s="633"/>
      <c r="I26" s="633"/>
    </row>
  </sheetData>
  <mergeCells count="6">
    <mergeCell ref="A2:K2"/>
    <mergeCell ref="A4:A6"/>
    <mergeCell ref="B4:K4"/>
    <mergeCell ref="B5:B6"/>
    <mergeCell ref="C5:K5"/>
    <mergeCell ref="A24:K24"/>
  </mergeCells>
  <pageMargins left="0.7" right="0.7" top="0.75" bottom="0.75" header="0.3" footer="0.3"/>
  <pageSetup paperSize="14"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30460B-2156-4097-B8F6-2563AD6AAD89}">
  <sheetPr codeName="Hoja32"/>
  <dimension ref="A2:S26"/>
  <sheetViews>
    <sheetView zoomScaleNormal="100" zoomScaleSheetLayoutView="100" workbookViewId="0">
      <selection activeCell="C21" sqref="C21"/>
    </sheetView>
  </sheetViews>
  <sheetFormatPr baseColWidth="10" defaultColWidth="11.44140625" defaultRowHeight="10.199999999999999" x14ac:dyDescent="0.2"/>
  <cols>
    <col min="1" max="1" width="19" style="235" customWidth="1"/>
    <col min="2" max="2" width="10" style="235" customWidth="1"/>
    <col min="3" max="3" width="15.88671875" style="235" customWidth="1"/>
    <col min="4" max="4" width="10.33203125" style="235" customWidth="1"/>
    <col min="5" max="5" width="14.109375" style="235" bestFit="1" customWidth="1"/>
    <col min="6" max="6" width="10.88671875" style="235" customWidth="1"/>
    <col min="7" max="7" width="13" style="235" bestFit="1" customWidth="1"/>
    <col min="8" max="8" width="10.109375" style="235" customWidth="1"/>
    <col min="9" max="9" width="14.109375" style="235" bestFit="1" customWidth="1"/>
    <col min="10" max="10" width="10.5546875" style="235" customWidth="1"/>
    <col min="11" max="11" width="14.109375" style="235" bestFit="1" customWidth="1"/>
    <col min="12" max="12" width="10.33203125" style="235" customWidth="1"/>
    <col min="13" max="13" width="14.109375" style="235" bestFit="1" customWidth="1"/>
    <col min="14" max="14" width="10.5546875" style="235" customWidth="1"/>
    <col min="15" max="15" width="14.33203125" style="235" bestFit="1" customWidth="1"/>
    <col min="16" max="16" width="10.109375" style="235" customWidth="1"/>
    <col min="17" max="17" width="17.33203125" style="235" customWidth="1"/>
    <col min="18" max="18" width="10.5546875" style="235" customWidth="1"/>
    <col min="19" max="19" width="14.5546875" style="235" customWidth="1"/>
    <col min="20" max="16384" width="11.44140625" style="235"/>
  </cols>
  <sheetData>
    <row r="2" spans="1:19" s="274" customFormat="1" x14ac:dyDescent="0.2">
      <c r="A2" s="308" t="s">
        <v>529</v>
      </c>
      <c r="B2" s="308"/>
      <c r="C2" s="308"/>
      <c r="D2" s="308"/>
      <c r="E2" s="308"/>
      <c r="F2" s="308"/>
      <c r="G2" s="308"/>
      <c r="H2" s="308"/>
      <c r="I2" s="308"/>
      <c r="J2" s="308"/>
      <c r="K2" s="308"/>
      <c r="L2" s="308"/>
      <c r="M2" s="308"/>
      <c r="N2" s="309"/>
      <c r="O2" s="309"/>
    </row>
    <row r="3" spans="1:19" ht="11.25" customHeight="1" x14ac:dyDescent="0.2">
      <c r="A3" s="24"/>
      <c r="B3" s="2"/>
      <c r="C3" s="2"/>
      <c r="D3" s="2"/>
      <c r="E3" s="2"/>
      <c r="F3" s="2"/>
      <c r="G3" s="2"/>
      <c r="H3" s="2"/>
      <c r="I3" s="2"/>
      <c r="J3" s="2"/>
      <c r="K3" s="2"/>
      <c r="L3" s="2"/>
      <c r="M3" s="2"/>
      <c r="N3" s="2"/>
      <c r="O3" s="2"/>
    </row>
    <row r="4" spans="1:19" ht="36" customHeight="1" x14ac:dyDescent="0.2">
      <c r="A4" s="240" t="s">
        <v>584</v>
      </c>
      <c r="B4" s="241" t="s">
        <v>42</v>
      </c>
      <c r="C4" s="241"/>
      <c r="D4" s="276" t="s">
        <v>552</v>
      </c>
      <c r="E4" s="276"/>
      <c r="F4" s="276" t="s">
        <v>553</v>
      </c>
      <c r="G4" s="276"/>
      <c r="H4" s="276" t="s">
        <v>596</v>
      </c>
      <c r="I4" s="276"/>
      <c r="J4" s="276" t="s">
        <v>597</v>
      </c>
      <c r="K4" s="276"/>
      <c r="L4" s="276" t="s">
        <v>598</v>
      </c>
      <c r="M4" s="276"/>
      <c r="N4" s="276" t="s">
        <v>599</v>
      </c>
      <c r="O4" s="276"/>
      <c r="P4" s="276" t="s">
        <v>600</v>
      </c>
      <c r="Q4" s="276"/>
      <c r="R4" s="276" t="s">
        <v>601</v>
      </c>
      <c r="S4" s="276"/>
    </row>
    <row r="5" spans="1:19" ht="36.75" customHeight="1" x14ac:dyDescent="0.2">
      <c r="A5" s="245"/>
      <c r="B5" s="246" t="s">
        <v>558</v>
      </c>
      <c r="C5" s="246" t="s">
        <v>559</v>
      </c>
      <c r="D5" s="246" t="s">
        <v>558</v>
      </c>
      <c r="E5" s="246" t="s">
        <v>559</v>
      </c>
      <c r="F5" s="246" t="s">
        <v>558</v>
      </c>
      <c r="G5" s="246" t="s">
        <v>559</v>
      </c>
      <c r="H5" s="246" t="s">
        <v>558</v>
      </c>
      <c r="I5" s="246" t="s">
        <v>559</v>
      </c>
      <c r="J5" s="246" t="s">
        <v>558</v>
      </c>
      <c r="K5" s="246" t="s">
        <v>559</v>
      </c>
      <c r="L5" s="246" t="s">
        <v>558</v>
      </c>
      <c r="M5" s="246" t="s">
        <v>559</v>
      </c>
      <c r="N5" s="246" t="s">
        <v>558</v>
      </c>
      <c r="O5" s="246" t="s">
        <v>559</v>
      </c>
      <c r="P5" s="246" t="s">
        <v>558</v>
      </c>
      <c r="Q5" s="246" t="s">
        <v>559</v>
      </c>
      <c r="R5" s="246" t="s">
        <v>558</v>
      </c>
      <c r="S5" s="246" t="s">
        <v>559</v>
      </c>
    </row>
    <row r="6" spans="1:19" s="283" customFormat="1" ht="11.25" customHeight="1" x14ac:dyDescent="0.2">
      <c r="A6" s="283" t="s">
        <v>3</v>
      </c>
      <c r="B6" s="300">
        <f>SUM(D6+F6+H6+J6+L6+N6+P6+R6)</f>
        <v>327</v>
      </c>
      <c r="C6" s="300">
        <f>SUM(E6+G6+I6+K6+M6+O6+Q6+S6)</f>
        <v>2019225701</v>
      </c>
      <c r="D6" s="300">
        <f t="shared" ref="D6:S6" si="0">SUM(D7:D22)</f>
        <v>50</v>
      </c>
      <c r="E6" s="300">
        <f t="shared" si="0"/>
        <v>364449164</v>
      </c>
      <c r="F6" s="300">
        <f t="shared" si="0"/>
        <v>10</v>
      </c>
      <c r="G6" s="300">
        <f t="shared" si="0"/>
        <v>83310110</v>
      </c>
      <c r="H6" s="300">
        <f t="shared" si="0"/>
        <v>18</v>
      </c>
      <c r="I6" s="300">
        <f t="shared" si="0"/>
        <v>120487499</v>
      </c>
      <c r="J6" s="300">
        <f t="shared" si="0"/>
        <v>65</v>
      </c>
      <c r="K6" s="300">
        <f t="shared" si="0"/>
        <v>320477460</v>
      </c>
      <c r="L6" s="300">
        <f t="shared" si="0"/>
        <v>39</v>
      </c>
      <c r="M6" s="300">
        <f t="shared" si="0"/>
        <v>421904349</v>
      </c>
      <c r="N6" s="300">
        <f t="shared" si="0"/>
        <v>17</v>
      </c>
      <c r="O6" s="300">
        <f t="shared" si="0"/>
        <v>206376915</v>
      </c>
      <c r="P6" s="300">
        <f t="shared" si="0"/>
        <v>20</v>
      </c>
      <c r="Q6" s="300">
        <f t="shared" si="0"/>
        <v>274836020</v>
      </c>
      <c r="R6" s="300">
        <f t="shared" si="0"/>
        <v>108</v>
      </c>
      <c r="S6" s="300">
        <f t="shared" si="0"/>
        <v>227384184</v>
      </c>
    </row>
    <row r="7" spans="1:19" ht="11.25" customHeight="1" x14ac:dyDescent="0.2">
      <c r="A7" s="301" t="s">
        <v>4</v>
      </c>
      <c r="B7" s="302">
        <f t="shared" ref="B7:C22" si="1">SUM(D7+F7+H7+J7+L7+N7+P7+R7)</f>
        <v>2</v>
      </c>
      <c r="C7" s="302">
        <f t="shared" si="1"/>
        <v>26292804</v>
      </c>
      <c r="D7" s="302">
        <v>0</v>
      </c>
      <c r="E7" s="302">
        <v>0</v>
      </c>
      <c r="F7" s="302">
        <v>0</v>
      </c>
      <c r="G7" s="302">
        <v>0</v>
      </c>
      <c r="H7" s="302">
        <v>0</v>
      </c>
      <c r="I7" s="302">
        <v>0</v>
      </c>
      <c r="J7" s="302">
        <v>0</v>
      </c>
      <c r="K7" s="302">
        <v>0</v>
      </c>
      <c r="L7" s="302">
        <v>1</v>
      </c>
      <c r="M7" s="302">
        <v>17490696</v>
      </c>
      <c r="N7" s="302">
        <v>1</v>
      </c>
      <c r="O7" s="302">
        <v>8802108</v>
      </c>
      <c r="P7" s="302">
        <v>0</v>
      </c>
      <c r="Q7" s="302">
        <v>0</v>
      </c>
      <c r="R7" s="302">
        <v>0</v>
      </c>
      <c r="S7" s="302">
        <v>0</v>
      </c>
    </row>
    <row r="8" spans="1:19" ht="11.25" customHeight="1" x14ac:dyDescent="0.2">
      <c r="A8" s="301" t="s">
        <v>5</v>
      </c>
      <c r="B8" s="302">
        <f t="shared" si="1"/>
        <v>1</v>
      </c>
      <c r="C8" s="302">
        <f t="shared" si="1"/>
        <v>5134500</v>
      </c>
      <c r="D8" s="302">
        <v>0</v>
      </c>
      <c r="E8" s="302">
        <v>0</v>
      </c>
      <c r="F8" s="302">
        <v>0</v>
      </c>
      <c r="G8" s="302">
        <v>0</v>
      </c>
      <c r="H8" s="302">
        <v>0</v>
      </c>
      <c r="I8" s="302">
        <v>0</v>
      </c>
      <c r="J8" s="302">
        <v>1</v>
      </c>
      <c r="K8" s="302">
        <v>5134500</v>
      </c>
      <c r="L8" s="302">
        <v>0</v>
      </c>
      <c r="M8" s="302">
        <v>0</v>
      </c>
      <c r="N8" s="302">
        <v>0</v>
      </c>
      <c r="O8" s="302">
        <v>0</v>
      </c>
      <c r="P8" s="302">
        <v>0</v>
      </c>
      <c r="Q8" s="302">
        <v>0</v>
      </c>
      <c r="R8" s="302">
        <v>0</v>
      </c>
      <c r="S8" s="302">
        <v>0</v>
      </c>
    </row>
    <row r="9" spans="1:19" ht="11.25" customHeight="1" x14ac:dyDescent="0.2">
      <c r="A9" s="301" t="s">
        <v>6</v>
      </c>
      <c r="B9" s="302">
        <f t="shared" si="1"/>
        <v>3</v>
      </c>
      <c r="C9" s="302">
        <f t="shared" si="1"/>
        <v>10359930</v>
      </c>
      <c r="D9" s="302">
        <v>0</v>
      </c>
      <c r="E9" s="302">
        <v>0</v>
      </c>
      <c r="F9" s="302">
        <v>0</v>
      </c>
      <c r="G9" s="302">
        <v>0</v>
      </c>
      <c r="H9" s="302">
        <v>1</v>
      </c>
      <c r="I9" s="302">
        <v>5718114</v>
      </c>
      <c r="J9" s="302">
        <v>1</v>
      </c>
      <c r="K9" s="302">
        <v>1100000</v>
      </c>
      <c r="L9" s="302">
        <v>0</v>
      </c>
      <c r="M9" s="302">
        <v>0</v>
      </c>
      <c r="N9" s="302">
        <v>0</v>
      </c>
      <c r="O9" s="302">
        <v>0</v>
      </c>
      <c r="P9" s="302">
        <v>0</v>
      </c>
      <c r="Q9" s="302">
        <v>0</v>
      </c>
      <c r="R9" s="302">
        <v>1</v>
      </c>
      <c r="S9" s="302">
        <v>3541816</v>
      </c>
    </row>
    <row r="10" spans="1:19" ht="11.25" customHeight="1" x14ac:dyDescent="0.2">
      <c r="A10" s="301" t="s">
        <v>7</v>
      </c>
      <c r="B10" s="302">
        <f t="shared" si="1"/>
        <v>6</v>
      </c>
      <c r="C10" s="302">
        <f t="shared" si="1"/>
        <v>41149178</v>
      </c>
      <c r="D10" s="302">
        <v>0</v>
      </c>
      <c r="E10" s="302">
        <v>0</v>
      </c>
      <c r="F10" s="302">
        <v>0</v>
      </c>
      <c r="G10" s="302">
        <v>0</v>
      </c>
      <c r="H10" s="302">
        <v>0</v>
      </c>
      <c r="I10" s="302">
        <v>0</v>
      </c>
      <c r="J10" s="302">
        <v>1</v>
      </c>
      <c r="K10" s="302">
        <v>6390000</v>
      </c>
      <c r="L10" s="302">
        <v>3</v>
      </c>
      <c r="M10" s="302">
        <v>22858779</v>
      </c>
      <c r="N10" s="302">
        <v>2</v>
      </c>
      <c r="O10" s="302">
        <v>11900399</v>
      </c>
      <c r="P10" s="302">
        <v>0</v>
      </c>
      <c r="Q10" s="302">
        <v>0</v>
      </c>
      <c r="R10" s="302">
        <v>0</v>
      </c>
      <c r="S10" s="302">
        <v>0</v>
      </c>
    </row>
    <row r="11" spans="1:19" ht="11.25" customHeight="1" x14ac:dyDescent="0.2">
      <c r="A11" s="301" t="s">
        <v>8</v>
      </c>
      <c r="B11" s="302">
        <f t="shared" si="1"/>
        <v>11</v>
      </c>
      <c r="C11" s="302">
        <f t="shared" si="1"/>
        <v>109399718</v>
      </c>
      <c r="D11" s="302">
        <v>1</v>
      </c>
      <c r="E11" s="302">
        <v>4861334</v>
      </c>
      <c r="F11" s="302">
        <v>0</v>
      </c>
      <c r="G11" s="302">
        <v>0</v>
      </c>
      <c r="H11" s="302">
        <v>0</v>
      </c>
      <c r="I11" s="302">
        <v>0</v>
      </c>
      <c r="J11" s="302">
        <v>2</v>
      </c>
      <c r="K11" s="302">
        <v>13518291</v>
      </c>
      <c r="L11" s="302">
        <v>3</v>
      </c>
      <c r="M11" s="302">
        <v>47084087</v>
      </c>
      <c r="N11" s="302">
        <v>1</v>
      </c>
      <c r="O11" s="302">
        <v>15000000</v>
      </c>
      <c r="P11" s="302">
        <v>1</v>
      </c>
      <c r="Q11" s="302">
        <v>20000000</v>
      </c>
      <c r="R11" s="302">
        <v>3</v>
      </c>
      <c r="S11" s="302">
        <v>8936006</v>
      </c>
    </row>
    <row r="12" spans="1:19" ht="11.25" customHeight="1" x14ac:dyDescent="0.2">
      <c r="A12" s="301" t="s">
        <v>9</v>
      </c>
      <c r="B12" s="302">
        <f t="shared" si="1"/>
        <v>42</v>
      </c>
      <c r="C12" s="302">
        <f t="shared" si="1"/>
        <v>272105179</v>
      </c>
      <c r="D12" s="302">
        <v>5</v>
      </c>
      <c r="E12" s="302">
        <v>11686120</v>
      </c>
      <c r="F12" s="302">
        <v>2</v>
      </c>
      <c r="G12" s="302">
        <v>14827446</v>
      </c>
      <c r="H12" s="302">
        <v>3</v>
      </c>
      <c r="I12" s="302">
        <v>18858566</v>
      </c>
      <c r="J12" s="302">
        <v>11</v>
      </c>
      <c r="K12" s="302">
        <v>59467010</v>
      </c>
      <c r="L12" s="302">
        <v>5</v>
      </c>
      <c r="M12" s="302">
        <v>56213756</v>
      </c>
      <c r="N12" s="302">
        <v>1</v>
      </c>
      <c r="O12" s="302">
        <v>14946000</v>
      </c>
      <c r="P12" s="302">
        <v>5</v>
      </c>
      <c r="Q12" s="302">
        <v>75840430</v>
      </c>
      <c r="R12" s="302">
        <v>10</v>
      </c>
      <c r="S12" s="302">
        <v>20265851</v>
      </c>
    </row>
    <row r="13" spans="1:19" ht="11.25" customHeight="1" x14ac:dyDescent="0.2">
      <c r="A13" s="301" t="s">
        <v>10</v>
      </c>
      <c r="B13" s="302">
        <f>SUM(D13+F13+H13+J13+L13+N13+P13+R13)</f>
        <v>182</v>
      </c>
      <c r="C13" s="302">
        <f>SUM(E13+G13+I13+K13+M13+O13+Q13+S13)</f>
        <v>1037282556</v>
      </c>
      <c r="D13" s="302">
        <v>21</v>
      </c>
      <c r="E13" s="302">
        <v>140448485</v>
      </c>
      <c r="F13" s="302">
        <v>5</v>
      </c>
      <c r="G13" s="302">
        <v>48201324</v>
      </c>
      <c r="H13" s="302">
        <v>6</v>
      </c>
      <c r="I13" s="302">
        <v>41971419</v>
      </c>
      <c r="J13" s="302">
        <v>34</v>
      </c>
      <c r="K13" s="302">
        <v>156936276</v>
      </c>
      <c r="L13" s="302">
        <v>18</v>
      </c>
      <c r="M13" s="302">
        <v>213566183</v>
      </c>
      <c r="N13" s="302">
        <v>9</v>
      </c>
      <c r="O13" s="302">
        <v>133363608</v>
      </c>
      <c r="P13" s="302">
        <v>8</v>
      </c>
      <c r="Q13" s="302">
        <v>131699590</v>
      </c>
      <c r="R13" s="302">
        <v>81</v>
      </c>
      <c r="S13" s="302">
        <v>171095671</v>
      </c>
    </row>
    <row r="14" spans="1:19" ht="11.25" customHeight="1" x14ac:dyDescent="0.2">
      <c r="A14" s="301" t="s">
        <v>134</v>
      </c>
      <c r="B14" s="302">
        <f t="shared" si="1"/>
        <v>3</v>
      </c>
      <c r="C14" s="302">
        <f t="shared" si="1"/>
        <v>12428662</v>
      </c>
      <c r="D14" s="302">
        <v>1</v>
      </c>
      <c r="E14" s="302">
        <v>5080185</v>
      </c>
      <c r="F14" s="302">
        <v>0</v>
      </c>
      <c r="G14" s="302">
        <v>0</v>
      </c>
      <c r="H14" s="302">
        <v>0</v>
      </c>
      <c r="I14" s="302">
        <v>0</v>
      </c>
      <c r="J14" s="302">
        <v>1</v>
      </c>
      <c r="K14" s="302">
        <v>6780510</v>
      </c>
      <c r="L14" s="302">
        <v>0</v>
      </c>
      <c r="M14" s="302">
        <v>0</v>
      </c>
      <c r="N14" s="302">
        <v>0</v>
      </c>
      <c r="O14" s="302">
        <v>0</v>
      </c>
      <c r="P14" s="302">
        <v>0</v>
      </c>
      <c r="Q14" s="302">
        <v>0</v>
      </c>
      <c r="R14" s="302">
        <v>1</v>
      </c>
      <c r="S14" s="302">
        <v>567967</v>
      </c>
    </row>
    <row r="15" spans="1:19" ht="11.25" customHeight="1" x14ac:dyDescent="0.2">
      <c r="A15" s="301" t="s">
        <v>12</v>
      </c>
      <c r="B15" s="302">
        <f t="shared" si="1"/>
        <v>12</v>
      </c>
      <c r="C15" s="302">
        <f t="shared" si="1"/>
        <v>53884930</v>
      </c>
      <c r="D15" s="302">
        <v>2</v>
      </c>
      <c r="E15" s="302">
        <v>13456727</v>
      </c>
      <c r="F15" s="302">
        <v>0</v>
      </c>
      <c r="G15" s="302">
        <v>0</v>
      </c>
      <c r="H15" s="302">
        <v>0</v>
      </c>
      <c r="I15" s="302">
        <v>0</v>
      </c>
      <c r="J15" s="302">
        <v>2</v>
      </c>
      <c r="K15" s="302">
        <v>12500969</v>
      </c>
      <c r="L15" s="302">
        <v>2</v>
      </c>
      <c r="M15" s="302">
        <v>9120215</v>
      </c>
      <c r="N15" s="302">
        <v>0</v>
      </c>
      <c r="O15" s="302">
        <v>0</v>
      </c>
      <c r="P15" s="302">
        <v>2</v>
      </c>
      <c r="Q15" s="302">
        <v>11200000</v>
      </c>
      <c r="R15" s="302">
        <v>4</v>
      </c>
      <c r="S15" s="302">
        <v>7607019</v>
      </c>
    </row>
    <row r="16" spans="1:19" ht="11.25" customHeight="1" x14ac:dyDescent="0.2">
      <c r="A16" s="301" t="s">
        <v>13</v>
      </c>
      <c r="B16" s="302">
        <f t="shared" si="1"/>
        <v>19</v>
      </c>
      <c r="C16" s="302">
        <f t="shared" si="1"/>
        <v>107459058</v>
      </c>
      <c r="D16" s="302">
        <v>3</v>
      </c>
      <c r="E16" s="302">
        <v>22786092</v>
      </c>
      <c r="F16" s="302">
        <v>1</v>
      </c>
      <c r="G16" s="302">
        <v>8083100</v>
      </c>
      <c r="H16" s="302">
        <v>5</v>
      </c>
      <c r="I16" s="302">
        <v>34086116</v>
      </c>
      <c r="J16" s="302">
        <v>4</v>
      </c>
      <c r="K16" s="302">
        <v>19830206</v>
      </c>
      <c r="L16" s="302">
        <v>1</v>
      </c>
      <c r="M16" s="302">
        <v>9084736</v>
      </c>
      <c r="N16" s="302">
        <v>1</v>
      </c>
      <c r="O16" s="302">
        <v>6134800</v>
      </c>
      <c r="P16" s="302">
        <v>0</v>
      </c>
      <c r="Q16" s="302">
        <v>0</v>
      </c>
      <c r="R16" s="302">
        <v>4</v>
      </c>
      <c r="S16" s="302">
        <v>7454008</v>
      </c>
    </row>
    <row r="17" spans="1:19" ht="11.25" customHeight="1" x14ac:dyDescent="0.2">
      <c r="A17" s="301" t="s">
        <v>47</v>
      </c>
      <c r="B17" s="302">
        <f t="shared" si="1"/>
        <v>3</v>
      </c>
      <c r="C17" s="302">
        <f t="shared" si="1"/>
        <v>23869644</v>
      </c>
      <c r="D17" s="302">
        <v>1</v>
      </c>
      <c r="E17" s="302">
        <v>6842863</v>
      </c>
      <c r="F17" s="302">
        <v>1</v>
      </c>
      <c r="G17" s="302">
        <v>6708240</v>
      </c>
      <c r="H17" s="302">
        <v>0</v>
      </c>
      <c r="I17" s="302">
        <v>0</v>
      </c>
      <c r="J17" s="302">
        <v>0</v>
      </c>
      <c r="K17" s="302">
        <v>0</v>
      </c>
      <c r="L17" s="302">
        <v>1</v>
      </c>
      <c r="M17" s="302">
        <v>10318541</v>
      </c>
      <c r="N17" s="302">
        <v>0</v>
      </c>
      <c r="O17" s="302">
        <v>0</v>
      </c>
      <c r="P17" s="302">
        <v>0</v>
      </c>
      <c r="Q17" s="302">
        <v>0</v>
      </c>
      <c r="R17" s="302">
        <v>0</v>
      </c>
      <c r="S17" s="302">
        <v>0</v>
      </c>
    </row>
    <row r="18" spans="1:19" ht="11.25" customHeight="1" x14ac:dyDescent="0.2">
      <c r="A18" s="301" t="s">
        <v>135</v>
      </c>
      <c r="B18" s="302">
        <f t="shared" si="1"/>
        <v>16</v>
      </c>
      <c r="C18" s="302">
        <f t="shared" si="1"/>
        <v>117434797</v>
      </c>
      <c r="D18" s="302">
        <v>2</v>
      </c>
      <c r="E18" s="302">
        <v>21531563</v>
      </c>
      <c r="F18" s="302">
        <v>0</v>
      </c>
      <c r="G18" s="302">
        <v>0</v>
      </c>
      <c r="H18" s="302">
        <v>3</v>
      </c>
      <c r="I18" s="302">
        <v>19853284</v>
      </c>
      <c r="J18" s="302">
        <v>1</v>
      </c>
      <c r="K18" s="302">
        <v>2649939</v>
      </c>
      <c r="L18" s="302">
        <v>3</v>
      </c>
      <c r="M18" s="302">
        <v>27118581</v>
      </c>
      <c r="N18" s="302">
        <v>2</v>
      </c>
      <c r="O18" s="302">
        <v>16230000</v>
      </c>
      <c r="P18" s="302">
        <v>2</v>
      </c>
      <c r="Q18" s="302">
        <v>25000000</v>
      </c>
      <c r="R18" s="302">
        <v>3</v>
      </c>
      <c r="S18" s="302">
        <v>5051430</v>
      </c>
    </row>
    <row r="19" spans="1:19" ht="11.25" customHeight="1" x14ac:dyDescent="0.2">
      <c r="A19" s="301" t="s">
        <v>136</v>
      </c>
      <c r="B19" s="302">
        <f t="shared" si="1"/>
        <v>10</v>
      </c>
      <c r="C19" s="302">
        <f t="shared" si="1"/>
        <v>82499941</v>
      </c>
      <c r="D19" s="302">
        <v>2</v>
      </c>
      <c r="E19" s="302">
        <v>41874735</v>
      </c>
      <c r="F19" s="302">
        <v>0</v>
      </c>
      <c r="G19" s="302">
        <v>0</v>
      </c>
      <c r="H19" s="302">
        <v>0</v>
      </c>
      <c r="I19" s="302">
        <v>0</v>
      </c>
      <c r="J19" s="302">
        <v>3</v>
      </c>
      <c r="K19" s="302">
        <v>17616015</v>
      </c>
      <c r="L19" s="302">
        <v>2</v>
      </c>
      <c r="M19" s="302">
        <v>9048775</v>
      </c>
      <c r="N19" s="302">
        <v>0</v>
      </c>
      <c r="O19" s="302">
        <v>0</v>
      </c>
      <c r="P19" s="302">
        <v>2</v>
      </c>
      <c r="Q19" s="302">
        <v>11096000</v>
      </c>
      <c r="R19" s="302">
        <v>1</v>
      </c>
      <c r="S19" s="302">
        <v>2864416</v>
      </c>
    </row>
    <row r="20" spans="1:19" ht="11.25" customHeight="1" x14ac:dyDescent="0.2">
      <c r="A20" s="301" t="s">
        <v>17</v>
      </c>
      <c r="B20" s="302">
        <f t="shared" si="1"/>
        <v>1</v>
      </c>
      <c r="C20" s="302">
        <f t="shared" si="1"/>
        <v>14872794</v>
      </c>
      <c r="D20" s="302">
        <v>1</v>
      </c>
      <c r="E20" s="302">
        <v>14872794</v>
      </c>
      <c r="F20" s="302">
        <v>0</v>
      </c>
      <c r="G20" s="302">
        <v>0</v>
      </c>
      <c r="H20" s="302">
        <v>0</v>
      </c>
      <c r="I20" s="302">
        <v>0</v>
      </c>
      <c r="J20" s="302">
        <v>0</v>
      </c>
      <c r="K20" s="302">
        <v>0</v>
      </c>
      <c r="L20" s="302">
        <v>0</v>
      </c>
      <c r="M20" s="302">
        <v>0</v>
      </c>
      <c r="N20" s="302">
        <v>0</v>
      </c>
      <c r="O20" s="302">
        <v>0</v>
      </c>
      <c r="P20" s="302">
        <v>0</v>
      </c>
      <c r="Q20" s="302">
        <v>0</v>
      </c>
      <c r="R20" s="302">
        <v>0</v>
      </c>
      <c r="S20" s="302">
        <v>0</v>
      </c>
    </row>
    <row r="21" spans="1:19" ht="11.25" customHeight="1" x14ac:dyDescent="0.2">
      <c r="A21" s="235" t="s">
        <v>18</v>
      </c>
      <c r="B21" s="302">
        <f t="shared" si="1"/>
        <v>0</v>
      </c>
      <c r="C21" s="302">
        <f t="shared" si="1"/>
        <v>0</v>
      </c>
      <c r="D21" s="302">
        <v>0</v>
      </c>
      <c r="E21" s="302">
        <v>0</v>
      </c>
      <c r="F21" s="302">
        <v>0</v>
      </c>
      <c r="G21" s="302">
        <v>0</v>
      </c>
      <c r="H21" s="302">
        <v>0</v>
      </c>
      <c r="I21" s="302">
        <v>0</v>
      </c>
      <c r="J21" s="302">
        <v>0</v>
      </c>
      <c r="K21" s="302">
        <v>0</v>
      </c>
      <c r="L21" s="302">
        <v>0</v>
      </c>
      <c r="M21" s="302">
        <v>0</v>
      </c>
      <c r="N21" s="302">
        <v>0</v>
      </c>
      <c r="O21" s="302">
        <v>0</v>
      </c>
      <c r="P21" s="302">
        <v>0</v>
      </c>
      <c r="Q21" s="302">
        <v>0</v>
      </c>
      <c r="R21" s="302">
        <v>0</v>
      </c>
      <c r="S21" s="302">
        <v>0</v>
      </c>
    </row>
    <row r="22" spans="1:19" ht="11.25" customHeight="1" x14ac:dyDescent="0.2">
      <c r="A22" s="235" t="s">
        <v>602</v>
      </c>
      <c r="B22" s="302">
        <f t="shared" si="1"/>
        <v>16</v>
      </c>
      <c r="C22" s="302">
        <f t="shared" si="1"/>
        <v>105052010</v>
      </c>
      <c r="D22" s="302">
        <v>11</v>
      </c>
      <c r="E22" s="302">
        <v>81008266</v>
      </c>
      <c r="F22" s="302">
        <v>1</v>
      </c>
      <c r="G22" s="302">
        <v>5490000</v>
      </c>
      <c r="H22" s="302">
        <v>0</v>
      </c>
      <c r="I22" s="302">
        <v>0</v>
      </c>
      <c r="J22" s="302">
        <v>4</v>
      </c>
      <c r="K22" s="302">
        <v>18553744</v>
      </c>
      <c r="L22" s="302">
        <v>0</v>
      </c>
      <c r="M22" s="302">
        <v>0</v>
      </c>
      <c r="N22" s="302">
        <v>0</v>
      </c>
      <c r="O22" s="302">
        <v>0</v>
      </c>
      <c r="P22" s="302">
        <v>0</v>
      </c>
      <c r="Q22" s="302">
        <v>0</v>
      </c>
      <c r="R22" s="302">
        <v>0</v>
      </c>
      <c r="S22" s="302">
        <v>0</v>
      </c>
    </row>
    <row r="23" spans="1:19" ht="11.25" customHeight="1" x14ac:dyDescent="0.2"/>
    <row r="24" spans="1:19" ht="11.25" customHeight="1" x14ac:dyDescent="0.2">
      <c r="A24" s="2" t="s">
        <v>564</v>
      </c>
    </row>
    <row r="25" spans="1:19" x14ac:dyDescent="0.2">
      <c r="A25" s="296" t="s">
        <v>19</v>
      </c>
      <c r="B25" s="296"/>
      <c r="C25" s="284"/>
    </row>
    <row r="26" spans="1:19" x14ac:dyDescent="0.2">
      <c r="A26" s="235" t="s">
        <v>546</v>
      </c>
      <c r="B26" s="287"/>
      <c r="C26" s="287"/>
      <c r="D26" s="287"/>
      <c r="E26" s="287"/>
      <c r="F26" s="287"/>
      <c r="G26" s="287"/>
      <c r="H26" s="287"/>
      <c r="I26" s="287"/>
      <c r="J26" s="287"/>
      <c r="K26" s="287"/>
      <c r="L26" s="287"/>
      <c r="M26" s="287"/>
      <c r="N26" s="287"/>
      <c r="O26" s="287"/>
      <c r="P26" s="287"/>
      <c r="Q26" s="287"/>
    </row>
  </sheetData>
  <mergeCells count="12">
    <mergeCell ref="N4:O4"/>
    <mergeCell ref="P4:Q4"/>
    <mergeCell ref="R4:S4"/>
    <mergeCell ref="A25:B25"/>
    <mergeCell ref="A2:M2"/>
    <mergeCell ref="A4:A5"/>
    <mergeCell ref="B4:C4"/>
    <mergeCell ref="D4:E4"/>
    <mergeCell ref="F4:G4"/>
    <mergeCell ref="H4:I4"/>
    <mergeCell ref="J4:K4"/>
    <mergeCell ref="L4:M4"/>
  </mergeCells>
  <pageMargins left="0.31496062992125984" right="0.31496062992125984" top="0.59055118110236227" bottom="0.39370078740157483" header="0.19685039370078741" footer="0"/>
  <pageSetup paperSize="14" scale="65" orientation="landscape" r:id="rId1"/>
  <headerFooter alignWithMargins="0"/>
</worksheet>
</file>

<file path=xl/worksheets/sheet3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A73EE-9015-4EFD-8A08-2C0EFECAA0F0}">
  <sheetPr codeName="Hoja320"/>
  <dimension ref="A2:K14"/>
  <sheetViews>
    <sheetView zoomScaleNormal="100" workbookViewId="0">
      <selection activeCell="F37" sqref="F37"/>
    </sheetView>
  </sheetViews>
  <sheetFormatPr baseColWidth="10" defaultRowHeight="13.2" x14ac:dyDescent="0.25"/>
  <sheetData>
    <row r="2" spans="1:11" ht="24.75" customHeight="1" x14ac:dyDescent="0.25">
      <c r="A2" s="308" t="s">
        <v>3503</v>
      </c>
      <c r="B2" s="308"/>
      <c r="C2" s="308"/>
      <c r="D2" s="308"/>
      <c r="E2" s="308"/>
      <c r="F2" s="308"/>
      <c r="G2" s="308"/>
      <c r="H2" s="308"/>
      <c r="I2" s="308"/>
      <c r="J2" s="308"/>
      <c r="K2" s="308"/>
    </row>
    <row r="4" spans="1:11" x14ac:dyDescent="0.25">
      <c r="A4" s="653" t="s">
        <v>825</v>
      </c>
      <c r="B4" s="874" t="s">
        <v>2218</v>
      </c>
      <c r="C4" s="875"/>
      <c r="D4" s="875"/>
      <c r="E4" s="875"/>
      <c r="F4" s="875"/>
      <c r="G4" s="875"/>
      <c r="H4" s="875"/>
      <c r="I4" s="875"/>
      <c r="J4" s="875"/>
      <c r="K4" s="876"/>
    </row>
    <row r="5" spans="1:11" x14ac:dyDescent="0.25">
      <c r="A5" s="887"/>
      <c r="B5" s="653" t="s">
        <v>42</v>
      </c>
      <c r="C5" s="874" t="s">
        <v>2205</v>
      </c>
      <c r="D5" s="875"/>
      <c r="E5" s="875"/>
      <c r="F5" s="875"/>
      <c r="G5" s="875"/>
      <c r="H5" s="875"/>
      <c r="I5" s="875"/>
      <c r="J5" s="875"/>
      <c r="K5" s="876"/>
    </row>
    <row r="6" spans="1:11" s="1009" customFormat="1" ht="20.399999999999999" x14ac:dyDescent="0.25">
      <c r="A6" s="654"/>
      <c r="B6" s="654"/>
      <c r="C6" s="644" t="s">
        <v>3607</v>
      </c>
      <c r="D6" s="644" t="s">
        <v>3608</v>
      </c>
      <c r="E6" s="644" t="s">
        <v>3609</v>
      </c>
      <c r="F6" s="644" t="s">
        <v>3610</v>
      </c>
      <c r="G6" s="644" t="s">
        <v>3600</v>
      </c>
      <c r="H6" s="644" t="s">
        <v>3578</v>
      </c>
      <c r="I6" s="644" t="s">
        <v>3572</v>
      </c>
      <c r="J6" s="644" t="s">
        <v>3596</v>
      </c>
      <c r="K6" s="644" t="s">
        <v>996</v>
      </c>
    </row>
    <row r="7" spans="1:11" x14ac:dyDescent="0.25">
      <c r="A7" s="669" t="s">
        <v>2214</v>
      </c>
      <c r="B7" s="655">
        <v>4145278</v>
      </c>
      <c r="C7" s="643">
        <v>1683241</v>
      </c>
      <c r="D7" s="643">
        <v>497677</v>
      </c>
      <c r="E7" s="643">
        <v>758208</v>
      </c>
      <c r="F7" s="643">
        <v>512331</v>
      </c>
      <c r="G7" s="643">
        <v>152268</v>
      </c>
      <c r="H7" s="643">
        <v>158580</v>
      </c>
      <c r="I7" s="643">
        <v>113309</v>
      </c>
      <c r="J7" s="643">
        <v>31355</v>
      </c>
      <c r="K7" s="643">
        <v>238309</v>
      </c>
    </row>
    <row r="8" spans="1:11" x14ac:dyDescent="0.25">
      <c r="A8" s="669">
        <v>2010</v>
      </c>
      <c r="B8" s="655">
        <v>3878975</v>
      </c>
      <c r="C8" s="643">
        <v>1941813</v>
      </c>
      <c r="D8" s="643">
        <v>383430</v>
      </c>
      <c r="E8" s="643">
        <v>474464</v>
      </c>
      <c r="F8" s="643">
        <v>352911</v>
      </c>
      <c r="G8" s="643">
        <v>146456</v>
      </c>
      <c r="H8" s="643">
        <v>217688</v>
      </c>
      <c r="I8" s="643">
        <v>126366</v>
      </c>
      <c r="J8" s="643">
        <v>35660</v>
      </c>
      <c r="K8" s="643">
        <v>200187</v>
      </c>
    </row>
    <row r="9" spans="1:11" x14ac:dyDescent="0.25">
      <c r="A9" s="669" t="s">
        <v>2215</v>
      </c>
      <c r="B9" s="655">
        <v>4256877</v>
      </c>
      <c r="C9" s="643">
        <v>1784922</v>
      </c>
      <c r="D9" s="643">
        <v>618879</v>
      </c>
      <c r="E9" s="643">
        <v>580081</v>
      </c>
      <c r="F9" s="643">
        <v>488988</v>
      </c>
      <c r="G9" s="643">
        <v>152275</v>
      </c>
      <c r="H9" s="643">
        <v>206880</v>
      </c>
      <c r="I9" s="643">
        <v>214372</v>
      </c>
      <c r="J9" s="643">
        <v>31962</v>
      </c>
      <c r="K9" s="643">
        <v>178518</v>
      </c>
    </row>
    <row r="10" spans="1:11" x14ac:dyDescent="0.25">
      <c r="A10" s="669" t="s">
        <v>2216</v>
      </c>
      <c r="B10" s="655">
        <v>4946853</v>
      </c>
      <c r="C10" s="643">
        <v>2185142</v>
      </c>
      <c r="D10" s="643">
        <v>594251</v>
      </c>
      <c r="E10" s="643">
        <v>721933</v>
      </c>
      <c r="F10" s="643">
        <v>607668</v>
      </c>
      <c r="G10" s="643">
        <v>224722</v>
      </c>
      <c r="H10" s="643">
        <v>193040</v>
      </c>
      <c r="I10" s="643">
        <v>145007</v>
      </c>
      <c r="J10" s="643">
        <v>33980</v>
      </c>
      <c r="K10" s="643">
        <v>241110</v>
      </c>
    </row>
    <row r="11" spans="1:11" x14ac:dyDescent="0.25">
      <c r="A11" s="669" t="s">
        <v>2217</v>
      </c>
      <c r="B11" s="655">
        <v>4241356</v>
      </c>
      <c r="C11" s="643">
        <v>1894542</v>
      </c>
      <c r="D11" s="643">
        <v>527085</v>
      </c>
      <c r="E11" s="643">
        <v>581356</v>
      </c>
      <c r="F11" s="643">
        <v>426869</v>
      </c>
      <c r="G11" s="643">
        <v>158089</v>
      </c>
      <c r="H11" s="643">
        <v>121369</v>
      </c>
      <c r="I11" s="643">
        <v>181425</v>
      </c>
      <c r="J11" s="643">
        <v>56019</v>
      </c>
      <c r="K11" s="643">
        <v>294602</v>
      </c>
    </row>
    <row r="12" spans="1:11" x14ac:dyDescent="0.25">
      <c r="A12" s="669"/>
      <c r="B12" s="655"/>
      <c r="C12" s="643"/>
      <c r="D12" s="643"/>
      <c r="E12" s="643"/>
      <c r="F12" s="643"/>
      <c r="G12" s="643"/>
      <c r="H12" s="643"/>
      <c r="I12" s="643"/>
      <c r="J12" s="643"/>
      <c r="K12" s="643"/>
    </row>
    <row r="13" spans="1:11" ht="27" customHeight="1" x14ac:dyDescent="0.25">
      <c r="A13" s="982" t="s">
        <v>3611</v>
      </c>
      <c r="B13" s="982"/>
      <c r="C13" s="982"/>
      <c r="D13" s="982"/>
      <c r="E13" s="982"/>
      <c r="F13" s="982"/>
      <c r="G13" s="982"/>
      <c r="H13" s="982"/>
      <c r="I13" s="982"/>
      <c r="J13" s="982"/>
      <c r="K13" s="982"/>
    </row>
    <row r="14" spans="1:11" x14ac:dyDescent="0.25">
      <c r="A14" s="336" t="s">
        <v>2213</v>
      </c>
      <c r="B14" s="633"/>
      <c r="C14" s="633"/>
      <c r="D14" s="633"/>
      <c r="E14" s="633"/>
      <c r="F14" s="633"/>
      <c r="G14" s="633"/>
      <c r="H14" s="633"/>
      <c r="I14" s="633"/>
    </row>
  </sheetData>
  <mergeCells count="6">
    <mergeCell ref="A2:K2"/>
    <mergeCell ref="A4:A6"/>
    <mergeCell ref="B4:K4"/>
    <mergeCell ref="B5:B6"/>
    <mergeCell ref="C5:K5"/>
    <mergeCell ref="A13:K13"/>
  </mergeCells>
  <pageMargins left="0.70866141732283472" right="0.70866141732283472" top="0.74803149606299213" bottom="0.74803149606299213" header="0.31496062992125984" footer="0.31496062992125984"/>
  <pageSetup paperSize="14" scale="115" orientation="landscape" r:id="rId1"/>
</worksheet>
</file>

<file path=xl/worksheets/sheet3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14E053-FECB-41E6-9AAA-8B80B77017D3}">
  <sheetPr codeName="Hoja321"/>
  <dimension ref="A2:N24"/>
  <sheetViews>
    <sheetView zoomScaleNormal="100" workbookViewId="0"/>
  </sheetViews>
  <sheetFormatPr baseColWidth="10" defaultRowHeight="13.2" x14ac:dyDescent="0.25"/>
  <cols>
    <col min="1" max="1" width="16.6640625" customWidth="1"/>
  </cols>
  <sheetData>
    <row r="2" spans="1:14" x14ac:dyDescent="0.25">
      <c r="A2" s="305" t="s">
        <v>3504</v>
      </c>
      <c r="B2" s="305"/>
      <c r="C2" s="305"/>
      <c r="D2" s="305"/>
      <c r="E2" s="305"/>
      <c r="F2" s="305"/>
      <c r="G2" s="305"/>
      <c r="H2" s="305"/>
      <c r="I2" s="305"/>
      <c r="J2" s="305"/>
      <c r="K2" s="305"/>
      <c r="L2" s="305"/>
      <c r="M2" s="305"/>
      <c r="N2" s="305"/>
    </row>
    <row r="3" spans="1:14" x14ac:dyDescent="0.25">
      <c r="A3" s="321"/>
      <c r="B3" s="990"/>
      <c r="C3" s="990"/>
      <c r="D3" s="321"/>
      <c r="E3" s="321"/>
      <c r="F3" s="321"/>
      <c r="G3" s="321"/>
      <c r="H3" s="321"/>
      <c r="I3" s="2"/>
      <c r="J3" s="2"/>
      <c r="K3" s="2"/>
      <c r="L3" s="2"/>
      <c r="M3" s="2"/>
      <c r="N3" s="2"/>
    </row>
    <row r="4" spans="1:14" x14ac:dyDescent="0.25">
      <c r="A4" s="298" t="s">
        <v>0</v>
      </c>
      <c r="B4" s="685" t="s">
        <v>2220</v>
      </c>
      <c r="C4" s="685"/>
      <c r="D4" s="685"/>
      <c r="E4" s="685"/>
      <c r="F4" s="685"/>
      <c r="G4" s="685"/>
      <c r="H4" s="685"/>
      <c r="I4" s="685"/>
      <c r="J4" s="685"/>
      <c r="K4" s="685"/>
      <c r="L4" s="685"/>
      <c r="M4" s="685"/>
      <c r="N4" s="685"/>
    </row>
    <row r="5" spans="1:14" x14ac:dyDescent="0.25">
      <c r="A5" s="298"/>
      <c r="B5" s="644" t="s">
        <v>3</v>
      </c>
      <c r="C5" s="644" t="s">
        <v>2221</v>
      </c>
      <c r="D5" s="644" t="s">
        <v>2222</v>
      </c>
      <c r="E5" s="644" t="s">
        <v>2223</v>
      </c>
      <c r="F5" s="644" t="s">
        <v>2224</v>
      </c>
      <c r="G5" s="644" t="s">
        <v>2225</v>
      </c>
      <c r="H5" s="644" t="s">
        <v>2226</v>
      </c>
      <c r="I5" s="644" t="s">
        <v>2227</v>
      </c>
      <c r="J5" s="644" t="s">
        <v>2228</v>
      </c>
      <c r="K5" s="644" t="s">
        <v>2229</v>
      </c>
      <c r="L5" s="644" t="s">
        <v>2230</v>
      </c>
      <c r="M5" s="644" t="s">
        <v>2231</v>
      </c>
      <c r="N5" s="644" t="s">
        <v>2232</v>
      </c>
    </row>
    <row r="6" spans="1:14" x14ac:dyDescent="0.25">
      <c r="A6" s="884" t="s">
        <v>3</v>
      </c>
      <c r="B6" s="655">
        <f>SUM(B7:B21)</f>
        <v>8914033</v>
      </c>
      <c r="C6" s="655">
        <f>SUM(C7:C21)</f>
        <v>677061</v>
      </c>
      <c r="D6" s="655">
        <f t="shared" ref="D6:N6" si="0">SUM(D7:D21)</f>
        <v>728002</v>
      </c>
      <c r="E6" s="655">
        <f t="shared" si="0"/>
        <v>851362</v>
      </c>
      <c r="F6" s="655">
        <f t="shared" si="0"/>
        <v>903741</v>
      </c>
      <c r="G6" s="655">
        <f t="shared" si="0"/>
        <v>887028</v>
      </c>
      <c r="H6" s="655">
        <f t="shared" si="0"/>
        <v>675653</v>
      </c>
      <c r="I6" s="655">
        <f t="shared" si="0"/>
        <v>701712</v>
      </c>
      <c r="J6" s="655">
        <f t="shared" si="0"/>
        <v>732830</v>
      </c>
      <c r="K6" s="655">
        <f t="shared" si="0"/>
        <v>669099</v>
      </c>
      <c r="L6" s="655">
        <f t="shared" si="0"/>
        <v>778814</v>
      </c>
      <c r="M6" s="655">
        <f t="shared" si="0"/>
        <v>693860</v>
      </c>
      <c r="N6" s="655">
        <f t="shared" si="0"/>
        <v>614871</v>
      </c>
    </row>
    <row r="7" spans="1:14" ht="14.4" x14ac:dyDescent="0.25">
      <c r="A7" s="288" t="s">
        <v>4</v>
      </c>
      <c r="B7" s="655">
        <f>SUM(C7:N7)</f>
        <v>189108</v>
      </c>
      <c r="C7" s="890">
        <v>5876</v>
      </c>
      <c r="D7" s="890">
        <v>18435</v>
      </c>
      <c r="E7" s="890">
        <v>19495</v>
      </c>
      <c r="F7" s="890">
        <v>21484</v>
      </c>
      <c r="G7" s="890">
        <v>24760</v>
      </c>
      <c r="H7" s="890">
        <v>19863</v>
      </c>
      <c r="I7" s="890">
        <v>10070</v>
      </c>
      <c r="J7" s="890">
        <v>14260</v>
      </c>
      <c r="K7" s="890">
        <v>9775</v>
      </c>
      <c r="L7" s="890">
        <v>16250</v>
      </c>
      <c r="M7" s="890">
        <v>16700</v>
      </c>
      <c r="N7" s="890">
        <v>12140</v>
      </c>
    </row>
    <row r="8" spans="1:14" ht="14.4" x14ac:dyDescent="0.25">
      <c r="A8" s="288" t="s">
        <v>5</v>
      </c>
      <c r="B8" s="655">
        <f t="shared" ref="B8:B20" si="1">SUM(C8:N8)</f>
        <v>227323</v>
      </c>
      <c r="C8" s="890">
        <v>23171</v>
      </c>
      <c r="D8" s="890">
        <v>21727</v>
      </c>
      <c r="E8" s="890">
        <v>22762</v>
      </c>
      <c r="F8" s="890">
        <v>24115</v>
      </c>
      <c r="G8" s="890">
        <v>22826</v>
      </c>
      <c r="H8" s="890">
        <v>25406</v>
      </c>
      <c r="I8" s="890">
        <v>11953</v>
      </c>
      <c r="J8" s="890">
        <v>12103</v>
      </c>
      <c r="K8" s="890">
        <v>14189</v>
      </c>
      <c r="L8" s="890">
        <v>13075</v>
      </c>
      <c r="M8" s="890">
        <v>16052</v>
      </c>
      <c r="N8" s="890">
        <v>19944</v>
      </c>
    </row>
    <row r="9" spans="1:14" ht="14.4" x14ac:dyDescent="0.25">
      <c r="A9" s="288" t="s">
        <v>6</v>
      </c>
      <c r="B9" s="655">
        <f t="shared" si="1"/>
        <v>340736</v>
      </c>
      <c r="C9" s="890">
        <v>22316</v>
      </c>
      <c r="D9" s="890">
        <v>16170</v>
      </c>
      <c r="E9" s="890">
        <v>21857</v>
      </c>
      <c r="F9" s="890">
        <v>48575</v>
      </c>
      <c r="G9" s="890">
        <v>30441</v>
      </c>
      <c r="H9" s="890">
        <v>28927</v>
      </c>
      <c r="I9" s="890">
        <v>41937</v>
      </c>
      <c r="J9" s="890">
        <v>36780</v>
      </c>
      <c r="K9" s="890">
        <v>23182</v>
      </c>
      <c r="L9" s="890">
        <v>22624</v>
      </c>
      <c r="M9" s="890">
        <v>33167</v>
      </c>
      <c r="N9" s="890">
        <v>14760</v>
      </c>
    </row>
    <row r="10" spans="1:14" ht="14.4" x14ac:dyDescent="0.25">
      <c r="A10" s="288" t="s">
        <v>7</v>
      </c>
      <c r="B10" s="655">
        <f t="shared" si="1"/>
        <v>181958</v>
      </c>
      <c r="C10" s="890">
        <v>15242</v>
      </c>
      <c r="D10" s="890">
        <v>11568</v>
      </c>
      <c r="E10" s="890">
        <v>24547</v>
      </c>
      <c r="F10" s="890">
        <v>13670</v>
      </c>
      <c r="G10" s="890">
        <v>10918</v>
      </c>
      <c r="H10" s="890">
        <v>21588</v>
      </c>
      <c r="I10" s="890">
        <v>11855</v>
      </c>
      <c r="J10" s="890">
        <v>16646</v>
      </c>
      <c r="K10" s="890">
        <v>16307</v>
      </c>
      <c r="L10" s="890">
        <v>15175</v>
      </c>
      <c r="M10" s="890">
        <v>15462</v>
      </c>
      <c r="N10" s="890">
        <v>8980</v>
      </c>
    </row>
    <row r="11" spans="1:14" ht="14.4" x14ac:dyDescent="0.25">
      <c r="A11" s="288" t="s">
        <v>8</v>
      </c>
      <c r="B11" s="655">
        <f t="shared" si="1"/>
        <v>336362</v>
      </c>
      <c r="C11" s="890">
        <v>33725</v>
      </c>
      <c r="D11" s="890">
        <v>29055</v>
      </c>
      <c r="E11" s="890">
        <v>41855</v>
      </c>
      <c r="F11" s="890">
        <v>22455</v>
      </c>
      <c r="G11" s="890">
        <v>22935</v>
      </c>
      <c r="H11" s="890">
        <v>39611</v>
      </c>
      <c r="I11" s="890">
        <v>22555</v>
      </c>
      <c r="J11" s="890">
        <v>24304</v>
      </c>
      <c r="K11" s="890">
        <v>20140</v>
      </c>
      <c r="L11" s="890">
        <v>34814</v>
      </c>
      <c r="M11" s="890">
        <v>23269</v>
      </c>
      <c r="N11" s="890">
        <v>21644</v>
      </c>
    </row>
    <row r="12" spans="1:14" ht="14.4" x14ac:dyDescent="0.25">
      <c r="A12" s="288" t="s">
        <v>9</v>
      </c>
      <c r="B12" s="655">
        <f t="shared" si="1"/>
        <v>950944</v>
      </c>
      <c r="C12" s="890">
        <v>63187</v>
      </c>
      <c r="D12" s="890">
        <v>77859</v>
      </c>
      <c r="E12" s="890">
        <v>81095</v>
      </c>
      <c r="F12" s="890">
        <v>92487</v>
      </c>
      <c r="G12" s="890">
        <v>93848</v>
      </c>
      <c r="H12" s="890">
        <v>63635</v>
      </c>
      <c r="I12" s="890">
        <v>125474</v>
      </c>
      <c r="J12" s="890">
        <v>64790</v>
      </c>
      <c r="K12" s="890">
        <v>88461</v>
      </c>
      <c r="L12" s="890">
        <v>79770</v>
      </c>
      <c r="M12" s="890">
        <v>58948</v>
      </c>
      <c r="N12" s="890">
        <v>61390</v>
      </c>
    </row>
    <row r="13" spans="1:14" ht="14.4" x14ac:dyDescent="0.25">
      <c r="A13" s="288" t="s">
        <v>10</v>
      </c>
      <c r="B13" s="655">
        <f t="shared" si="1"/>
        <v>2281048</v>
      </c>
      <c r="C13" s="890">
        <v>113754</v>
      </c>
      <c r="D13" s="890">
        <v>144249</v>
      </c>
      <c r="E13" s="890">
        <v>230254</v>
      </c>
      <c r="F13" s="890">
        <v>258621</v>
      </c>
      <c r="G13" s="890">
        <v>209322</v>
      </c>
      <c r="H13" s="890">
        <v>148216</v>
      </c>
      <c r="I13" s="890">
        <v>152949</v>
      </c>
      <c r="J13" s="890">
        <v>221293</v>
      </c>
      <c r="K13" s="890">
        <v>186652</v>
      </c>
      <c r="L13" s="890">
        <v>258117</v>
      </c>
      <c r="M13" s="890">
        <v>183527</v>
      </c>
      <c r="N13" s="890">
        <v>174094</v>
      </c>
    </row>
    <row r="14" spans="1:14" ht="14.4" x14ac:dyDescent="0.25">
      <c r="A14" s="288" t="s">
        <v>134</v>
      </c>
      <c r="B14" s="655">
        <f t="shared" si="1"/>
        <v>384483</v>
      </c>
      <c r="C14" s="890">
        <v>33153</v>
      </c>
      <c r="D14" s="890">
        <v>48493</v>
      </c>
      <c r="E14" s="890">
        <v>29130</v>
      </c>
      <c r="F14" s="890">
        <v>30393</v>
      </c>
      <c r="G14" s="890">
        <v>31975</v>
      </c>
      <c r="H14" s="890">
        <v>27078</v>
      </c>
      <c r="I14" s="890">
        <v>21368</v>
      </c>
      <c r="J14" s="890">
        <v>32539</v>
      </c>
      <c r="K14" s="890">
        <v>26049</v>
      </c>
      <c r="L14" s="890">
        <v>41687</v>
      </c>
      <c r="M14" s="890">
        <v>36678</v>
      </c>
      <c r="N14" s="890">
        <v>25940</v>
      </c>
    </row>
    <row r="15" spans="1:14" ht="14.4" x14ac:dyDescent="0.25">
      <c r="A15" s="288" t="s">
        <v>12</v>
      </c>
      <c r="B15" s="655">
        <f t="shared" si="1"/>
        <v>722273</v>
      </c>
      <c r="C15" s="890">
        <v>73294</v>
      </c>
      <c r="D15" s="890">
        <v>75984</v>
      </c>
      <c r="E15" s="890">
        <v>81581</v>
      </c>
      <c r="F15" s="890">
        <v>76012</v>
      </c>
      <c r="G15" s="890">
        <v>86563</v>
      </c>
      <c r="H15" s="890">
        <v>71730</v>
      </c>
      <c r="I15" s="890">
        <v>44695</v>
      </c>
      <c r="J15" s="890">
        <v>46096</v>
      </c>
      <c r="K15" s="890">
        <v>47008</v>
      </c>
      <c r="L15" s="890">
        <v>42532</v>
      </c>
      <c r="M15" s="890">
        <v>42237</v>
      </c>
      <c r="N15" s="890">
        <v>34541</v>
      </c>
    </row>
    <row r="16" spans="1:14" ht="14.4" x14ac:dyDescent="0.25">
      <c r="A16" s="288" t="s">
        <v>13</v>
      </c>
      <c r="B16" s="655">
        <f t="shared" si="1"/>
        <v>1348602</v>
      </c>
      <c r="C16" s="890">
        <v>121976</v>
      </c>
      <c r="D16" s="890">
        <v>116274</v>
      </c>
      <c r="E16" s="890">
        <v>104315</v>
      </c>
      <c r="F16" s="890">
        <v>128988</v>
      </c>
      <c r="G16" s="890">
        <v>139555</v>
      </c>
      <c r="H16" s="890">
        <v>94406</v>
      </c>
      <c r="I16" s="890">
        <v>119019</v>
      </c>
      <c r="J16" s="890">
        <v>113127</v>
      </c>
      <c r="K16" s="890">
        <v>99855</v>
      </c>
      <c r="L16" s="890">
        <v>99479</v>
      </c>
      <c r="M16" s="890">
        <v>110178</v>
      </c>
      <c r="N16" s="890">
        <v>101430</v>
      </c>
    </row>
    <row r="17" spans="1:14" ht="14.4" x14ac:dyDescent="0.25">
      <c r="A17" s="288" t="s">
        <v>47</v>
      </c>
      <c r="B17" s="655">
        <f>SUM(C17:N17)</f>
        <v>1191856</v>
      </c>
      <c r="C17" s="890">
        <v>95582</v>
      </c>
      <c r="D17" s="890">
        <v>82849</v>
      </c>
      <c r="E17" s="890">
        <v>90143</v>
      </c>
      <c r="F17" s="890">
        <v>108664</v>
      </c>
      <c r="G17" s="890">
        <v>143916</v>
      </c>
      <c r="H17" s="890">
        <v>106011</v>
      </c>
      <c r="I17" s="890">
        <v>103567</v>
      </c>
      <c r="J17" s="890">
        <v>107707</v>
      </c>
      <c r="K17" s="890">
        <v>86634</v>
      </c>
      <c r="L17" s="890">
        <v>99389</v>
      </c>
      <c r="M17" s="890">
        <v>91767</v>
      </c>
      <c r="N17" s="890">
        <v>75627</v>
      </c>
    </row>
    <row r="18" spans="1:14" ht="14.4" x14ac:dyDescent="0.25">
      <c r="A18" s="288" t="s">
        <v>135</v>
      </c>
      <c r="B18" s="655">
        <f t="shared" si="1"/>
        <v>66148</v>
      </c>
      <c r="C18" s="890">
        <v>5885</v>
      </c>
      <c r="D18" s="890">
        <v>16530</v>
      </c>
      <c r="E18" s="890">
        <v>5105</v>
      </c>
      <c r="F18" s="890">
        <v>10430</v>
      </c>
      <c r="G18" s="890">
        <v>2970</v>
      </c>
      <c r="H18" s="890">
        <v>6745</v>
      </c>
      <c r="I18" s="890">
        <v>2436</v>
      </c>
      <c r="J18" s="890">
        <v>2166</v>
      </c>
      <c r="K18" s="890">
        <v>3853</v>
      </c>
      <c r="L18" s="890">
        <v>5435</v>
      </c>
      <c r="M18" s="890">
        <v>1165</v>
      </c>
      <c r="N18" s="890">
        <v>3428</v>
      </c>
    </row>
    <row r="19" spans="1:14" ht="14.4" x14ac:dyDescent="0.25">
      <c r="A19" s="288" t="s">
        <v>136</v>
      </c>
      <c r="B19" s="655">
        <f>SUM(C19:N19)</f>
        <v>614332</v>
      </c>
      <c r="C19" s="890">
        <v>64190</v>
      </c>
      <c r="D19" s="890">
        <v>60427</v>
      </c>
      <c r="E19" s="890">
        <v>91361</v>
      </c>
      <c r="F19" s="890">
        <v>60241</v>
      </c>
      <c r="G19" s="890">
        <v>60974</v>
      </c>
      <c r="H19" s="890">
        <v>17714</v>
      </c>
      <c r="I19" s="890">
        <v>28692</v>
      </c>
      <c r="J19" s="890">
        <v>35379</v>
      </c>
      <c r="K19" s="890">
        <v>38767</v>
      </c>
      <c r="L19" s="890">
        <v>40499</v>
      </c>
      <c r="M19" s="890">
        <v>59767</v>
      </c>
      <c r="N19" s="890">
        <v>56321</v>
      </c>
    </row>
    <row r="20" spans="1:14" ht="14.4" x14ac:dyDescent="0.25">
      <c r="A20" s="288" t="s">
        <v>17</v>
      </c>
      <c r="B20" s="655">
        <f t="shared" si="1"/>
        <v>18144</v>
      </c>
      <c r="C20" s="890">
        <v>1100</v>
      </c>
      <c r="D20" s="890">
        <v>3550</v>
      </c>
      <c r="E20" s="890">
        <v>1390</v>
      </c>
      <c r="F20" s="890">
        <v>2050</v>
      </c>
      <c r="G20" s="890">
        <v>1461</v>
      </c>
      <c r="H20" s="890">
        <v>1273</v>
      </c>
      <c r="I20" s="890">
        <v>750</v>
      </c>
      <c r="J20" s="890">
        <v>700</v>
      </c>
      <c r="K20" s="890">
        <v>2770</v>
      </c>
      <c r="L20" s="890">
        <v>1150</v>
      </c>
      <c r="M20" s="890">
        <v>850</v>
      </c>
      <c r="N20" s="890">
        <v>1100</v>
      </c>
    </row>
    <row r="21" spans="1:14" ht="14.4" x14ac:dyDescent="0.25">
      <c r="A21" s="284" t="s">
        <v>18</v>
      </c>
      <c r="B21" s="655">
        <f>SUM(C21:N21)</f>
        <v>60716</v>
      </c>
      <c r="C21" s="890">
        <v>4610</v>
      </c>
      <c r="D21" s="890">
        <v>4832</v>
      </c>
      <c r="E21" s="890">
        <v>6472</v>
      </c>
      <c r="F21" s="890">
        <v>5556</v>
      </c>
      <c r="G21" s="890">
        <v>4564</v>
      </c>
      <c r="H21" s="890">
        <v>3450</v>
      </c>
      <c r="I21" s="890">
        <v>4392</v>
      </c>
      <c r="J21" s="890">
        <v>4940</v>
      </c>
      <c r="K21" s="890">
        <v>5457</v>
      </c>
      <c r="L21" s="890">
        <v>8818</v>
      </c>
      <c r="M21" s="890">
        <v>4093</v>
      </c>
      <c r="N21" s="890">
        <v>3532</v>
      </c>
    </row>
    <row r="22" spans="1:14" ht="14.4" x14ac:dyDescent="0.25">
      <c r="A22" s="288"/>
      <c r="B22" s="655"/>
      <c r="C22" s="890"/>
      <c r="D22" s="890"/>
      <c r="E22" s="890"/>
      <c r="F22" s="890"/>
      <c r="G22" s="890"/>
      <c r="H22" s="890"/>
      <c r="I22" s="890"/>
      <c r="J22" s="890"/>
      <c r="K22" s="890"/>
      <c r="L22" s="890"/>
      <c r="M22" s="890"/>
      <c r="N22" s="890"/>
    </row>
    <row r="23" spans="1:14" ht="25.5" customHeight="1" x14ac:dyDescent="0.25">
      <c r="A23" s="982" t="s">
        <v>3612</v>
      </c>
      <c r="B23" s="982"/>
      <c r="C23" s="982"/>
      <c r="D23" s="982"/>
      <c r="E23" s="982"/>
      <c r="F23" s="982"/>
      <c r="G23" s="982"/>
      <c r="H23" s="982"/>
      <c r="I23" s="991"/>
      <c r="J23" s="991"/>
      <c r="K23" s="991"/>
      <c r="L23" s="991"/>
      <c r="M23" s="991"/>
      <c r="N23" s="991"/>
    </row>
    <row r="24" spans="1:14" x14ac:dyDescent="0.25">
      <c r="A24" s="336" t="s">
        <v>2213</v>
      </c>
      <c r="B24" s="667"/>
      <c r="C24" s="667"/>
      <c r="D24" s="667"/>
      <c r="E24" s="667"/>
      <c r="F24" s="667"/>
      <c r="G24" s="667"/>
      <c r="H24" s="667"/>
      <c r="I24" s="667"/>
      <c r="J24" s="667"/>
      <c r="K24" s="667"/>
      <c r="L24" s="667"/>
      <c r="M24" s="667"/>
      <c r="N24" s="667"/>
    </row>
  </sheetData>
  <mergeCells count="4">
    <mergeCell ref="A2:N2"/>
    <mergeCell ref="A4:A5"/>
    <mergeCell ref="B4:N4"/>
    <mergeCell ref="A23:N23"/>
  </mergeCells>
  <pageMargins left="0.7" right="0.7" top="0.75" bottom="0.75" header="0.3" footer="0.3"/>
  <pageSetup paperSize="14" scale="91"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2E355-DCDF-4028-B7C7-BDA3B8C6BD73}">
  <sheetPr codeName="Hoja33"/>
  <dimension ref="A2:U33"/>
  <sheetViews>
    <sheetView zoomScaleNormal="100" workbookViewId="0">
      <selection activeCell="C21" sqref="C21"/>
    </sheetView>
  </sheetViews>
  <sheetFormatPr baseColWidth="10" defaultColWidth="11.44140625" defaultRowHeight="10.199999999999999" x14ac:dyDescent="0.2"/>
  <cols>
    <col min="1" max="1" width="19" style="2" customWidth="1"/>
    <col min="2" max="2" width="11.44140625" style="2" customWidth="1"/>
    <col min="3" max="3" width="16" style="2" customWidth="1"/>
    <col min="4" max="4" width="10" style="2" customWidth="1"/>
    <col min="5" max="5" width="14.5546875" style="2" customWidth="1"/>
    <col min="6" max="6" width="9.88671875" style="2" customWidth="1"/>
    <col min="7" max="7" width="14.109375" style="2" bestFit="1" customWidth="1"/>
    <col min="8" max="8" width="10.33203125" style="2" bestFit="1" customWidth="1"/>
    <col min="9" max="9" width="14.6640625" style="2" bestFit="1" customWidth="1"/>
    <col min="10" max="10" width="9.109375" style="2" customWidth="1"/>
    <col min="11" max="11" width="14.109375" style="2" bestFit="1" customWidth="1"/>
    <col min="12" max="12" width="10.5546875" style="2" customWidth="1"/>
    <col min="13" max="13" width="14.6640625" style="2" customWidth="1"/>
    <col min="14" max="14" width="10" style="2" customWidth="1"/>
    <col min="15" max="15" width="15.88671875" style="2" customWidth="1"/>
    <col min="16" max="16" width="10.6640625" style="2" customWidth="1"/>
    <col min="17" max="17" width="14.88671875" style="2" customWidth="1"/>
    <col min="18" max="18" width="10.33203125" style="2" customWidth="1"/>
    <col min="19" max="19" width="15.6640625" style="2" customWidth="1"/>
    <col min="20" max="20" width="10" style="2" customWidth="1"/>
    <col min="21" max="21" width="14.5546875" style="2" customWidth="1"/>
    <col min="22" max="16384" width="11.44140625" style="2"/>
  </cols>
  <sheetData>
    <row r="2" spans="1:21" ht="13.5" customHeight="1" x14ac:dyDescent="0.2">
      <c r="A2" s="24" t="s">
        <v>530</v>
      </c>
      <c r="B2" s="310"/>
      <c r="C2" s="310"/>
      <c r="D2" s="310"/>
      <c r="E2" s="310"/>
      <c r="F2" s="310"/>
      <c r="G2" s="310"/>
      <c r="H2" s="310"/>
      <c r="I2" s="310"/>
      <c r="J2" s="310"/>
      <c r="K2" s="310"/>
      <c r="L2" s="310"/>
      <c r="M2" s="310"/>
      <c r="N2" s="310"/>
      <c r="O2" s="310"/>
      <c r="P2" s="310"/>
      <c r="Q2" s="310"/>
      <c r="R2" s="310"/>
      <c r="S2" s="310"/>
      <c r="T2" s="310"/>
      <c r="U2" s="310"/>
    </row>
    <row r="4" spans="1:21" ht="35.25" customHeight="1" x14ac:dyDescent="0.2">
      <c r="A4" s="240" t="s">
        <v>584</v>
      </c>
      <c r="B4" s="241" t="s">
        <v>42</v>
      </c>
      <c r="C4" s="241"/>
      <c r="D4" s="298" t="s">
        <v>603</v>
      </c>
      <c r="E4" s="298"/>
      <c r="F4" s="298" t="s">
        <v>604</v>
      </c>
      <c r="G4" s="298"/>
      <c r="H4" s="298" t="s">
        <v>605</v>
      </c>
      <c r="I4" s="298"/>
      <c r="J4" s="298" t="s">
        <v>606</v>
      </c>
      <c r="K4" s="298"/>
      <c r="L4" s="298" t="s">
        <v>607</v>
      </c>
      <c r="M4" s="298"/>
      <c r="N4" s="298" t="s">
        <v>608</v>
      </c>
      <c r="O4" s="298"/>
      <c r="P4" s="298" t="s">
        <v>609</v>
      </c>
      <c r="Q4" s="298"/>
      <c r="R4" s="298" t="s">
        <v>610</v>
      </c>
      <c r="S4" s="298"/>
      <c r="T4" s="311" t="s">
        <v>611</v>
      </c>
      <c r="U4" s="311"/>
    </row>
    <row r="5" spans="1:21" ht="20.399999999999999" x14ac:dyDescent="0.2">
      <c r="A5" s="245"/>
      <c r="B5" s="246" t="s">
        <v>558</v>
      </c>
      <c r="C5" s="246" t="s">
        <v>559</v>
      </c>
      <c r="D5" s="246" t="s">
        <v>558</v>
      </c>
      <c r="E5" s="246" t="s">
        <v>559</v>
      </c>
      <c r="F5" s="246" t="s">
        <v>558</v>
      </c>
      <c r="G5" s="246" t="s">
        <v>559</v>
      </c>
      <c r="H5" s="246" t="s">
        <v>558</v>
      </c>
      <c r="I5" s="246" t="s">
        <v>559</v>
      </c>
      <c r="J5" s="246" t="s">
        <v>558</v>
      </c>
      <c r="K5" s="246" t="s">
        <v>559</v>
      </c>
      <c r="L5" s="246" t="s">
        <v>558</v>
      </c>
      <c r="M5" s="246" t="s">
        <v>559</v>
      </c>
      <c r="N5" s="246" t="s">
        <v>558</v>
      </c>
      <c r="O5" s="246" t="s">
        <v>559</v>
      </c>
      <c r="P5" s="246" t="s">
        <v>558</v>
      </c>
      <c r="Q5" s="246" t="s">
        <v>559</v>
      </c>
      <c r="R5" s="246" t="s">
        <v>558</v>
      </c>
      <c r="S5" s="246" t="s">
        <v>559</v>
      </c>
      <c r="T5" s="246" t="s">
        <v>558</v>
      </c>
      <c r="U5" s="246" t="s">
        <v>559</v>
      </c>
    </row>
    <row r="6" spans="1:21" x14ac:dyDescent="0.2">
      <c r="A6" s="24" t="s">
        <v>3</v>
      </c>
      <c r="B6" s="300">
        <f t="shared" ref="B6:C22" si="0">SUM(D6+F6+H6+J6+L6+P6+N6+R6+T6)</f>
        <v>178</v>
      </c>
      <c r="C6" s="300">
        <f t="shared" si="0"/>
        <v>4028594010</v>
      </c>
      <c r="D6" s="300">
        <f t="shared" ref="D6:U6" si="1">SUM(D7:D22)</f>
        <v>14</v>
      </c>
      <c r="E6" s="300">
        <f t="shared" si="1"/>
        <v>309883264</v>
      </c>
      <c r="F6" s="300">
        <f t="shared" si="1"/>
        <v>22</v>
      </c>
      <c r="G6" s="300">
        <f t="shared" si="1"/>
        <v>115785141</v>
      </c>
      <c r="H6" s="300">
        <f t="shared" si="1"/>
        <v>8</v>
      </c>
      <c r="I6" s="300">
        <f t="shared" si="1"/>
        <v>105416067</v>
      </c>
      <c r="J6" s="300">
        <f t="shared" si="1"/>
        <v>2</v>
      </c>
      <c r="K6" s="300">
        <f t="shared" si="1"/>
        <v>276114865</v>
      </c>
      <c r="L6" s="300">
        <f t="shared" si="1"/>
        <v>27</v>
      </c>
      <c r="M6" s="300">
        <f t="shared" si="1"/>
        <v>757819826</v>
      </c>
      <c r="N6" s="300">
        <f t="shared" si="1"/>
        <v>18</v>
      </c>
      <c r="O6" s="300">
        <f t="shared" si="1"/>
        <v>1750375443</v>
      </c>
      <c r="P6" s="300">
        <f t="shared" si="1"/>
        <v>8</v>
      </c>
      <c r="Q6" s="300">
        <f t="shared" si="1"/>
        <v>100000000</v>
      </c>
      <c r="R6" s="312">
        <f t="shared" si="1"/>
        <v>69</v>
      </c>
      <c r="S6" s="313">
        <f t="shared" si="1"/>
        <v>463825060</v>
      </c>
      <c r="T6" s="312">
        <f t="shared" si="1"/>
        <v>10</v>
      </c>
      <c r="U6" s="313">
        <f t="shared" si="1"/>
        <v>149374344</v>
      </c>
    </row>
    <row r="7" spans="1:21" x14ac:dyDescent="0.2">
      <c r="A7" s="301" t="s">
        <v>4</v>
      </c>
      <c r="B7" s="300">
        <f t="shared" si="0"/>
        <v>3</v>
      </c>
      <c r="C7" s="300">
        <f t="shared" si="0"/>
        <v>33565642</v>
      </c>
      <c r="D7" s="314">
        <v>0</v>
      </c>
      <c r="E7" s="314">
        <v>0</v>
      </c>
      <c r="F7" s="314">
        <v>0</v>
      </c>
      <c r="G7" s="314">
        <v>0</v>
      </c>
      <c r="H7" s="314">
        <v>0</v>
      </c>
      <c r="I7" s="314">
        <v>0</v>
      </c>
      <c r="J7" s="315">
        <v>0</v>
      </c>
      <c r="K7" s="315">
        <v>0</v>
      </c>
      <c r="L7" s="315">
        <v>1</v>
      </c>
      <c r="M7" s="315">
        <v>25689992</v>
      </c>
      <c r="N7" s="315">
        <v>0</v>
      </c>
      <c r="O7" s="315">
        <v>0</v>
      </c>
      <c r="P7" s="315">
        <v>0</v>
      </c>
      <c r="Q7" s="315">
        <v>0</v>
      </c>
      <c r="R7" s="316">
        <v>2</v>
      </c>
      <c r="S7" s="317">
        <v>7875650</v>
      </c>
      <c r="T7" s="316">
        <v>0</v>
      </c>
      <c r="U7" s="317">
        <v>0</v>
      </c>
    </row>
    <row r="8" spans="1:21" x14ac:dyDescent="0.2">
      <c r="A8" s="301" t="s">
        <v>5</v>
      </c>
      <c r="B8" s="300">
        <f t="shared" si="0"/>
        <v>1</v>
      </c>
      <c r="C8" s="300">
        <f t="shared" si="0"/>
        <v>4314820</v>
      </c>
      <c r="D8" s="314">
        <v>0</v>
      </c>
      <c r="E8" s="314">
        <v>0</v>
      </c>
      <c r="F8" s="314">
        <v>0</v>
      </c>
      <c r="G8" s="314">
        <v>0</v>
      </c>
      <c r="H8" s="314">
        <v>0</v>
      </c>
      <c r="I8" s="314">
        <v>0</v>
      </c>
      <c r="J8" s="315">
        <v>0</v>
      </c>
      <c r="K8" s="315">
        <v>0</v>
      </c>
      <c r="L8" s="315">
        <v>0</v>
      </c>
      <c r="M8" s="315">
        <v>0</v>
      </c>
      <c r="N8" s="315">
        <v>0</v>
      </c>
      <c r="O8" s="315">
        <v>0</v>
      </c>
      <c r="P8" s="315">
        <v>0</v>
      </c>
      <c r="Q8" s="315">
        <v>0</v>
      </c>
      <c r="R8" s="316">
        <v>0</v>
      </c>
      <c r="S8" s="317">
        <v>0</v>
      </c>
      <c r="T8" s="316">
        <v>1</v>
      </c>
      <c r="U8" s="317">
        <v>4314820</v>
      </c>
    </row>
    <row r="9" spans="1:21" x14ac:dyDescent="0.2">
      <c r="A9" s="301" t="s">
        <v>6</v>
      </c>
      <c r="B9" s="300">
        <f t="shared" si="0"/>
        <v>2</v>
      </c>
      <c r="C9" s="300">
        <f t="shared" si="0"/>
        <v>28380435</v>
      </c>
      <c r="D9" s="314">
        <v>0</v>
      </c>
      <c r="E9" s="314">
        <v>0</v>
      </c>
      <c r="F9" s="314">
        <v>0</v>
      </c>
      <c r="G9" s="314">
        <v>0</v>
      </c>
      <c r="H9" s="314">
        <v>0</v>
      </c>
      <c r="I9" s="314">
        <v>0</v>
      </c>
      <c r="J9" s="315">
        <v>0</v>
      </c>
      <c r="K9" s="315">
        <v>0</v>
      </c>
      <c r="L9" s="315">
        <v>1</v>
      </c>
      <c r="M9" s="315">
        <v>26524075</v>
      </c>
      <c r="N9" s="315">
        <v>0</v>
      </c>
      <c r="O9" s="315">
        <v>0</v>
      </c>
      <c r="P9" s="315">
        <v>0</v>
      </c>
      <c r="Q9" s="315">
        <v>0</v>
      </c>
      <c r="R9" s="316">
        <v>1</v>
      </c>
      <c r="S9" s="317">
        <v>1856360</v>
      </c>
      <c r="T9" s="316">
        <v>0</v>
      </c>
      <c r="U9" s="317">
        <v>0</v>
      </c>
    </row>
    <row r="10" spans="1:21" x14ac:dyDescent="0.2">
      <c r="A10" s="301" t="s">
        <v>7</v>
      </c>
      <c r="B10" s="300">
        <f t="shared" si="0"/>
        <v>3</v>
      </c>
      <c r="C10" s="300">
        <f t="shared" si="0"/>
        <v>58257025</v>
      </c>
      <c r="D10" s="314">
        <v>1</v>
      </c>
      <c r="E10" s="314">
        <v>23504705</v>
      </c>
      <c r="F10" s="314">
        <v>0</v>
      </c>
      <c r="G10" s="314">
        <v>0</v>
      </c>
      <c r="H10" s="314">
        <v>0</v>
      </c>
      <c r="I10" s="314">
        <v>0</v>
      </c>
      <c r="J10" s="315">
        <v>0</v>
      </c>
      <c r="K10" s="315">
        <v>0</v>
      </c>
      <c r="L10" s="315">
        <v>0</v>
      </c>
      <c r="M10" s="315">
        <v>0</v>
      </c>
      <c r="N10" s="315">
        <v>0</v>
      </c>
      <c r="O10" s="315">
        <v>0</v>
      </c>
      <c r="P10" s="315">
        <v>0</v>
      </c>
      <c r="Q10" s="315">
        <v>0</v>
      </c>
      <c r="R10" s="316">
        <v>1</v>
      </c>
      <c r="S10" s="317">
        <v>14939160</v>
      </c>
      <c r="T10" s="316">
        <v>1</v>
      </c>
      <c r="U10" s="317">
        <v>19813160</v>
      </c>
    </row>
    <row r="11" spans="1:21" x14ac:dyDescent="0.2">
      <c r="A11" s="301" t="s">
        <v>8</v>
      </c>
      <c r="B11" s="300">
        <f t="shared" si="0"/>
        <v>2</v>
      </c>
      <c r="C11" s="300">
        <f t="shared" si="0"/>
        <v>7760000</v>
      </c>
      <c r="D11" s="314">
        <v>0</v>
      </c>
      <c r="E11" s="314">
        <v>0</v>
      </c>
      <c r="F11" s="314">
        <v>0</v>
      </c>
      <c r="G11" s="314">
        <v>0</v>
      </c>
      <c r="H11" s="314">
        <v>0</v>
      </c>
      <c r="I11" s="314">
        <v>0</v>
      </c>
      <c r="J11" s="315">
        <v>0</v>
      </c>
      <c r="K11" s="315">
        <v>0</v>
      </c>
      <c r="L11" s="315">
        <v>0</v>
      </c>
      <c r="M11" s="315">
        <v>0</v>
      </c>
      <c r="N11" s="315">
        <v>0</v>
      </c>
      <c r="O11" s="315">
        <v>0</v>
      </c>
      <c r="P11" s="315">
        <v>0</v>
      </c>
      <c r="Q11" s="315">
        <v>0</v>
      </c>
      <c r="R11" s="316">
        <v>2</v>
      </c>
      <c r="S11" s="317">
        <v>7760000</v>
      </c>
      <c r="T11" s="316">
        <v>0</v>
      </c>
      <c r="U11" s="317">
        <v>0</v>
      </c>
    </row>
    <row r="12" spans="1:21" x14ac:dyDescent="0.2">
      <c r="A12" s="301" t="s">
        <v>9</v>
      </c>
      <c r="B12" s="300">
        <f t="shared" si="0"/>
        <v>20</v>
      </c>
      <c r="C12" s="300">
        <f t="shared" si="0"/>
        <v>342957931</v>
      </c>
      <c r="D12" s="314">
        <v>0</v>
      </c>
      <c r="E12" s="314">
        <v>0</v>
      </c>
      <c r="F12" s="314">
        <v>2</v>
      </c>
      <c r="G12" s="314">
        <v>6612020</v>
      </c>
      <c r="H12" s="314">
        <v>0</v>
      </c>
      <c r="I12" s="314">
        <v>0</v>
      </c>
      <c r="J12" s="315">
        <v>0</v>
      </c>
      <c r="K12" s="315">
        <v>0</v>
      </c>
      <c r="L12" s="315">
        <v>6</v>
      </c>
      <c r="M12" s="315">
        <v>216599738</v>
      </c>
      <c r="N12" s="315">
        <v>0</v>
      </c>
      <c r="O12" s="315">
        <v>0</v>
      </c>
      <c r="P12" s="315">
        <v>0</v>
      </c>
      <c r="Q12" s="315">
        <v>0</v>
      </c>
      <c r="R12" s="316">
        <v>10</v>
      </c>
      <c r="S12" s="317">
        <v>83300707</v>
      </c>
      <c r="T12" s="316">
        <v>2</v>
      </c>
      <c r="U12" s="317">
        <v>36445466</v>
      </c>
    </row>
    <row r="13" spans="1:21" x14ac:dyDescent="0.2">
      <c r="A13" s="301" t="s">
        <v>10</v>
      </c>
      <c r="B13" s="300">
        <f t="shared" si="0"/>
        <v>112</v>
      </c>
      <c r="C13" s="300">
        <f t="shared" si="0"/>
        <v>2896182938</v>
      </c>
      <c r="D13" s="314">
        <v>12</v>
      </c>
      <c r="E13" s="314">
        <v>258174118</v>
      </c>
      <c r="F13" s="314">
        <v>20</v>
      </c>
      <c r="G13" s="314">
        <v>109173121</v>
      </c>
      <c r="H13" s="314">
        <v>7</v>
      </c>
      <c r="I13" s="314">
        <v>80416067</v>
      </c>
      <c r="J13" s="315">
        <v>2</v>
      </c>
      <c r="K13" s="315">
        <v>276114865</v>
      </c>
      <c r="L13" s="315">
        <v>11</v>
      </c>
      <c r="M13" s="315">
        <v>298140665</v>
      </c>
      <c r="N13" s="315">
        <v>15</v>
      </c>
      <c r="O13" s="315">
        <v>1528756472</v>
      </c>
      <c r="P13" s="315">
        <v>7</v>
      </c>
      <c r="Q13" s="315">
        <v>86073000</v>
      </c>
      <c r="R13" s="316">
        <v>37</v>
      </c>
      <c r="S13" s="317">
        <v>239334630</v>
      </c>
      <c r="T13" s="316">
        <v>1</v>
      </c>
      <c r="U13" s="317">
        <v>20000000</v>
      </c>
    </row>
    <row r="14" spans="1:21" x14ac:dyDescent="0.2">
      <c r="A14" s="301" t="s">
        <v>134</v>
      </c>
      <c r="B14" s="300">
        <f t="shared" si="0"/>
        <v>2</v>
      </c>
      <c r="C14" s="300">
        <f t="shared" si="0"/>
        <v>18856034</v>
      </c>
      <c r="D14" s="314">
        <v>0</v>
      </c>
      <c r="E14" s="314">
        <v>0</v>
      </c>
      <c r="F14" s="314">
        <v>0</v>
      </c>
      <c r="G14" s="314">
        <v>0</v>
      </c>
      <c r="H14" s="314">
        <v>0</v>
      </c>
      <c r="I14" s="314">
        <v>0</v>
      </c>
      <c r="J14" s="315">
        <v>0</v>
      </c>
      <c r="K14" s="315">
        <v>0</v>
      </c>
      <c r="L14" s="315">
        <v>0</v>
      </c>
      <c r="M14" s="315">
        <v>0</v>
      </c>
      <c r="N14" s="315">
        <v>0</v>
      </c>
      <c r="O14" s="315">
        <v>0</v>
      </c>
      <c r="P14" s="315">
        <v>0</v>
      </c>
      <c r="Q14" s="315">
        <v>0</v>
      </c>
      <c r="R14" s="316">
        <v>0</v>
      </c>
      <c r="S14" s="317">
        <v>0</v>
      </c>
      <c r="T14" s="316">
        <v>2</v>
      </c>
      <c r="U14" s="317">
        <v>18856034</v>
      </c>
    </row>
    <row r="15" spans="1:21" x14ac:dyDescent="0.2">
      <c r="A15" s="301" t="s">
        <v>12</v>
      </c>
      <c r="B15" s="300">
        <f t="shared" si="0"/>
        <v>1</v>
      </c>
      <c r="C15" s="300">
        <f t="shared" si="0"/>
        <v>11548000</v>
      </c>
      <c r="D15" s="314">
        <v>0</v>
      </c>
      <c r="E15" s="314">
        <v>0</v>
      </c>
      <c r="F15" s="314">
        <v>0</v>
      </c>
      <c r="G15" s="314">
        <v>0</v>
      </c>
      <c r="H15" s="314">
        <v>0</v>
      </c>
      <c r="I15" s="314">
        <v>0</v>
      </c>
      <c r="J15" s="315">
        <v>0</v>
      </c>
      <c r="K15" s="315">
        <v>0</v>
      </c>
      <c r="L15" s="315">
        <v>0</v>
      </c>
      <c r="M15" s="315">
        <v>0</v>
      </c>
      <c r="N15" s="315">
        <v>0</v>
      </c>
      <c r="O15" s="315">
        <v>0</v>
      </c>
      <c r="P15" s="315">
        <v>0</v>
      </c>
      <c r="Q15" s="315">
        <v>0</v>
      </c>
      <c r="R15" s="316">
        <v>0</v>
      </c>
      <c r="S15" s="317">
        <v>0</v>
      </c>
      <c r="T15" s="316">
        <v>1</v>
      </c>
      <c r="U15" s="317">
        <v>11548000</v>
      </c>
    </row>
    <row r="16" spans="1:21" x14ac:dyDescent="0.2">
      <c r="A16" s="301" t="s">
        <v>13</v>
      </c>
      <c r="B16" s="300">
        <f t="shared" si="0"/>
        <v>6</v>
      </c>
      <c r="C16" s="300">
        <f t="shared" si="0"/>
        <v>143384359</v>
      </c>
      <c r="D16" s="314">
        <v>1</v>
      </c>
      <c r="E16" s="314">
        <v>28204441</v>
      </c>
      <c r="F16" s="314">
        <v>0</v>
      </c>
      <c r="G16" s="314">
        <v>0</v>
      </c>
      <c r="H16" s="314">
        <v>0</v>
      </c>
      <c r="I16" s="314">
        <v>0</v>
      </c>
      <c r="J16" s="315">
        <v>0</v>
      </c>
      <c r="K16" s="315">
        <v>0</v>
      </c>
      <c r="L16" s="315">
        <v>3</v>
      </c>
      <c r="M16" s="315">
        <v>100992520</v>
      </c>
      <c r="N16" s="315">
        <v>0</v>
      </c>
      <c r="O16" s="315">
        <v>0</v>
      </c>
      <c r="P16" s="315">
        <v>0</v>
      </c>
      <c r="Q16" s="315">
        <v>0</v>
      </c>
      <c r="R16" s="316">
        <v>2</v>
      </c>
      <c r="S16" s="317">
        <v>14187398</v>
      </c>
      <c r="T16" s="316">
        <v>0</v>
      </c>
      <c r="U16" s="317">
        <v>0</v>
      </c>
    </row>
    <row r="17" spans="1:21" x14ac:dyDescent="0.2">
      <c r="A17" s="301" t="s">
        <v>47</v>
      </c>
      <c r="B17" s="300">
        <f t="shared" si="0"/>
        <v>4</v>
      </c>
      <c r="C17" s="300">
        <f t="shared" si="0"/>
        <v>34870511</v>
      </c>
      <c r="D17" s="314">
        <v>0</v>
      </c>
      <c r="E17" s="314">
        <v>0</v>
      </c>
      <c r="F17" s="314">
        <v>0</v>
      </c>
      <c r="G17" s="314">
        <v>0</v>
      </c>
      <c r="H17" s="314">
        <v>0</v>
      </c>
      <c r="I17" s="314">
        <v>0</v>
      </c>
      <c r="J17" s="315">
        <v>0</v>
      </c>
      <c r="K17" s="315">
        <v>0</v>
      </c>
      <c r="L17" s="315">
        <v>0</v>
      </c>
      <c r="M17" s="315">
        <v>0</v>
      </c>
      <c r="N17" s="315">
        <v>0</v>
      </c>
      <c r="O17" s="315">
        <v>0</v>
      </c>
      <c r="P17" s="315">
        <v>1</v>
      </c>
      <c r="Q17" s="315">
        <v>13927000</v>
      </c>
      <c r="R17" s="316">
        <v>3</v>
      </c>
      <c r="S17" s="317">
        <v>20943511</v>
      </c>
      <c r="T17" s="316">
        <v>0</v>
      </c>
      <c r="U17" s="317">
        <v>0</v>
      </c>
    </row>
    <row r="18" spans="1:21" x14ac:dyDescent="0.2">
      <c r="A18" s="301" t="s">
        <v>135</v>
      </c>
      <c r="B18" s="300">
        <f t="shared" si="0"/>
        <v>9</v>
      </c>
      <c r="C18" s="300">
        <f t="shared" si="0"/>
        <v>314957368</v>
      </c>
      <c r="D18" s="314">
        <v>0</v>
      </c>
      <c r="E18" s="314">
        <v>0</v>
      </c>
      <c r="F18" s="314">
        <v>0</v>
      </c>
      <c r="G18" s="314">
        <v>0</v>
      </c>
      <c r="H18" s="314">
        <v>1</v>
      </c>
      <c r="I18" s="314">
        <v>25000000</v>
      </c>
      <c r="J18" s="315">
        <v>0</v>
      </c>
      <c r="K18" s="315">
        <v>0</v>
      </c>
      <c r="L18" s="315">
        <v>2</v>
      </c>
      <c r="M18" s="315">
        <v>42708523</v>
      </c>
      <c r="N18" s="315">
        <v>3</v>
      </c>
      <c r="O18" s="315">
        <v>221618971</v>
      </c>
      <c r="P18" s="315">
        <v>0</v>
      </c>
      <c r="Q18" s="315">
        <v>0</v>
      </c>
      <c r="R18" s="316">
        <v>2</v>
      </c>
      <c r="S18" s="317">
        <v>5683010</v>
      </c>
      <c r="T18" s="316">
        <v>1</v>
      </c>
      <c r="U18" s="317">
        <v>19946864</v>
      </c>
    </row>
    <row r="19" spans="1:21" x14ac:dyDescent="0.2">
      <c r="A19" s="301" t="s">
        <v>136</v>
      </c>
      <c r="B19" s="300">
        <f t="shared" si="0"/>
        <v>7</v>
      </c>
      <c r="C19" s="300">
        <f t="shared" si="0"/>
        <v>93637946</v>
      </c>
      <c r="D19" s="314">
        <v>0</v>
      </c>
      <c r="E19" s="314">
        <v>0</v>
      </c>
      <c r="F19" s="314">
        <v>0</v>
      </c>
      <c r="G19" s="314">
        <v>0</v>
      </c>
      <c r="H19" s="314">
        <v>0</v>
      </c>
      <c r="I19" s="314">
        <v>0</v>
      </c>
      <c r="J19" s="315">
        <v>0</v>
      </c>
      <c r="K19" s="315">
        <v>0</v>
      </c>
      <c r="L19" s="315">
        <v>2</v>
      </c>
      <c r="M19" s="315">
        <v>39651652</v>
      </c>
      <c r="N19" s="315">
        <v>0</v>
      </c>
      <c r="O19" s="315">
        <v>0</v>
      </c>
      <c r="P19" s="315">
        <v>0</v>
      </c>
      <c r="Q19" s="315">
        <v>0</v>
      </c>
      <c r="R19" s="316">
        <v>4</v>
      </c>
      <c r="S19" s="317">
        <v>35536294</v>
      </c>
      <c r="T19" s="316">
        <v>1</v>
      </c>
      <c r="U19" s="317">
        <v>18450000</v>
      </c>
    </row>
    <row r="20" spans="1:21" x14ac:dyDescent="0.2">
      <c r="A20" s="301" t="s">
        <v>17</v>
      </c>
      <c r="B20" s="300">
        <f t="shared" si="0"/>
        <v>0</v>
      </c>
      <c r="C20" s="300">
        <f t="shared" si="0"/>
        <v>0</v>
      </c>
      <c r="D20" s="314">
        <v>0</v>
      </c>
      <c r="E20" s="314">
        <v>0</v>
      </c>
      <c r="F20" s="314">
        <v>0</v>
      </c>
      <c r="G20" s="314">
        <v>0</v>
      </c>
      <c r="H20" s="314">
        <v>0</v>
      </c>
      <c r="I20" s="314">
        <v>0</v>
      </c>
      <c r="J20" s="315">
        <v>0</v>
      </c>
      <c r="K20" s="315">
        <v>0</v>
      </c>
      <c r="L20" s="315">
        <v>0</v>
      </c>
      <c r="M20" s="315">
        <v>0</v>
      </c>
      <c r="N20" s="315">
        <v>0</v>
      </c>
      <c r="O20" s="315">
        <v>0</v>
      </c>
      <c r="P20" s="315">
        <v>0</v>
      </c>
      <c r="Q20" s="315">
        <v>0</v>
      </c>
      <c r="R20" s="316">
        <v>0</v>
      </c>
      <c r="S20" s="317">
        <v>0</v>
      </c>
      <c r="T20" s="316">
        <v>0</v>
      </c>
      <c r="U20" s="317">
        <v>0</v>
      </c>
    </row>
    <row r="21" spans="1:21" x14ac:dyDescent="0.2">
      <c r="A21" s="301" t="s">
        <v>18</v>
      </c>
      <c r="B21" s="300">
        <f t="shared" si="0"/>
        <v>3</v>
      </c>
      <c r="C21" s="300">
        <f t="shared" si="0"/>
        <v>12492761</v>
      </c>
      <c r="D21" s="314">
        <v>0</v>
      </c>
      <c r="E21" s="314">
        <v>0</v>
      </c>
      <c r="F21" s="314">
        <v>0</v>
      </c>
      <c r="G21" s="314">
        <v>0</v>
      </c>
      <c r="H21" s="314">
        <v>0</v>
      </c>
      <c r="I21" s="314">
        <v>0</v>
      </c>
      <c r="J21" s="315">
        <v>0</v>
      </c>
      <c r="K21" s="315">
        <v>0</v>
      </c>
      <c r="L21" s="315">
        <v>1</v>
      </c>
      <c r="M21" s="315">
        <v>7512661</v>
      </c>
      <c r="N21" s="315">
        <v>0</v>
      </c>
      <c r="O21" s="315">
        <v>0</v>
      </c>
      <c r="P21" s="315">
        <v>0</v>
      </c>
      <c r="Q21" s="315">
        <v>0</v>
      </c>
      <c r="R21" s="316">
        <v>2</v>
      </c>
      <c r="S21" s="317">
        <v>4980100</v>
      </c>
      <c r="T21" s="316">
        <v>0</v>
      </c>
      <c r="U21" s="317">
        <v>0</v>
      </c>
    </row>
    <row r="22" spans="1:21" ht="12" x14ac:dyDescent="0.2">
      <c r="A22" s="252" t="s">
        <v>561</v>
      </c>
      <c r="B22" s="300">
        <f t="shared" si="0"/>
        <v>3</v>
      </c>
      <c r="C22" s="300">
        <f t="shared" si="0"/>
        <v>27428240</v>
      </c>
      <c r="D22" s="314">
        <v>0</v>
      </c>
      <c r="E22" s="314">
        <v>0</v>
      </c>
      <c r="F22" s="314">
        <v>0</v>
      </c>
      <c r="G22" s="314">
        <v>0</v>
      </c>
      <c r="H22" s="314">
        <v>0</v>
      </c>
      <c r="I22" s="314">
        <v>0</v>
      </c>
      <c r="J22" s="315">
        <v>0</v>
      </c>
      <c r="K22" s="315">
        <v>0</v>
      </c>
      <c r="L22" s="315">
        <v>0</v>
      </c>
      <c r="M22" s="315">
        <v>0</v>
      </c>
      <c r="N22" s="315">
        <v>0</v>
      </c>
      <c r="O22" s="315">
        <v>0</v>
      </c>
      <c r="P22" s="315">
        <v>0</v>
      </c>
      <c r="Q22" s="315">
        <v>0</v>
      </c>
      <c r="R22" s="318">
        <v>3</v>
      </c>
      <c r="S22" s="319">
        <v>27428240</v>
      </c>
      <c r="T22" s="318">
        <v>0</v>
      </c>
      <c r="U22" s="319">
        <v>0</v>
      </c>
    </row>
    <row r="24" spans="1:21" x14ac:dyDescent="0.2">
      <c r="A24" s="2" t="s">
        <v>593</v>
      </c>
    </row>
    <row r="25" spans="1:21" x14ac:dyDescent="0.2">
      <c r="A25" s="288" t="s">
        <v>612</v>
      </c>
      <c r="B25" s="235"/>
      <c r="C25" s="235"/>
      <c r="D25" s="235"/>
      <c r="E25" s="235"/>
      <c r="F25" s="235"/>
      <c r="G25" s="235"/>
      <c r="H25" s="235"/>
      <c r="I25" s="235"/>
      <c r="J25" s="235"/>
      <c r="K25" s="235"/>
      <c r="L25" s="235"/>
      <c r="M25" s="235"/>
      <c r="N25" s="235"/>
      <c r="O25" s="235"/>
      <c r="P25" s="235"/>
      <c r="Q25" s="235"/>
      <c r="R25" s="235"/>
      <c r="S25" s="235"/>
    </row>
    <row r="26" spans="1:21" x14ac:dyDescent="0.2">
      <c r="A26" s="320" t="s">
        <v>613</v>
      </c>
      <c r="B26" s="235"/>
      <c r="C26" s="284"/>
      <c r="D26" s="235"/>
      <c r="E26" s="235"/>
      <c r="F26" s="235"/>
      <c r="G26" s="235"/>
      <c r="H26" s="235"/>
      <c r="I26" s="235"/>
      <c r="J26" s="235"/>
      <c r="K26" s="235"/>
      <c r="L26" s="235"/>
      <c r="M26" s="235"/>
      <c r="N26" s="235"/>
      <c r="O26" s="235"/>
      <c r="P26" s="235"/>
      <c r="Q26" s="235"/>
      <c r="R26" s="235"/>
      <c r="S26" s="235"/>
    </row>
    <row r="27" spans="1:21" x14ac:dyDescent="0.2">
      <c r="A27" s="235" t="s">
        <v>614</v>
      </c>
      <c r="B27" s="235"/>
      <c r="C27" s="288"/>
      <c r="D27" s="235"/>
      <c r="E27" s="235"/>
      <c r="F27" s="235"/>
      <c r="G27" s="235"/>
      <c r="H27" s="235"/>
      <c r="I27" s="235"/>
      <c r="J27" s="235"/>
      <c r="K27" s="235"/>
      <c r="L27" s="235"/>
      <c r="M27" s="235"/>
      <c r="N27" s="235"/>
      <c r="O27" s="235"/>
      <c r="P27" s="235"/>
      <c r="Q27" s="235"/>
      <c r="R27" s="235"/>
      <c r="S27" s="235"/>
    </row>
    <row r="28" spans="1:21" x14ac:dyDescent="0.2">
      <c r="A28" s="288" t="s">
        <v>615</v>
      </c>
      <c r="B28" s="235"/>
      <c r="C28" s="288"/>
      <c r="D28" s="235"/>
      <c r="E28" s="235"/>
      <c r="F28" s="235"/>
      <c r="G28" s="235"/>
      <c r="H28" s="235"/>
      <c r="I28" s="235"/>
      <c r="J28" s="235"/>
      <c r="K28" s="235"/>
      <c r="L28" s="235"/>
      <c r="M28" s="235"/>
      <c r="N28" s="235"/>
      <c r="O28" s="235"/>
      <c r="P28" s="235"/>
      <c r="Q28" s="235"/>
      <c r="R28" s="235"/>
      <c r="S28" s="235"/>
    </row>
    <row r="29" spans="1:21" x14ac:dyDescent="0.2">
      <c r="A29" s="288" t="s">
        <v>616</v>
      </c>
      <c r="B29" s="235"/>
      <c r="C29" s="288"/>
      <c r="D29" s="235"/>
      <c r="E29" s="235"/>
      <c r="F29" s="235"/>
      <c r="G29" s="235"/>
      <c r="H29" s="235"/>
      <c r="I29" s="235"/>
      <c r="J29" s="235"/>
      <c r="K29" s="235"/>
      <c r="L29" s="235"/>
      <c r="M29" s="235"/>
      <c r="N29" s="235"/>
      <c r="O29" s="235"/>
      <c r="P29" s="235"/>
      <c r="Q29" s="235"/>
      <c r="R29" s="235"/>
      <c r="S29" s="235"/>
    </row>
    <row r="30" spans="1:21" x14ac:dyDescent="0.2">
      <c r="A30" s="288" t="s">
        <v>617</v>
      </c>
      <c r="B30" s="235"/>
      <c r="C30" s="288"/>
      <c r="D30" s="235"/>
      <c r="E30" s="235"/>
      <c r="F30" s="235"/>
      <c r="G30" s="235"/>
      <c r="H30" s="235"/>
      <c r="I30" s="235"/>
      <c r="J30" s="235"/>
      <c r="K30" s="235"/>
      <c r="L30" s="235"/>
      <c r="M30" s="235"/>
      <c r="N30" s="235"/>
      <c r="O30" s="235"/>
      <c r="P30" s="235"/>
      <c r="Q30" s="235"/>
      <c r="R30" s="235"/>
      <c r="S30" s="235"/>
    </row>
    <row r="31" spans="1:21" x14ac:dyDescent="0.2">
      <c r="A31" s="296" t="s">
        <v>19</v>
      </c>
      <c r="B31" s="296"/>
      <c r="C31" s="288"/>
      <c r="D31" s="235"/>
      <c r="E31" s="235"/>
      <c r="F31" s="235"/>
      <c r="G31" s="235"/>
      <c r="H31" s="235"/>
      <c r="I31" s="235"/>
      <c r="J31" s="235"/>
      <c r="K31" s="235"/>
      <c r="L31" s="235"/>
      <c r="M31" s="235"/>
      <c r="N31" s="235"/>
      <c r="O31" s="235"/>
      <c r="P31" s="235"/>
      <c r="Q31" s="235"/>
      <c r="R31" s="235"/>
      <c r="S31" s="235"/>
    </row>
    <row r="32" spans="1:21" x14ac:dyDescent="0.2">
      <c r="A32" s="235" t="s">
        <v>546</v>
      </c>
      <c r="B32" s="235"/>
      <c r="C32" s="288"/>
      <c r="D32" s="235"/>
      <c r="E32" s="235"/>
      <c r="F32" s="235"/>
      <c r="G32" s="235"/>
      <c r="H32" s="235"/>
      <c r="I32" s="235"/>
      <c r="J32" s="235"/>
      <c r="K32" s="235"/>
      <c r="L32" s="235"/>
      <c r="M32" s="235"/>
      <c r="N32" s="235"/>
      <c r="O32" s="235"/>
      <c r="P32" s="235"/>
      <c r="Q32" s="235"/>
      <c r="R32" s="235"/>
      <c r="S32" s="235"/>
    </row>
    <row r="33" spans="1:19" x14ac:dyDescent="0.2">
      <c r="A33" s="288"/>
      <c r="B33" s="235"/>
      <c r="C33" s="288"/>
      <c r="D33" s="235"/>
      <c r="E33" s="235"/>
      <c r="F33" s="235"/>
      <c r="G33" s="235"/>
      <c r="H33" s="235"/>
      <c r="I33" s="235"/>
      <c r="J33" s="235"/>
      <c r="K33" s="235"/>
      <c r="L33" s="235"/>
      <c r="M33" s="235"/>
      <c r="N33" s="235"/>
      <c r="O33" s="235"/>
      <c r="P33" s="235"/>
      <c r="Q33" s="235"/>
      <c r="R33" s="235"/>
      <c r="S33" s="235"/>
    </row>
  </sheetData>
  <mergeCells count="12">
    <mergeCell ref="L4:M4"/>
    <mergeCell ref="N4:O4"/>
    <mergeCell ref="P4:Q4"/>
    <mergeCell ref="R4:S4"/>
    <mergeCell ref="T4:U4"/>
    <mergeCell ref="A31:B31"/>
    <mergeCell ref="A4:A5"/>
    <mergeCell ref="B4:C4"/>
    <mergeCell ref="D4:E4"/>
    <mergeCell ref="F4:G4"/>
    <mergeCell ref="H4:I4"/>
    <mergeCell ref="J4:K4"/>
  </mergeCells>
  <pageMargins left="0.39370078740157483" right="0.39370078740157483" top="0.59055118110236227" bottom="0.39370078740157483" header="0" footer="0"/>
  <pageSetup paperSize="14" scale="55"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B115E-F1A8-4CAE-9B7B-0B44DBE3398F}">
  <sheetPr codeName="Hoja34"/>
  <dimension ref="A2:N44"/>
  <sheetViews>
    <sheetView zoomScaleNormal="100" workbookViewId="0">
      <selection activeCell="C21" sqref="C21"/>
    </sheetView>
  </sheetViews>
  <sheetFormatPr baseColWidth="10" defaultColWidth="11.44140625" defaultRowHeight="10.199999999999999" x14ac:dyDescent="0.2"/>
  <cols>
    <col min="1" max="1" width="19.88671875" style="336" customWidth="1"/>
    <col min="2" max="2" width="12.33203125" style="2" customWidth="1"/>
    <col min="3" max="3" width="16.6640625" style="2" customWidth="1"/>
    <col min="4" max="4" width="10.88671875" style="2" customWidth="1"/>
    <col min="5" max="5" width="16.44140625" style="2" customWidth="1"/>
    <col min="6" max="6" width="15.33203125" style="2" customWidth="1"/>
    <col min="7" max="7" width="17.6640625" style="2" customWidth="1"/>
    <col min="8" max="8" width="12.44140625" style="2" customWidth="1"/>
    <col min="9" max="9" width="15.5546875" style="2" customWidth="1"/>
    <col min="10" max="10" width="11.88671875" style="2" customWidth="1"/>
    <col min="11" max="11" width="17.33203125" style="2" customWidth="1"/>
    <col min="12" max="12" width="10.6640625" style="2" customWidth="1"/>
    <col min="13" max="13" width="15.6640625" style="2" customWidth="1"/>
    <col min="14" max="14" width="15.33203125" style="2" customWidth="1"/>
    <col min="15" max="15" width="15.33203125" style="2" bestFit="1" customWidth="1"/>
    <col min="16" max="16" width="11.44140625" style="2"/>
    <col min="17" max="17" width="15.33203125" style="2" bestFit="1" customWidth="1"/>
    <col min="18" max="18" width="12.44140625" style="2" customWidth="1"/>
    <col min="19" max="19" width="16.5546875" style="2" bestFit="1" customWidth="1"/>
    <col min="20" max="20" width="11.44140625" style="2"/>
    <col min="21" max="21" width="15.33203125" style="2" bestFit="1" customWidth="1"/>
    <col min="22" max="22" width="11.44140625" style="2"/>
    <col min="23" max="23" width="16.5546875" style="2" bestFit="1" customWidth="1"/>
    <col min="24" max="24" width="11.44140625" style="2"/>
    <col min="25" max="25" width="15.33203125" style="2" bestFit="1" customWidth="1"/>
    <col min="26" max="16384" width="11.44140625" style="2"/>
  </cols>
  <sheetData>
    <row r="2" spans="1:14" x14ac:dyDescent="0.2">
      <c r="A2" s="24" t="s">
        <v>531</v>
      </c>
      <c r="B2" s="321"/>
      <c r="C2" s="321"/>
      <c r="D2" s="321"/>
      <c r="E2" s="321"/>
      <c r="F2" s="321"/>
      <c r="G2" s="321"/>
      <c r="H2" s="321"/>
      <c r="I2" s="321"/>
      <c r="J2" s="321"/>
      <c r="K2" s="321"/>
      <c r="L2" s="321"/>
      <c r="M2" s="321"/>
      <c r="N2" s="321"/>
    </row>
    <row r="3" spans="1:14" x14ac:dyDescent="0.2">
      <c r="A3" s="321"/>
      <c r="B3" s="321"/>
      <c r="C3" s="321"/>
      <c r="D3" s="321"/>
      <c r="E3" s="321"/>
      <c r="F3" s="321"/>
      <c r="G3" s="321"/>
      <c r="H3" s="321"/>
      <c r="I3" s="321"/>
      <c r="J3" s="321"/>
      <c r="K3" s="321"/>
      <c r="L3" s="321"/>
      <c r="M3" s="321"/>
      <c r="N3" s="321"/>
    </row>
    <row r="4" spans="1:14" s="324" customFormat="1" ht="19.5" customHeight="1" x14ac:dyDescent="0.25">
      <c r="A4" s="322" t="s">
        <v>618</v>
      </c>
      <c r="B4" s="323" t="s">
        <v>42</v>
      </c>
      <c r="C4" s="323"/>
      <c r="D4" s="323"/>
      <c r="E4" s="323"/>
      <c r="F4" s="323" t="s">
        <v>619</v>
      </c>
      <c r="G4" s="323"/>
      <c r="H4" s="323"/>
      <c r="I4" s="323"/>
      <c r="J4" s="323" t="s">
        <v>620</v>
      </c>
      <c r="K4" s="323"/>
      <c r="L4" s="323"/>
      <c r="M4" s="323"/>
    </row>
    <row r="5" spans="1:14" ht="19.5" customHeight="1" x14ac:dyDescent="0.2">
      <c r="A5" s="325"/>
      <c r="B5" s="326" t="s">
        <v>534</v>
      </c>
      <c r="C5" s="326"/>
      <c r="D5" s="326" t="s">
        <v>536</v>
      </c>
      <c r="E5" s="326"/>
      <c r="F5" s="326" t="s">
        <v>534</v>
      </c>
      <c r="G5" s="326"/>
      <c r="H5" s="326" t="s">
        <v>536</v>
      </c>
      <c r="I5" s="326"/>
      <c r="J5" s="326" t="s">
        <v>534</v>
      </c>
      <c r="K5" s="326"/>
      <c r="L5" s="326" t="s">
        <v>536</v>
      </c>
      <c r="M5" s="326"/>
    </row>
    <row r="6" spans="1:14" ht="19.5" customHeight="1" x14ac:dyDescent="0.2">
      <c r="A6" s="327"/>
      <c r="B6" s="328" t="s">
        <v>621</v>
      </c>
      <c r="C6" s="328" t="s">
        <v>622</v>
      </c>
      <c r="D6" s="328" t="s">
        <v>621</v>
      </c>
      <c r="E6" s="328" t="s">
        <v>622</v>
      </c>
      <c r="F6" s="328" t="s">
        <v>621</v>
      </c>
      <c r="G6" s="328" t="s">
        <v>622</v>
      </c>
      <c r="H6" s="328" t="s">
        <v>621</v>
      </c>
      <c r="I6" s="328" t="s">
        <v>622</v>
      </c>
      <c r="J6" s="328" t="s">
        <v>621</v>
      </c>
      <c r="K6" s="328" t="s">
        <v>622</v>
      </c>
      <c r="L6" s="328" t="s">
        <v>621</v>
      </c>
      <c r="M6" s="328" t="s">
        <v>622</v>
      </c>
    </row>
    <row r="7" spans="1:14" x14ac:dyDescent="0.2">
      <c r="A7" s="321" t="s">
        <v>3</v>
      </c>
      <c r="B7" s="329">
        <f>SUM(B8:B12)</f>
        <v>42181</v>
      </c>
      <c r="C7" s="329">
        <f t="shared" ref="C7:M7" si="0">SUM(C8:C12)</f>
        <v>400511254259.70001</v>
      </c>
      <c r="D7" s="329">
        <f t="shared" si="0"/>
        <v>8271</v>
      </c>
      <c r="E7" s="329">
        <f>SUM(E8:E12)</f>
        <v>75086727438.240997</v>
      </c>
      <c r="F7" s="329">
        <f>SUM(F8:F12)</f>
        <v>34126</v>
      </c>
      <c r="G7" s="329">
        <f t="shared" si="0"/>
        <v>253244119221.70001</v>
      </c>
      <c r="H7" s="329">
        <f t="shared" si="0"/>
        <v>6454</v>
      </c>
      <c r="I7" s="329">
        <f t="shared" si="0"/>
        <v>44436219325.141006</v>
      </c>
      <c r="J7" s="329">
        <f t="shared" si="0"/>
        <v>8055</v>
      </c>
      <c r="K7" s="329">
        <f t="shared" si="0"/>
        <v>147267135038</v>
      </c>
      <c r="L7" s="329">
        <f t="shared" si="0"/>
        <v>1817</v>
      </c>
      <c r="M7" s="329">
        <f t="shared" si="0"/>
        <v>30650508113.099998</v>
      </c>
    </row>
    <row r="8" spans="1:14" s="24" customFormat="1" x14ac:dyDescent="0.2">
      <c r="A8" s="330">
        <v>2009</v>
      </c>
      <c r="B8" s="329">
        <f t="shared" ref="B8:M12" si="1">SUM(B14+B20+B26+B32+B38)</f>
        <v>7860</v>
      </c>
      <c r="C8" s="329">
        <f t="shared" si="1"/>
        <v>67781744668</v>
      </c>
      <c r="D8" s="329">
        <f t="shared" si="1"/>
        <v>1703</v>
      </c>
      <c r="E8" s="329">
        <f t="shared" si="1"/>
        <v>13772565706.541</v>
      </c>
      <c r="F8" s="329">
        <f t="shared" si="1"/>
        <v>6333</v>
      </c>
      <c r="G8" s="329">
        <f t="shared" si="1"/>
        <v>45311043831</v>
      </c>
      <c r="H8" s="329">
        <f t="shared" si="1"/>
        <v>1352</v>
      </c>
      <c r="I8" s="329">
        <f t="shared" si="1"/>
        <v>8900142587.441</v>
      </c>
      <c r="J8" s="329">
        <f t="shared" si="1"/>
        <v>1527</v>
      </c>
      <c r="K8" s="329">
        <f t="shared" si="1"/>
        <v>22470700837</v>
      </c>
      <c r="L8" s="329">
        <f t="shared" si="1"/>
        <v>351</v>
      </c>
      <c r="M8" s="329">
        <f t="shared" si="1"/>
        <v>4872423119.1000004</v>
      </c>
    </row>
    <row r="9" spans="1:14" s="24" customFormat="1" x14ac:dyDescent="0.2">
      <c r="A9" s="330">
        <v>2010</v>
      </c>
      <c r="B9" s="329">
        <f t="shared" si="1"/>
        <v>6603</v>
      </c>
      <c r="C9" s="329">
        <f t="shared" si="1"/>
        <v>71545258441</v>
      </c>
      <c r="D9" s="329">
        <f t="shared" si="1"/>
        <v>1520</v>
      </c>
      <c r="E9" s="329">
        <f t="shared" si="1"/>
        <v>14516490972</v>
      </c>
      <c r="F9" s="329">
        <f t="shared" si="1"/>
        <v>5181</v>
      </c>
      <c r="G9" s="329">
        <f t="shared" si="1"/>
        <v>46529531067</v>
      </c>
      <c r="H9" s="329">
        <f t="shared" si="1"/>
        <v>1207</v>
      </c>
      <c r="I9" s="329">
        <f t="shared" si="1"/>
        <v>9115921828</v>
      </c>
      <c r="J9" s="329">
        <f t="shared" si="1"/>
        <v>1422</v>
      </c>
      <c r="K9" s="329">
        <f t="shared" si="1"/>
        <v>25015727374</v>
      </c>
      <c r="L9" s="329">
        <f t="shared" si="1"/>
        <v>313</v>
      </c>
      <c r="M9" s="329">
        <f t="shared" si="1"/>
        <v>5400569144</v>
      </c>
    </row>
    <row r="10" spans="1:14" s="24" customFormat="1" x14ac:dyDescent="0.2">
      <c r="A10" s="330">
        <v>2011</v>
      </c>
      <c r="B10" s="329">
        <f t="shared" si="1"/>
        <v>7104</v>
      </c>
      <c r="C10" s="329">
        <f t="shared" si="1"/>
        <v>61459375011.699997</v>
      </c>
      <c r="D10" s="329">
        <f t="shared" si="1"/>
        <v>1591</v>
      </c>
      <c r="E10" s="329">
        <f>SUM(E16+E22+E28+E34+E40)</f>
        <v>13802029658.700001</v>
      </c>
      <c r="F10" s="329">
        <f t="shared" si="1"/>
        <v>5685</v>
      </c>
      <c r="G10" s="329">
        <f t="shared" si="1"/>
        <v>35481802154.699997</v>
      </c>
      <c r="H10" s="329">
        <f t="shared" si="1"/>
        <v>1288</v>
      </c>
      <c r="I10" s="329">
        <f t="shared" si="1"/>
        <v>8268452822.6999998</v>
      </c>
      <c r="J10" s="329">
        <f t="shared" si="1"/>
        <v>1419</v>
      </c>
      <c r="K10" s="329">
        <f t="shared" si="1"/>
        <v>25977572857</v>
      </c>
      <c r="L10" s="329">
        <f t="shared" si="1"/>
        <v>303</v>
      </c>
      <c r="M10" s="329">
        <f t="shared" si="1"/>
        <v>5533576836</v>
      </c>
    </row>
    <row r="11" spans="1:14" s="24" customFormat="1" x14ac:dyDescent="0.2">
      <c r="A11" s="330">
        <v>2012</v>
      </c>
      <c r="B11" s="329">
        <f t="shared" si="1"/>
        <v>10730</v>
      </c>
      <c r="C11" s="329">
        <f t="shared" si="1"/>
        <v>98524430206</v>
      </c>
      <c r="D11" s="329">
        <f t="shared" si="1"/>
        <v>1459</v>
      </c>
      <c r="E11" s="329">
        <f t="shared" si="1"/>
        <v>14993554645</v>
      </c>
      <c r="F11" s="329">
        <f t="shared" si="1"/>
        <v>8806</v>
      </c>
      <c r="G11" s="329">
        <f t="shared" si="1"/>
        <v>63294134262</v>
      </c>
      <c r="H11" s="329">
        <f t="shared" si="1"/>
        <v>1099</v>
      </c>
      <c r="I11" s="329">
        <f t="shared" si="1"/>
        <v>7930653941</v>
      </c>
      <c r="J11" s="329">
        <f t="shared" si="1"/>
        <v>1924</v>
      </c>
      <c r="K11" s="329">
        <f t="shared" si="1"/>
        <v>35230295944</v>
      </c>
      <c r="L11" s="329">
        <f t="shared" si="1"/>
        <v>360</v>
      </c>
      <c r="M11" s="329">
        <f t="shared" si="1"/>
        <v>7062900704</v>
      </c>
    </row>
    <row r="12" spans="1:14" s="24" customFormat="1" x14ac:dyDescent="0.2">
      <c r="A12" s="330">
        <v>2013</v>
      </c>
      <c r="B12" s="329">
        <f t="shared" si="1"/>
        <v>9884</v>
      </c>
      <c r="C12" s="329">
        <f t="shared" si="1"/>
        <v>101200445933</v>
      </c>
      <c r="D12" s="329">
        <f t="shared" si="1"/>
        <v>1998</v>
      </c>
      <c r="E12" s="329">
        <f>SUM(E18+E24+E30+E36+E42)</f>
        <v>18002086456</v>
      </c>
      <c r="F12" s="329">
        <f t="shared" si="1"/>
        <v>8121</v>
      </c>
      <c r="G12" s="329">
        <f t="shared" si="1"/>
        <v>62627607907</v>
      </c>
      <c r="H12" s="329">
        <f t="shared" si="1"/>
        <v>1508</v>
      </c>
      <c r="I12" s="329">
        <f t="shared" si="1"/>
        <v>10221048146</v>
      </c>
      <c r="J12" s="329">
        <f t="shared" si="1"/>
        <v>1763</v>
      </c>
      <c r="K12" s="329">
        <f t="shared" si="1"/>
        <v>38572838026</v>
      </c>
      <c r="L12" s="329">
        <f t="shared" si="1"/>
        <v>490</v>
      </c>
      <c r="M12" s="329">
        <f t="shared" si="1"/>
        <v>7781038310</v>
      </c>
    </row>
    <row r="13" spans="1:14" x14ac:dyDescent="0.2">
      <c r="A13" s="331" t="s">
        <v>623</v>
      </c>
      <c r="B13" s="329">
        <f>SUM(B14:B18)</f>
        <v>7532</v>
      </c>
      <c r="C13" s="329">
        <f>SUM(C14:C18)</f>
        <v>112980261798</v>
      </c>
      <c r="D13" s="329">
        <f>SUM(D14:D18)</f>
        <v>1192</v>
      </c>
      <c r="E13" s="329">
        <f>SUM(E14:E18)</f>
        <v>19410361890</v>
      </c>
      <c r="F13" s="332">
        <f>SUM(F14:F18)</f>
        <v>6502</v>
      </c>
      <c r="G13" s="332">
        <f t="shared" ref="G13:M13" si="2">SUM(G14:G18)</f>
        <v>76658592466</v>
      </c>
      <c r="H13" s="332">
        <f t="shared" si="2"/>
        <v>1031</v>
      </c>
      <c r="I13" s="332">
        <f t="shared" si="2"/>
        <v>11763632562</v>
      </c>
      <c r="J13" s="332">
        <f>SUM(J14:J18)</f>
        <v>1030</v>
      </c>
      <c r="K13" s="332">
        <f t="shared" si="2"/>
        <v>36321669332</v>
      </c>
      <c r="L13" s="332">
        <f>SUM(L14:L18)</f>
        <v>161</v>
      </c>
      <c r="M13" s="332">
        <f t="shared" si="2"/>
        <v>7646729328</v>
      </c>
    </row>
    <row r="14" spans="1:14" x14ac:dyDescent="0.2">
      <c r="A14" s="333">
        <v>2009</v>
      </c>
      <c r="B14" s="329">
        <f t="shared" ref="B14:E18" si="3">SUM(F14+J14)</f>
        <v>1348</v>
      </c>
      <c r="C14" s="329">
        <f t="shared" si="3"/>
        <v>17476140137</v>
      </c>
      <c r="D14" s="329">
        <f t="shared" si="3"/>
        <v>243</v>
      </c>
      <c r="E14" s="329">
        <f t="shared" si="3"/>
        <v>2922391949</v>
      </c>
      <c r="F14" s="334">
        <v>1167</v>
      </c>
      <c r="G14" s="334">
        <v>11902553717</v>
      </c>
      <c r="H14" s="334">
        <v>222</v>
      </c>
      <c r="I14" s="334">
        <v>2055834495</v>
      </c>
      <c r="J14" s="334">
        <v>181</v>
      </c>
      <c r="K14" s="334">
        <v>5573586420</v>
      </c>
      <c r="L14" s="334">
        <v>21</v>
      </c>
      <c r="M14" s="334">
        <v>866557454</v>
      </c>
    </row>
    <row r="15" spans="1:14" x14ac:dyDescent="0.2">
      <c r="A15" s="333">
        <v>2010</v>
      </c>
      <c r="B15" s="329">
        <f t="shared" si="3"/>
        <v>1373</v>
      </c>
      <c r="C15" s="329">
        <f t="shared" si="3"/>
        <v>25554554329</v>
      </c>
      <c r="D15" s="329">
        <f t="shared" si="3"/>
        <v>244</v>
      </c>
      <c r="E15" s="329">
        <f>SUM(I15+M15)</f>
        <v>4620279002</v>
      </c>
      <c r="F15" s="334">
        <v>1158</v>
      </c>
      <c r="G15" s="334">
        <v>15615915333</v>
      </c>
      <c r="H15" s="334">
        <v>208</v>
      </c>
      <c r="I15" s="334">
        <v>2386309480</v>
      </c>
      <c r="J15" s="334">
        <v>215</v>
      </c>
      <c r="K15" s="334">
        <v>9938638996</v>
      </c>
      <c r="L15" s="334">
        <v>36</v>
      </c>
      <c r="M15" s="334">
        <v>2233969522</v>
      </c>
    </row>
    <row r="16" spans="1:14" x14ac:dyDescent="0.2">
      <c r="A16" s="333">
        <v>2011</v>
      </c>
      <c r="B16" s="329">
        <f t="shared" si="3"/>
        <v>1044</v>
      </c>
      <c r="C16" s="329">
        <f t="shared" si="3"/>
        <v>14026393360</v>
      </c>
      <c r="D16" s="329">
        <f t="shared" si="3"/>
        <v>212</v>
      </c>
      <c r="E16" s="329">
        <f t="shared" si="3"/>
        <v>3301259517</v>
      </c>
      <c r="F16" s="334">
        <v>938</v>
      </c>
      <c r="G16" s="334">
        <v>9221265563</v>
      </c>
      <c r="H16" s="334">
        <v>190</v>
      </c>
      <c r="I16" s="334">
        <v>2096373020</v>
      </c>
      <c r="J16" s="334">
        <v>106</v>
      </c>
      <c r="K16" s="334">
        <v>4805127797</v>
      </c>
      <c r="L16" s="334">
        <v>22</v>
      </c>
      <c r="M16" s="334">
        <v>1204886497</v>
      </c>
    </row>
    <row r="17" spans="1:13" x14ac:dyDescent="0.2">
      <c r="A17" s="333">
        <v>2012</v>
      </c>
      <c r="B17" s="329">
        <f t="shared" si="3"/>
        <v>1867</v>
      </c>
      <c r="C17" s="329">
        <f t="shared" si="3"/>
        <v>28881253822</v>
      </c>
      <c r="D17" s="329">
        <f t="shared" si="3"/>
        <v>190</v>
      </c>
      <c r="E17" s="329">
        <f t="shared" si="3"/>
        <v>3848400382</v>
      </c>
      <c r="F17" s="334">
        <v>1587</v>
      </c>
      <c r="G17" s="334">
        <v>21054540767</v>
      </c>
      <c r="H17" s="334">
        <v>154</v>
      </c>
      <c r="I17" s="334">
        <v>2224647267</v>
      </c>
      <c r="J17" s="334">
        <v>280</v>
      </c>
      <c r="K17" s="334">
        <v>7826713055</v>
      </c>
      <c r="L17" s="334">
        <v>36</v>
      </c>
      <c r="M17" s="334">
        <v>1623753115</v>
      </c>
    </row>
    <row r="18" spans="1:13" x14ac:dyDescent="0.2">
      <c r="A18" s="333">
        <v>2013</v>
      </c>
      <c r="B18" s="329">
        <f t="shared" si="3"/>
        <v>1900</v>
      </c>
      <c r="C18" s="329">
        <f t="shared" si="3"/>
        <v>27041920150</v>
      </c>
      <c r="D18" s="329">
        <f t="shared" si="3"/>
        <v>303</v>
      </c>
      <c r="E18" s="329">
        <f t="shared" si="3"/>
        <v>4718031040</v>
      </c>
      <c r="F18" s="334">
        <v>1652</v>
      </c>
      <c r="G18" s="334">
        <v>18864317086</v>
      </c>
      <c r="H18" s="334">
        <v>257</v>
      </c>
      <c r="I18" s="334">
        <v>3000468300</v>
      </c>
      <c r="J18" s="334">
        <v>248</v>
      </c>
      <c r="K18" s="334">
        <v>8177603064</v>
      </c>
      <c r="L18" s="334">
        <v>46</v>
      </c>
      <c r="M18" s="334">
        <v>1717562740</v>
      </c>
    </row>
    <row r="19" spans="1:13" x14ac:dyDescent="0.2">
      <c r="A19" s="331" t="s">
        <v>624</v>
      </c>
      <c r="B19" s="329">
        <f>SUM(B20:B24)</f>
        <v>12348</v>
      </c>
      <c r="C19" s="329">
        <f>SUM(C20:C24)</f>
        <v>85110989241</v>
      </c>
      <c r="D19" s="329">
        <f>SUM(D20:D24)</f>
        <v>2914</v>
      </c>
      <c r="E19" s="329">
        <f>SUM(E20:E24)</f>
        <v>18511828506</v>
      </c>
      <c r="F19" s="332">
        <f>SUM(F20:F24)</f>
        <v>9648</v>
      </c>
      <c r="G19" s="332">
        <f t="shared" ref="G19" si="4">SUM(G20:G24)</f>
        <v>65739802338</v>
      </c>
      <c r="H19" s="332">
        <f>SUM(H20:H24)</f>
        <v>2269</v>
      </c>
      <c r="I19" s="332">
        <f t="shared" ref="I19:M19" si="5">SUM(I20:I24)</f>
        <v>14443473407</v>
      </c>
      <c r="J19" s="332">
        <f>SUM(J20:J24)</f>
        <v>2700</v>
      </c>
      <c r="K19" s="332">
        <f t="shared" si="5"/>
        <v>19371186903</v>
      </c>
      <c r="L19" s="332">
        <f>SUM(L20:L24)</f>
        <v>645</v>
      </c>
      <c r="M19" s="332">
        <f t="shared" si="5"/>
        <v>4068355099</v>
      </c>
    </row>
    <row r="20" spans="1:13" x14ac:dyDescent="0.2">
      <c r="A20" s="333">
        <v>2009</v>
      </c>
      <c r="B20" s="329">
        <f t="shared" ref="B20:E24" si="6">SUM(F20+J20)</f>
        <v>2156</v>
      </c>
      <c r="C20" s="329">
        <f t="shared" si="6"/>
        <v>14434533249</v>
      </c>
      <c r="D20" s="329">
        <f t="shared" si="6"/>
        <v>551</v>
      </c>
      <c r="E20" s="329">
        <f t="shared" si="6"/>
        <v>3385030828</v>
      </c>
      <c r="F20" s="334">
        <v>1571</v>
      </c>
      <c r="G20" s="334">
        <v>10118713064</v>
      </c>
      <c r="H20" s="334">
        <v>415</v>
      </c>
      <c r="I20" s="334">
        <v>2500815839</v>
      </c>
      <c r="J20" s="334">
        <v>585</v>
      </c>
      <c r="K20" s="334">
        <v>4315820185</v>
      </c>
      <c r="L20" s="334">
        <v>136</v>
      </c>
      <c r="M20" s="334">
        <v>884214989</v>
      </c>
    </row>
    <row r="21" spans="1:13" x14ac:dyDescent="0.2">
      <c r="A21" s="333">
        <v>2010</v>
      </c>
      <c r="B21" s="329">
        <f t="shared" si="6"/>
        <v>2198</v>
      </c>
      <c r="C21" s="329">
        <f t="shared" si="6"/>
        <v>16130697040</v>
      </c>
      <c r="D21" s="329">
        <f t="shared" si="6"/>
        <v>496</v>
      </c>
      <c r="E21" s="329">
        <f t="shared" si="6"/>
        <v>3177844754</v>
      </c>
      <c r="F21" s="334">
        <v>1664</v>
      </c>
      <c r="G21" s="334">
        <v>11882143805</v>
      </c>
      <c r="H21" s="334">
        <v>401</v>
      </c>
      <c r="I21" s="334">
        <v>2601725891</v>
      </c>
      <c r="J21" s="334">
        <v>534</v>
      </c>
      <c r="K21" s="334">
        <v>4248553235</v>
      </c>
      <c r="L21" s="334">
        <v>95</v>
      </c>
      <c r="M21" s="334">
        <v>576118863</v>
      </c>
    </row>
    <row r="22" spans="1:13" x14ac:dyDescent="0.2">
      <c r="A22" s="333">
        <v>2011</v>
      </c>
      <c r="B22" s="329">
        <f t="shared" si="6"/>
        <v>1983</v>
      </c>
      <c r="C22" s="329">
        <f t="shared" si="6"/>
        <v>13495004991</v>
      </c>
      <c r="D22" s="329">
        <f t="shared" si="6"/>
        <v>582</v>
      </c>
      <c r="E22" s="329">
        <f t="shared" si="6"/>
        <v>3630253530</v>
      </c>
      <c r="F22" s="334">
        <v>1460</v>
      </c>
      <c r="G22" s="334">
        <v>9642484434</v>
      </c>
      <c r="H22" s="334">
        <v>446</v>
      </c>
      <c r="I22" s="334">
        <v>2780166391</v>
      </c>
      <c r="J22" s="334">
        <v>523</v>
      </c>
      <c r="K22" s="334">
        <v>3852520557</v>
      </c>
      <c r="L22" s="334">
        <v>136</v>
      </c>
      <c r="M22" s="334">
        <v>850087139</v>
      </c>
    </row>
    <row r="23" spans="1:13" x14ac:dyDescent="0.2">
      <c r="A23" s="333">
        <v>2012</v>
      </c>
      <c r="B23" s="329">
        <f t="shared" si="6"/>
        <v>3169</v>
      </c>
      <c r="C23" s="329">
        <f t="shared" si="6"/>
        <v>20564616379</v>
      </c>
      <c r="D23" s="329">
        <f t="shared" si="6"/>
        <v>568</v>
      </c>
      <c r="E23" s="329">
        <f t="shared" si="6"/>
        <v>3794901464</v>
      </c>
      <c r="F23" s="334">
        <v>2613</v>
      </c>
      <c r="G23" s="334">
        <v>17040091976</v>
      </c>
      <c r="H23" s="334">
        <v>435</v>
      </c>
      <c r="I23" s="334">
        <v>2930214260</v>
      </c>
      <c r="J23" s="334">
        <v>556</v>
      </c>
      <c r="K23" s="334">
        <v>3524524403</v>
      </c>
      <c r="L23" s="334">
        <v>133</v>
      </c>
      <c r="M23" s="334">
        <v>864687204</v>
      </c>
    </row>
    <row r="24" spans="1:13" x14ac:dyDescent="0.2">
      <c r="A24" s="333">
        <v>2013</v>
      </c>
      <c r="B24" s="329">
        <f t="shared" si="6"/>
        <v>2842</v>
      </c>
      <c r="C24" s="329">
        <f t="shared" si="6"/>
        <v>20486137582</v>
      </c>
      <c r="D24" s="329">
        <f t="shared" si="6"/>
        <v>717</v>
      </c>
      <c r="E24" s="329">
        <f t="shared" si="6"/>
        <v>4523797930</v>
      </c>
      <c r="F24" s="334">
        <v>2340</v>
      </c>
      <c r="G24" s="334">
        <v>17056369059</v>
      </c>
      <c r="H24" s="334">
        <v>572</v>
      </c>
      <c r="I24" s="334">
        <v>3630551026</v>
      </c>
      <c r="J24" s="334">
        <v>502</v>
      </c>
      <c r="K24" s="334">
        <v>3429768523</v>
      </c>
      <c r="L24" s="334">
        <v>145</v>
      </c>
      <c r="M24" s="334">
        <v>893246904</v>
      </c>
    </row>
    <row r="25" spans="1:13" x14ac:dyDescent="0.2">
      <c r="A25" s="331" t="s">
        <v>625</v>
      </c>
      <c r="B25" s="329">
        <f>SUM(B26:B30)</f>
        <v>10111</v>
      </c>
      <c r="C25" s="329">
        <f t="shared" ref="C25:M25" si="7">SUM(C26:C30)</f>
        <v>59137991330</v>
      </c>
      <c r="D25" s="329">
        <f t="shared" si="7"/>
        <v>1852</v>
      </c>
      <c r="E25" s="329">
        <f t="shared" si="7"/>
        <v>11795671617</v>
      </c>
      <c r="F25" s="332">
        <f t="shared" si="7"/>
        <v>8127</v>
      </c>
      <c r="G25" s="332">
        <f t="shared" si="7"/>
        <v>38770627355</v>
      </c>
      <c r="H25" s="332">
        <f t="shared" si="7"/>
        <v>1312</v>
      </c>
      <c r="I25" s="332">
        <f t="shared" si="7"/>
        <v>6449736367</v>
      </c>
      <c r="J25" s="332">
        <f>SUM(J26:J30)</f>
        <v>1984</v>
      </c>
      <c r="K25" s="332">
        <f t="shared" si="7"/>
        <v>20367363975</v>
      </c>
      <c r="L25" s="332">
        <f t="shared" si="7"/>
        <v>540</v>
      </c>
      <c r="M25" s="332">
        <f t="shared" si="7"/>
        <v>5345935250</v>
      </c>
    </row>
    <row r="26" spans="1:13" x14ac:dyDescent="0.2">
      <c r="A26" s="333">
        <v>2009</v>
      </c>
      <c r="B26" s="329">
        <f t="shared" ref="B26:E30" si="8">SUM(F26+J26)</f>
        <v>1809</v>
      </c>
      <c r="C26" s="329">
        <f t="shared" si="8"/>
        <v>9259503093</v>
      </c>
      <c r="D26" s="329">
        <f t="shared" si="8"/>
        <v>392</v>
      </c>
      <c r="E26" s="329">
        <f t="shared" si="8"/>
        <v>2286572793</v>
      </c>
      <c r="F26" s="334">
        <v>1474</v>
      </c>
      <c r="G26" s="334">
        <v>6530090407</v>
      </c>
      <c r="H26" s="334">
        <v>291</v>
      </c>
      <c r="I26" s="334">
        <v>1434405867</v>
      </c>
      <c r="J26" s="334">
        <v>335</v>
      </c>
      <c r="K26" s="334">
        <v>2729412686</v>
      </c>
      <c r="L26" s="334">
        <v>101</v>
      </c>
      <c r="M26" s="334">
        <v>852166926</v>
      </c>
    </row>
    <row r="27" spans="1:13" x14ac:dyDescent="0.2">
      <c r="A27" s="333">
        <v>2010</v>
      </c>
      <c r="B27" s="329">
        <f t="shared" si="8"/>
        <v>1243</v>
      </c>
      <c r="C27" s="329">
        <f>SUM(G27+K27)</f>
        <v>8844315698</v>
      </c>
      <c r="D27" s="329">
        <f t="shared" si="8"/>
        <v>319</v>
      </c>
      <c r="E27" s="329">
        <f t="shared" si="8"/>
        <v>2440505687</v>
      </c>
      <c r="F27" s="334">
        <v>857</v>
      </c>
      <c r="G27" s="334">
        <v>5833544976</v>
      </c>
      <c r="H27" s="334">
        <v>212</v>
      </c>
      <c r="I27" s="334">
        <v>1401871126</v>
      </c>
      <c r="J27" s="334">
        <v>386</v>
      </c>
      <c r="K27" s="334">
        <v>3010770722</v>
      </c>
      <c r="L27" s="334">
        <v>107</v>
      </c>
      <c r="M27" s="334">
        <v>1038634561</v>
      </c>
    </row>
    <row r="28" spans="1:13" x14ac:dyDescent="0.2">
      <c r="A28" s="333">
        <v>2011</v>
      </c>
      <c r="B28" s="329">
        <f t="shared" si="8"/>
        <v>2082</v>
      </c>
      <c r="C28" s="329">
        <f>SUM(G28+K28)</f>
        <v>11309688611</v>
      </c>
      <c r="D28" s="329">
        <f t="shared" si="8"/>
        <v>375</v>
      </c>
      <c r="E28" s="329">
        <f t="shared" si="8"/>
        <v>2323252733</v>
      </c>
      <c r="F28" s="334">
        <v>1767</v>
      </c>
      <c r="G28" s="334">
        <v>8039673887</v>
      </c>
      <c r="H28" s="334">
        <v>315</v>
      </c>
      <c r="I28" s="334">
        <v>1589602127</v>
      </c>
      <c r="J28" s="334">
        <v>315</v>
      </c>
      <c r="K28" s="334">
        <v>3270014724</v>
      </c>
      <c r="L28" s="334">
        <v>60</v>
      </c>
      <c r="M28" s="334">
        <v>733650606</v>
      </c>
    </row>
    <row r="29" spans="1:13" x14ac:dyDescent="0.2">
      <c r="A29" s="333">
        <v>2012</v>
      </c>
      <c r="B29" s="329">
        <f t="shared" si="8"/>
        <v>2748</v>
      </c>
      <c r="C29" s="329">
        <f>SUM(G29+K29)</f>
        <v>17462615956</v>
      </c>
      <c r="D29" s="329">
        <f t="shared" si="8"/>
        <v>293</v>
      </c>
      <c r="E29" s="329">
        <f t="shared" si="8"/>
        <v>2032902629</v>
      </c>
      <c r="F29" s="334">
        <v>2248</v>
      </c>
      <c r="G29" s="334">
        <v>10306171280</v>
      </c>
      <c r="H29" s="334">
        <v>200</v>
      </c>
      <c r="I29" s="334">
        <v>826930848</v>
      </c>
      <c r="J29" s="334">
        <v>500</v>
      </c>
      <c r="K29" s="334">
        <v>7156444676</v>
      </c>
      <c r="L29" s="334">
        <v>93</v>
      </c>
      <c r="M29" s="334">
        <v>1205971781</v>
      </c>
    </row>
    <row r="30" spans="1:13" x14ac:dyDescent="0.2">
      <c r="A30" s="333">
        <v>2013</v>
      </c>
      <c r="B30" s="329">
        <f t="shared" si="8"/>
        <v>2229</v>
      </c>
      <c r="C30" s="329">
        <f t="shared" si="8"/>
        <v>12261867972</v>
      </c>
      <c r="D30" s="329">
        <f t="shared" si="8"/>
        <v>473</v>
      </c>
      <c r="E30" s="329">
        <f t="shared" si="8"/>
        <v>2712437775</v>
      </c>
      <c r="F30" s="334">
        <v>1781</v>
      </c>
      <c r="G30" s="334">
        <v>8061146805</v>
      </c>
      <c r="H30" s="334">
        <v>294</v>
      </c>
      <c r="I30" s="334">
        <v>1196926399</v>
      </c>
      <c r="J30" s="334">
        <v>448</v>
      </c>
      <c r="K30" s="334">
        <v>4200721167</v>
      </c>
      <c r="L30" s="334">
        <v>179</v>
      </c>
      <c r="M30" s="334">
        <v>1515511376</v>
      </c>
    </row>
    <row r="31" spans="1:13" x14ac:dyDescent="0.2">
      <c r="A31" s="331" t="s">
        <v>626</v>
      </c>
      <c r="B31" s="329">
        <f>SUM(B32:B36)</f>
        <v>6883</v>
      </c>
      <c r="C31" s="329">
        <f>SUM(C32:C36)</f>
        <v>44462336059.699997</v>
      </c>
      <c r="D31" s="329">
        <f>SUM(D32:D36)</f>
        <v>1470</v>
      </c>
      <c r="E31" s="329">
        <f>SUM(E32:E36)</f>
        <v>8328481791.6999998</v>
      </c>
      <c r="F31" s="332">
        <f>SUM(F32:F36)</f>
        <v>5826</v>
      </c>
      <c r="G31" s="332">
        <f t="shared" ref="G31:M31" si="9">SUM(G32:G36)</f>
        <v>33655494510.700001</v>
      </c>
      <c r="H31" s="332">
        <f>SUM(H32:H36)</f>
        <v>1257</v>
      </c>
      <c r="I31" s="332">
        <f t="shared" si="9"/>
        <v>6100467202.6999998</v>
      </c>
      <c r="J31" s="332">
        <f>SUM(J32:J36)</f>
        <v>1057</v>
      </c>
      <c r="K31" s="332">
        <f t="shared" si="9"/>
        <v>10806841549</v>
      </c>
      <c r="L31" s="332">
        <f t="shared" si="9"/>
        <v>213</v>
      </c>
      <c r="M31" s="332">
        <f t="shared" si="9"/>
        <v>2228014589</v>
      </c>
    </row>
    <row r="32" spans="1:13" ht="10.5" customHeight="1" x14ac:dyDescent="0.2">
      <c r="A32" s="333">
        <v>2009</v>
      </c>
      <c r="B32" s="329">
        <f t="shared" ref="B32:E36" si="10">SUM(F32+J32)</f>
        <v>1464</v>
      </c>
      <c r="C32" s="329">
        <f t="shared" si="10"/>
        <v>9788912190</v>
      </c>
      <c r="D32" s="329">
        <f t="shared" si="10"/>
        <v>323</v>
      </c>
      <c r="E32" s="329">
        <f t="shared" si="10"/>
        <v>1930194072</v>
      </c>
      <c r="F32" s="334">
        <v>1219</v>
      </c>
      <c r="G32" s="334">
        <v>7397148313</v>
      </c>
      <c r="H32" s="334">
        <v>291</v>
      </c>
      <c r="I32" s="334">
        <v>1597057279</v>
      </c>
      <c r="J32" s="334">
        <v>245</v>
      </c>
      <c r="K32" s="334">
        <v>2391763877</v>
      </c>
      <c r="L32" s="334">
        <v>32</v>
      </c>
      <c r="M32" s="334">
        <v>333136793</v>
      </c>
    </row>
    <row r="33" spans="1:13" x14ac:dyDescent="0.2">
      <c r="A33" s="333">
        <v>2010</v>
      </c>
      <c r="B33" s="329">
        <f t="shared" si="10"/>
        <v>900</v>
      </c>
      <c r="C33" s="329">
        <f t="shared" si="10"/>
        <v>5032707419</v>
      </c>
      <c r="D33" s="329">
        <f t="shared" si="10"/>
        <v>266</v>
      </c>
      <c r="E33" s="329">
        <f>SUM(I33+M33)</f>
        <v>1182073922</v>
      </c>
      <c r="F33" s="334">
        <v>776</v>
      </c>
      <c r="G33" s="334">
        <v>3908876194</v>
      </c>
      <c r="H33" s="334">
        <v>227</v>
      </c>
      <c r="I33" s="334">
        <v>856509774</v>
      </c>
      <c r="J33" s="334">
        <v>124</v>
      </c>
      <c r="K33" s="334">
        <v>1123831225</v>
      </c>
      <c r="L33" s="334">
        <v>39</v>
      </c>
      <c r="M33" s="334">
        <v>325564148</v>
      </c>
    </row>
    <row r="34" spans="1:13" x14ac:dyDescent="0.2">
      <c r="A34" s="333">
        <v>2011</v>
      </c>
      <c r="B34" s="329">
        <f t="shared" si="10"/>
        <v>1209</v>
      </c>
      <c r="C34" s="329">
        <f t="shared" si="10"/>
        <v>6535212065.6999998</v>
      </c>
      <c r="D34" s="329">
        <f t="shared" si="10"/>
        <v>267</v>
      </c>
      <c r="E34" s="329">
        <f t="shared" si="10"/>
        <v>1450958656.7</v>
      </c>
      <c r="F34" s="334">
        <v>1000</v>
      </c>
      <c r="G34" s="334">
        <v>4681501685.6999998</v>
      </c>
      <c r="H34" s="334">
        <v>231</v>
      </c>
      <c r="I34" s="334">
        <v>1050907860.7</v>
      </c>
      <c r="J34" s="334">
        <v>209</v>
      </c>
      <c r="K34" s="334">
        <v>1853710380</v>
      </c>
      <c r="L34" s="334">
        <v>36</v>
      </c>
      <c r="M34" s="334">
        <v>400050796</v>
      </c>
    </row>
    <row r="35" spans="1:13" x14ac:dyDescent="0.2">
      <c r="A35" s="333">
        <v>2012</v>
      </c>
      <c r="B35" s="329">
        <f t="shared" si="10"/>
        <v>1632</v>
      </c>
      <c r="C35" s="329">
        <f t="shared" si="10"/>
        <v>10696331071</v>
      </c>
      <c r="D35" s="329">
        <f t="shared" si="10"/>
        <v>287</v>
      </c>
      <c r="E35" s="329">
        <f t="shared" si="10"/>
        <v>1746029440</v>
      </c>
      <c r="F35" s="334">
        <v>1385</v>
      </c>
      <c r="G35" s="334">
        <v>8227521959</v>
      </c>
      <c r="H35" s="334">
        <v>239</v>
      </c>
      <c r="I35" s="334">
        <v>1210872308</v>
      </c>
      <c r="J35" s="334">
        <v>247</v>
      </c>
      <c r="K35" s="334">
        <v>2468809112</v>
      </c>
      <c r="L35" s="334">
        <v>48</v>
      </c>
      <c r="M35" s="334">
        <v>535157132</v>
      </c>
    </row>
    <row r="36" spans="1:13" x14ac:dyDescent="0.2">
      <c r="A36" s="333">
        <v>2013</v>
      </c>
      <c r="B36" s="329">
        <f t="shared" si="10"/>
        <v>1678</v>
      </c>
      <c r="C36" s="329">
        <f t="shared" si="10"/>
        <v>12409173314</v>
      </c>
      <c r="D36" s="329">
        <f t="shared" si="10"/>
        <v>327</v>
      </c>
      <c r="E36" s="329">
        <f t="shared" si="10"/>
        <v>2019225701</v>
      </c>
      <c r="F36" s="334">
        <v>1446</v>
      </c>
      <c r="G36" s="334">
        <v>9440446359</v>
      </c>
      <c r="H36" s="334">
        <v>269</v>
      </c>
      <c r="I36" s="334">
        <v>1385119981</v>
      </c>
      <c r="J36" s="334">
        <v>232</v>
      </c>
      <c r="K36" s="334">
        <v>2968726955</v>
      </c>
      <c r="L36" s="334">
        <v>58</v>
      </c>
      <c r="M36" s="334">
        <v>634105720</v>
      </c>
    </row>
    <row r="37" spans="1:13" x14ac:dyDescent="0.2">
      <c r="A37" s="331" t="s">
        <v>544</v>
      </c>
      <c r="B37" s="329">
        <f>SUM(B38:B42)</f>
        <v>5307</v>
      </c>
      <c r="C37" s="329">
        <f>SUM(C38:C42)</f>
        <v>98819675831</v>
      </c>
      <c r="D37" s="329">
        <f>SUM(D38:D42)</f>
        <v>843</v>
      </c>
      <c r="E37" s="329">
        <f>SUM(E38:E42)</f>
        <v>17040383633.541</v>
      </c>
      <c r="F37" s="332">
        <f>SUM(F38:F42)</f>
        <v>4023</v>
      </c>
      <c r="G37" s="332">
        <f t="shared" ref="G37:M37" si="11">SUM(G38:G42)</f>
        <v>38419602552</v>
      </c>
      <c r="H37" s="332">
        <f t="shared" si="11"/>
        <v>585</v>
      </c>
      <c r="I37" s="332">
        <f t="shared" si="11"/>
        <v>5678909786.441</v>
      </c>
      <c r="J37" s="332">
        <f>SUM(J38:J42)</f>
        <v>1284</v>
      </c>
      <c r="K37" s="332">
        <f t="shared" si="11"/>
        <v>60400073279</v>
      </c>
      <c r="L37" s="332">
        <f t="shared" si="11"/>
        <v>258</v>
      </c>
      <c r="M37" s="332">
        <f t="shared" si="11"/>
        <v>11361473847.1</v>
      </c>
    </row>
    <row r="38" spans="1:13" ht="10.5" customHeight="1" x14ac:dyDescent="0.2">
      <c r="A38" s="333">
        <v>2009</v>
      </c>
      <c r="B38" s="329">
        <f t="shared" ref="B38:E42" si="12">SUM(F38+J38)</f>
        <v>1083</v>
      </c>
      <c r="C38" s="329">
        <f t="shared" si="12"/>
        <v>16822655999</v>
      </c>
      <c r="D38" s="329">
        <f t="shared" si="12"/>
        <v>194</v>
      </c>
      <c r="E38" s="329">
        <f t="shared" si="12"/>
        <v>3248376064.5409999</v>
      </c>
      <c r="F38" s="334">
        <v>902</v>
      </c>
      <c r="G38" s="334">
        <v>9362538330</v>
      </c>
      <c r="H38" s="334">
        <v>133</v>
      </c>
      <c r="I38" s="334">
        <v>1312029107.441</v>
      </c>
      <c r="J38" s="334">
        <v>181</v>
      </c>
      <c r="K38" s="334">
        <v>7460117669</v>
      </c>
      <c r="L38" s="334">
        <v>61</v>
      </c>
      <c r="M38" s="334">
        <v>1936346957.0999999</v>
      </c>
    </row>
    <row r="39" spans="1:13" x14ac:dyDescent="0.2">
      <c r="A39" s="333">
        <v>2010</v>
      </c>
      <c r="B39" s="329">
        <f t="shared" si="12"/>
        <v>889</v>
      </c>
      <c r="C39" s="329">
        <f t="shared" si="12"/>
        <v>15982983955</v>
      </c>
      <c r="D39" s="329">
        <f t="shared" si="12"/>
        <v>195</v>
      </c>
      <c r="E39" s="329">
        <f t="shared" si="12"/>
        <v>3095787607</v>
      </c>
      <c r="F39" s="334">
        <v>726</v>
      </c>
      <c r="G39" s="334">
        <v>9289050759</v>
      </c>
      <c r="H39" s="334">
        <v>159</v>
      </c>
      <c r="I39" s="334">
        <v>1869505557</v>
      </c>
      <c r="J39" s="334">
        <v>163</v>
      </c>
      <c r="K39" s="334">
        <v>6693933196</v>
      </c>
      <c r="L39" s="334">
        <v>36</v>
      </c>
      <c r="M39" s="334">
        <v>1226282050</v>
      </c>
    </row>
    <row r="40" spans="1:13" x14ac:dyDescent="0.2">
      <c r="A40" s="333">
        <v>2011</v>
      </c>
      <c r="B40" s="329">
        <f t="shared" si="12"/>
        <v>786</v>
      </c>
      <c r="C40" s="329">
        <f t="shared" si="12"/>
        <v>16093075984</v>
      </c>
      <c r="D40" s="329">
        <f t="shared" si="12"/>
        <v>155</v>
      </c>
      <c r="E40" s="329">
        <f t="shared" si="12"/>
        <v>3096305222</v>
      </c>
      <c r="F40" s="334">
        <v>520</v>
      </c>
      <c r="G40" s="334">
        <v>3896876585</v>
      </c>
      <c r="H40" s="334">
        <v>106</v>
      </c>
      <c r="I40" s="334">
        <v>751403424</v>
      </c>
      <c r="J40" s="334">
        <v>266</v>
      </c>
      <c r="K40" s="334">
        <v>12196199399</v>
      </c>
      <c r="L40" s="334">
        <v>49</v>
      </c>
      <c r="M40" s="334">
        <v>2344901798</v>
      </c>
    </row>
    <row r="41" spans="1:13" x14ac:dyDescent="0.2">
      <c r="A41" s="333">
        <v>2012</v>
      </c>
      <c r="B41" s="329">
        <f t="shared" si="12"/>
        <v>1314</v>
      </c>
      <c r="C41" s="329">
        <f t="shared" si="12"/>
        <v>20919612978</v>
      </c>
      <c r="D41" s="329">
        <f t="shared" si="12"/>
        <v>121</v>
      </c>
      <c r="E41" s="329">
        <f t="shared" si="12"/>
        <v>3571320730</v>
      </c>
      <c r="F41" s="334">
        <v>973</v>
      </c>
      <c r="G41" s="334">
        <v>6665808280</v>
      </c>
      <c r="H41" s="334">
        <v>71</v>
      </c>
      <c r="I41" s="334">
        <v>737989258</v>
      </c>
      <c r="J41" s="334">
        <v>341</v>
      </c>
      <c r="K41" s="334">
        <v>14253804698</v>
      </c>
      <c r="L41" s="334">
        <v>50</v>
      </c>
      <c r="M41" s="334">
        <v>2833331472</v>
      </c>
    </row>
    <row r="42" spans="1:13" x14ac:dyDescent="0.2">
      <c r="A42" s="333">
        <v>2013</v>
      </c>
      <c r="B42" s="329">
        <f t="shared" si="12"/>
        <v>1235</v>
      </c>
      <c r="C42" s="329">
        <f t="shared" si="12"/>
        <v>29001346915</v>
      </c>
      <c r="D42" s="329">
        <f t="shared" si="12"/>
        <v>178</v>
      </c>
      <c r="E42" s="329">
        <f t="shared" si="12"/>
        <v>4028594010</v>
      </c>
      <c r="F42" s="334">
        <v>902</v>
      </c>
      <c r="G42" s="334">
        <v>9205328598</v>
      </c>
      <c r="H42" s="334">
        <v>116</v>
      </c>
      <c r="I42" s="334">
        <v>1007982440</v>
      </c>
      <c r="J42" s="334">
        <v>333</v>
      </c>
      <c r="K42" s="334">
        <v>19796018317</v>
      </c>
      <c r="L42" s="334">
        <v>62</v>
      </c>
      <c r="M42" s="334">
        <v>3020611570</v>
      </c>
    </row>
    <row r="43" spans="1:13" x14ac:dyDescent="0.2">
      <c r="A43" s="335"/>
    </row>
    <row r="44" spans="1:13" x14ac:dyDescent="0.2">
      <c r="A44" s="235" t="s">
        <v>546</v>
      </c>
    </row>
  </sheetData>
  <mergeCells count="10">
    <mergeCell ref="A4:A6"/>
    <mergeCell ref="B4:E4"/>
    <mergeCell ref="F4:I4"/>
    <mergeCell ref="J4:M4"/>
    <mergeCell ref="B5:C5"/>
    <mergeCell ref="D5:E5"/>
    <mergeCell ref="F5:G5"/>
    <mergeCell ref="H5:I5"/>
    <mergeCell ref="J5:K5"/>
    <mergeCell ref="L5:M5"/>
  </mergeCells>
  <pageMargins left="0.70866141732283472" right="0.70866141732283472" top="0.74803149606299213" bottom="0.74803149606299213" header="0.31496062992125984" footer="0.31496062992125984"/>
  <pageSetup paperSize="14" scale="75"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35D7A3-5354-42B0-9674-0668A0F00B32}">
  <sheetPr codeName="Hoja35"/>
  <dimension ref="A2:AB46"/>
  <sheetViews>
    <sheetView zoomScaleNormal="100" workbookViewId="0"/>
  </sheetViews>
  <sheetFormatPr baseColWidth="10" defaultColWidth="11.44140625" defaultRowHeight="13.2" x14ac:dyDescent="0.25"/>
  <cols>
    <col min="1" max="1" width="21" customWidth="1"/>
    <col min="2" max="2" width="10.5546875" customWidth="1"/>
    <col min="3" max="3" width="16.88671875" customWidth="1"/>
    <col min="4" max="4" width="11.109375" customWidth="1"/>
    <col min="5" max="5" width="16.6640625" customWidth="1"/>
    <col min="6" max="6" width="11.88671875" customWidth="1"/>
    <col min="7" max="7" width="16.5546875" customWidth="1"/>
    <col min="8" max="8" width="10.5546875" customWidth="1"/>
    <col min="9" max="9" width="15.44140625" customWidth="1"/>
    <col min="10" max="10" width="11" customWidth="1"/>
    <col min="11" max="11" width="18.33203125" customWidth="1"/>
    <col min="12" max="12" width="10.88671875" customWidth="1"/>
    <col min="13" max="13" width="18.88671875" customWidth="1"/>
    <col min="14" max="14" width="15.5546875" customWidth="1"/>
    <col min="15" max="15" width="14.109375" customWidth="1"/>
    <col min="17" max="17" width="17.33203125" customWidth="1"/>
  </cols>
  <sheetData>
    <row r="2" spans="1:17" s="338" customFormat="1" x14ac:dyDescent="0.25">
      <c r="A2" s="337" t="s">
        <v>532</v>
      </c>
    </row>
    <row r="3" spans="1:17" s="2" customFormat="1" ht="10.199999999999999" x14ac:dyDescent="0.2">
      <c r="A3" s="235"/>
      <c r="B3" s="339"/>
    </row>
    <row r="4" spans="1:17" s="337" customFormat="1" ht="15.75" customHeight="1" x14ac:dyDescent="0.25">
      <c r="A4" s="241" t="s">
        <v>618</v>
      </c>
      <c r="B4" s="326" t="s">
        <v>42</v>
      </c>
      <c r="C4" s="326"/>
      <c r="D4" s="326"/>
      <c r="E4" s="326"/>
      <c r="F4" s="323" t="s">
        <v>123</v>
      </c>
      <c r="G4" s="323"/>
      <c r="H4" s="323"/>
      <c r="I4" s="323"/>
      <c r="J4" s="323" t="s">
        <v>122</v>
      </c>
      <c r="K4" s="323"/>
      <c r="L4" s="323"/>
      <c r="M4" s="323"/>
    </row>
    <row r="5" spans="1:17" s="337" customFormat="1" ht="15.75" customHeight="1" x14ac:dyDescent="0.25">
      <c r="A5" s="241"/>
      <c r="B5" s="326" t="s">
        <v>534</v>
      </c>
      <c r="C5" s="326"/>
      <c r="D5" s="326" t="s">
        <v>536</v>
      </c>
      <c r="E5" s="326"/>
      <c r="F5" s="326" t="s">
        <v>534</v>
      </c>
      <c r="G5" s="326"/>
      <c r="H5" s="326" t="s">
        <v>536</v>
      </c>
      <c r="I5" s="326"/>
      <c r="J5" s="326" t="s">
        <v>534</v>
      </c>
      <c r="K5" s="326"/>
      <c r="L5" s="326" t="s">
        <v>536</v>
      </c>
      <c r="M5" s="326"/>
    </row>
    <row r="6" spans="1:17" s="24" customFormat="1" ht="15.75" customHeight="1" x14ac:dyDescent="0.2">
      <c r="A6" s="241"/>
      <c r="B6" s="328" t="s">
        <v>621</v>
      </c>
      <c r="C6" s="328" t="s">
        <v>622</v>
      </c>
      <c r="D6" s="328" t="s">
        <v>621</v>
      </c>
      <c r="E6" s="328" t="s">
        <v>622</v>
      </c>
      <c r="F6" s="328" t="s">
        <v>621</v>
      </c>
      <c r="G6" s="328" t="s">
        <v>622</v>
      </c>
      <c r="H6" s="328" t="s">
        <v>621</v>
      </c>
      <c r="I6" s="328" t="s">
        <v>622</v>
      </c>
      <c r="J6" s="328" t="s">
        <v>621</v>
      </c>
      <c r="K6" s="328" t="s">
        <v>622</v>
      </c>
      <c r="L6" s="328" t="s">
        <v>621</v>
      </c>
      <c r="M6" s="328" t="s">
        <v>622</v>
      </c>
    </row>
    <row r="7" spans="1:17" s="2" customFormat="1" ht="10.199999999999999" x14ac:dyDescent="0.2">
      <c r="A7" s="339" t="s">
        <v>3</v>
      </c>
      <c r="B7" s="340">
        <f t="shared" ref="B7:M7" si="0">SUM(B8:B12)</f>
        <v>34029</v>
      </c>
      <c r="C7" s="340">
        <f>SUM(C8:C12)</f>
        <v>252854756662.70001</v>
      </c>
      <c r="D7" s="340">
        <f>SUM(D8:D12)</f>
        <v>6454</v>
      </c>
      <c r="E7" s="340">
        <f>SUM(E8:E12)</f>
        <v>44436219325.141006</v>
      </c>
      <c r="F7" s="340">
        <f t="shared" si="0"/>
        <v>13198</v>
      </c>
      <c r="G7" s="340">
        <f t="shared" si="0"/>
        <v>97346649006</v>
      </c>
      <c r="H7" s="340">
        <f t="shared" si="0"/>
        <v>2627</v>
      </c>
      <c r="I7" s="340">
        <f t="shared" si="0"/>
        <v>18124628166.441002</v>
      </c>
      <c r="J7" s="340">
        <f t="shared" si="0"/>
        <v>20831</v>
      </c>
      <c r="K7" s="340">
        <f t="shared" si="0"/>
        <v>155508107656.70001</v>
      </c>
      <c r="L7" s="340">
        <f t="shared" si="0"/>
        <v>3827</v>
      </c>
      <c r="M7" s="340">
        <f t="shared" si="0"/>
        <v>26311591158.700001</v>
      </c>
    </row>
    <row r="8" spans="1:17" s="2" customFormat="1" ht="10.5" customHeight="1" x14ac:dyDescent="0.2">
      <c r="A8" s="330">
        <v>2009</v>
      </c>
      <c r="B8" s="340">
        <f t="shared" ref="B8:M12" si="1">SUM(B14+B20+B26+B32+B38)</f>
        <v>6333</v>
      </c>
      <c r="C8" s="340">
        <f>SUM(C14+C20+C26+C32+C38)</f>
        <v>45311043831</v>
      </c>
      <c r="D8" s="340">
        <f>SUM(D14+D20+D26+D32+D38)</f>
        <v>1352</v>
      </c>
      <c r="E8" s="340">
        <f>SUM(E14+E20+E26+E32+E38)</f>
        <v>8900142587.441</v>
      </c>
      <c r="F8" s="340">
        <f t="shared" si="1"/>
        <v>2350</v>
      </c>
      <c r="G8" s="340">
        <f t="shared" si="1"/>
        <v>16104428479</v>
      </c>
      <c r="H8" s="340">
        <f t="shared" si="1"/>
        <v>543</v>
      </c>
      <c r="I8" s="340">
        <f t="shared" si="1"/>
        <v>3607659184.441</v>
      </c>
      <c r="J8" s="340">
        <f t="shared" si="1"/>
        <v>3983</v>
      </c>
      <c r="K8" s="340">
        <f t="shared" si="1"/>
        <v>29206615352</v>
      </c>
      <c r="L8" s="340">
        <f t="shared" si="1"/>
        <v>809</v>
      </c>
      <c r="M8" s="340">
        <f t="shared" si="1"/>
        <v>5292483403</v>
      </c>
      <c r="N8" s="341"/>
      <c r="O8" s="341"/>
      <c r="P8" s="340"/>
      <c r="Q8" s="340"/>
    </row>
    <row r="9" spans="1:17" s="2" customFormat="1" ht="10.199999999999999" x14ac:dyDescent="0.2">
      <c r="A9" s="330">
        <v>2010</v>
      </c>
      <c r="B9" s="340">
        <f t="shared" si="1"/>
        <v>5084</v>
      </c>
      <c r="C9" s="340">
        <f t="shared" si="1"/>
        <v>46140168508</v>
      </c>
      <c r="D9" s="340">
        <f t="shared" si="1"/>
        <v>1207</v>
      </c>
      <c r="E9" s="340">
        <f t="shared" si="1"/>
        <v>9115921828</v>
      </c>
      <c r="F9" s="340">
        <f t="shared" si="1"/>
        <v>2025</v>
      </c>
      <c r="G9" s="340">
        <f t="shared" si="1"/>
        <v>16929373777</v>
      </c>
      <c r="H9" s="340">
        <f t="shared" si="1"/>
        <v>490</v>
      </c>
      <c r="I9" s="340">
        <f t="shared" si="1"/>
        <v>3542792350</v>
      </c>
      <c r="J9" s="340">
        <f t="shared" si="1"/>
        <v>3059</v>
      </c>
      <c r="K9" s="340">
        <f t="shared" si="1"/>
        <v>29210794731</v>
      </c>
      <c r="L9" s="340">
        <f t="shared" si="1"/>
        <v>717</v>
      </c>
      <c r="M9" s="340">
        <f t="shared" si="1"/>
        <v>5573129478</v>
      </c>
      <c r="N9" s="341"/>
      <c r="O9" s="341"/>
      <c r="P9" s="340"/>
      <c r="Q9" s="340"/>
    </row>
    <row r="10" spans="1:17" s="2" customFormat="1" ht="10.199999999999999" x14ac:dyDescent="0.2">
      <c r="A10" s="330">
        <v>2011</v>
      </c>
      <c r="B10" s="340">
        <f t="shared" si="1"/>
        <v>5685</v>
      </c>
      <c r="C10" s="340">
        <f t="shared" si="1"/>
        <v>35481802154.699997</v>
      </c>
      <c r="D10" s="340">
        <f t="shared" si="1"/>
        <v>1288</v>
      </c>
      <c r="E10" s="340">
        <f t="shared" si="1"/>
        <v>8268452822.6999998</v>
      </c>
      <c r="F10" s="340">
        <f t="shared" si="1"/>
        <v>2140</v>
      </c>
      <c r="G10" s="340">
        <f t="shared" si="1"/>
        <v>13667571154</v>
      </c>
      <c r="H10" s="340">
        <f t="shared" si="1"/>
        <v>501</v>
      </c>
      <c r="I10" s="340">
        <f t="shared" si="1"/>
        <v>3268874764</v>
      </c>
      <c r="J10" s="340">
        <f t="shared" si="1"/>
        <v>3545</v>
      </c>
      <c r="K10" s="340">
        <f t="shared" si="1"/>
        <v>21814231000.700001</v>
      </c>
      <c r="L10" s="340">
        <f t="shared" si="1"/>
        <v>787</v>
      </c>
      <c r="M10" s="340">
        <f t="shared" si="1"/>
        <v>4999578058.6999998</v>
      </c>
      <c r="N10" s="341"/>
      <c r="O10" s="341"/>
      <c r="P10" s="340"/>
      <c r="Q10" s="340"/>
    </row>
    <row r="11" spans="1:17" s="2" customFormat="1" ht="10.199999999999999" x14ac:dyDescent="0.2">
      <c r="A11" s="330">
        <v>2012</v>
      </c>
      <c r="B11" s="340">
        <f t="shared" si="1"/>
        <v>8806</v>
      </c>
      <c r="C11" s="340">
        <f>SUM(C17+C23+C29+C35+C41)</f>
        <v>63294134262</v>
      </c>
      <c r="D11" s="340">
        <f t="shared" si="1"/>
        <v>1099</v>
      </c>
      <c r="E11" s="340">
        <f t="shared" si="1"/>
        <v>7930653941</v>
      </c>
      <c r="F11" s="340">
        <f t="shared" si="1"/>
        <v>3474</v>
      </c>
      <c r="G11" s="340">
        <f t="shared" si="1"/>
        <v>25460667928</v>
      </c>
      <c r="H11" s="340">
        <f t="shared" si="1"/>
        <v>431</v>
      </c>
      <c r="I11" s="340">
        <f t="shared" si="1"/>
        <v>3285203435</v>
      </c>
      <c r="J11" s="340">
        <f>SUM(J17+J23+J29+J35+J41)</f>
        <v>5332</v>
      </c>
      <c r="K11" s="340">
        <f t="shared" si="1"/>
        <v>37833466334</v>
      </c>
      <c r="L11" s="340">
        <f t="shared" si="1"/>
        <v>668</v>
      </c>
      <c r="M11" s="340">
        <f t="shared" si="1"/>
        <v>4645450506</v>
      </c>
      <c r="N11" s="341"/>
      <c r="O11" s="341"/>
      <c r="P11" s="340"/>
      <c r="Q11" s="340"/>
    </row>
    <row r="12" spans="1:17" s="2" customFormat="1" ht="11.25" customHeight="1" x14ac:dyDescent="0.2">
      <c r="A12" s="330">
        <v>2013</v>
      </c>
      <c r="B12" s="340">
        <f t="shared" si="1"/>
        <v>8121</v>
      </c>
      <c r="C12" s="340">
        <f>SUM(C18+C24+C30+C36+C42)</f>
        <v>62627607907</v>
      </c>
      <c r="D12" s="340">
        <f t="shared" si="1"/>
        <v>1508</v>
      </c>
      <c r="E12" s="340">
        <f t="shared" si="1"/>
        <v>10221048146</v>
      </c>
      <c r="F12" s="340">
        <f t="shared" si="1"/>
        <v>3209</v>
      </c>
      <c r="G12" s="340">
        <f t="shared" si="1"/>
        <v>25184607668</v>
      </c>
      <c r="H12" s="340">
        <f t="shared" si="1"/>
        <v>662</v>
      </c>
      <c r="I12" s="340">
        <f t="shared" si="1"/>
        <v>4420098433</v>
      </c>
      <c r="J12" s="340">
        <f t="shared" si="1"/>
        <v>4912</v>
      </c>
      <c r="K12" s="340">
        <f t="shared" si="1"/>
        <v>37443000239</v>
      </c>
      <c r="L12" s="340">
        <f t="shared" si="1"/>
        <v>846</v>
      </c>
      <c r="M12" s="340">
        <f t="shared" si="1"/>
        <v>5800949713</v>
      </c>
      <c r="N12" s="341"/>
      <c r="O12" s="341"/>
      <c r="P12" s="340"/>
      <c r="Q12" s="340"/>
    </row>
    <row r="13" spans="1:17" s="24" customFormat="1" ht="10.199999999999999" x14ac:dyDescent="0.2">
      <c r="A13" s="321" t="s">
        <v>623</v>
      </c>
      <c r="B13" s="340">
        <f>SUM(B14:B18)</f>
        <v>6502</v>
      </c>
      <c r="C13" s="340">
        <f>SUM(C14:C18)</f>
        <v>76658592466</v>
      </c>
      <c r="D13" s="340">
        <f>SUM(D14:D18)</f>
        <v>1031</v>
      </c>
      <c r="E13" s="340">
        <f>SUM(E14:E18)</f>
        <v>11763632562</v>
      </c>
      <c r="F13" s="340">
        <f t="shared" ref="F13:M13" si="2">SUM(F14:F18)</f>
        <v>3359</v>
      </c>
      <c r="G13" s="340">
        <f t="shared" si="2"/>
        <v>34372610265</v>
      </c>
      <c r="H13" s="340">
        <f t="shared" si="2"/>
        <v>542</v>
      </c>
      <c r="I13" s="340">
        <f t="shared" si="2"/>
        <v>5267424107</v>
      </c>
      <c r="J13" s="340">
        <f t="shared" si="2"/>
        <v>3143</v>
      </c>
      <c r="K13" s="340">
        <f t="shared" si="2"/>
        <v>42285982201</v>
      </c>
      <c r="L13" s="340">
        <f t="shared" si="2"/>
        <v>489</v>
      </c>
      <c r="M13" s="340">
        <f t="shared" si="2"/>
        <v>6496208455</v>
      </c>
    </row>
    <row r="14" spans="1:17" s="2" customFormat="1" ht="10.199999999999999" x14ac:dyDescent="0.2">
      <c r="A14" s="333">
        <v>2009</v>
      </c>
      <c r="B14" s="340">
        <f t="shared" ref="B14:E18" si="3">SUM(F14+J14)</f>
        <v>1167</v>
      </c>
      <c r="C14" s="340">
        <f t="shared" si="3"/>
        <v>11902553717</v>
      </c>
      <c r="D14" s="340">
        <f t="shared" si="3"/>
        <v>222</v>
      </c>
      <c r="E14" s="340">
        <f t="shared" si="3"/>
        <v>2055834495</v>
      </c>
      <c r="F14" s="341">
        <v>609</v>
      </c>
      <c r="G14" s="341">
        <v>5325542649</v>
      </c>
      <c r="H14" s="341">
        <v>136</v>
      </c>
      <c r="I14" s="341">
        <v>1056210954</v>
      </c>
      <c r="J14" s="341">
        <v>558</v>
      </c>
      <c r="K14" s="341">
        <v>6577011068</v>
      </c>
      <c r="L14" s="341">
        <v>86</v>
      </c>
      <c r="M14" s="341">
        <v>999623541</v>
      </c>
      <c r="N14" s="341"/>
      <c r="O14" s="341"/>
      <c r="P14" s="340"/>
      <c r="Q14" s="340"/>
    </row>
    <row r="15" spans="1:17" s="2" customFormat="1" ht="10.199999999999999" x14ac:dyDescent="0.2">
      <c r="A15" s="333">
        <v>2010</v>
      </c>
      <c r="B15" s="340">
        <f t="shared" si="3"/>
        <v>1158</v>
      </c>
      <c r="C15" s="340">
        <f>SUM(G15+K15)</f>
        <v>15615915333</v>
      </c>
      <c r="D15" s="340">
        <f t="shared" si="3"/>
        <v>208</v>
      </c>
      <c r="E15" s="340">
        <f t="shared" si="3"/>
        <v>2386309480</v>
      </c>
      <c r="F15" s="341">
        <v>611</v>
      </c>
      <c r="G15" s="341">
        <v>6876236865</v>
      </c>
      <c r="H15" s="341">
        <v>109</v>
      </c>
      <c r="I15" s="341">
        <v>1015197443</v>
      </c>
      <c r="J15" s="341">
        <v>547</v>
      </c>
      <c r="K15" s="341">
        <v>8739678468</v>
      </c>
      <c r="L15" s="341">
        <v>99</v>
      </c>
      <c r="M15" s="341">
        <v>1371112037</v>
      </c>
      <c r="N15" s="341"/>
      <c r="O15" s="341"/>
      <c r="P15" s="340"/>
      <c r="Q15" s="340"/>
    </row>
    <row r="16" spans="1:17" s="2" customFormat="1" ht="10.199999999999999" x14ac:dyDescent="0.2">
      <c r="A16" s="333">
        <v>2011</v>
      </c>
      <c r="B16" s="340">
        <f t="shared" si="3"/>
        <v>938</v>
      </c>
      <c r="C16" s="340">
        <f t="shared" si="3"/>
        <v>9221265563</v>
      </c>
      <c r="D16" s="340">
        <f t="shared" si="3"/>
        <v>190</v>
      </c>
      <c r="E16" s="340">
        <f t="shared" si="3"/>
        <v>2096373020</v>
      </c>
      <c r="F16" s="341">
        <v>490</v>
      </c>
      <c r="G16" s="341">
        <v>4022399183</v>
      </c>
      <c r="H16" s="341">
        <v>104</v>
      </c>
      <c r="I16" s="341">
        <v>964652622</v>
      </c>
      <c r="J16" s="341">
        <v>448</v>
      </c>
      <c r="K16" s="341">
        <v>5198866380</v>
      </c>
      <c r="L16" s="341">
        <v>86</v>
      </c>
      <c r="M16" s="341">
        <v>1131720398</v>
      </c>
      <c r="N16" s="341"/>
      <c r="O16" s="341"/>
      <c r="P16" s="340"/>
      <c r="Q16" s="340"/>
    </row>
    <row r="17" spans="1:28" s="2" customFormat="1" ht="10.199999999999999" x14ac:dyDescent="0.2">
      <c r="A17" s="333">
        <v>2012</v>
      </c>
      <c r="B17" s="340">
        <f t="shared" si="3"/>
        <v>1587</v>
      </c>
      <c r="C17" s="340">
        <f t="shared" si="3"/>
        <v>21054540767</v>
      </c>
      <c r="D17" s="340">
        <f t="shared" si="3"/>
        <v>154</v>
      </c>
      <c r="E17" s="340">
        <f t="shared" si="3"/>
        <v>2224647267</v>
      </c>
      <c r="F17" s="341">
        <v>826</v>
      </c>
      <c r="G17" s="341">
        <v>9432142880</v>
      </c>
      <c r="H17" s="341">
        <v>71</v>
      </c>
      <c r="I17" s="341">
        <v>1017882854</v>
      </c>
      <c r="J17" s="341">
        <v>761</v>
      </c>
      <c r="K17" s="341">
        <v>11622397887</v>
      </c>
      <c r="L17" s="341">
        <v>83</v>
      </c>
      <c r="M17" s="341">
        <v>1206764413</v>
      </c>
      <c r="N17" s="341"/>
      <c r="O17" s="341"/>
      <c r="P17" s="340"/>
      <c r="Q17" s="340"/>
    </row>
    <row r="18" spans="1:28" s="2" customFormat="1" ht="10.199999999999999" x14ac:dyDescent="0.2">
      <c r="A18" s="333">
        <v>2013</v>
      </c>
      <c r="B18" s="340">
        <f t="shared" si="3"/>
        <v>1652</v>
      </c>
      <c r="C18" s="340">
        <f t="shared" si="3"/>
        <v>18864317086</v>
      </c>
      <c r="D18" s="340">
        <f t="shared" si="3"/>
        <v>257</v>
      </c>
      <c r="E18" s="340">
        <f t="shared" si="3"/>
        <v>3000468300</v>
      </c>
      <c r="F18" s="341">
        <v>823</v>
      </c>
      <c r="G18" s="341">
        <v>8716288688</v>
      </c>
      <c r="H18" s="341">
        <v>122</v>
      </c>
      <c r="I18" s="341">
        <v>1213480234</v>
      </c>
      <c r="J18" s="341">
        <v>829</v>
      </c>
      <c r="K18" s="341">
        <v>10148028398</v>
      </c>
      <c r="L18" s="341">
        <v>135</v>
      </c>
      <c r="M18" s="341">
        <v>1786988066</v>
      </c>
      <c r="N18" s="341"/>
      <c r="O18" s="341"/>
      <c r="P18" s="340"/>
      <c r="Q18" s="340"/>
    </row>
    <row r="19" spans="1:28" s="24" customFormat="1" ht="10.199999999999999" x14ac:dyDescent="0.2">
      <c r="A19" s="321" t="s">
        <v>624</v>
      </c>
      <c r="B19" s="340">
        <f t="shared" ref="B19:M19" si="4">SUM(B20:B24)</f>
        <v>9648</v>
      </c>
      <c r="C19" s="340">
        <f>SUM(C20:C24)</f>
        <v>65739802338</v>
      </c>
      <c r="D19" s="340">
        <f>SUM(D20:D24)</f>
        <v>2269</v>
      </c>
      <c r="E19" s="340">
        <f>SUM(E20:E24)</f>
        <v>14443473407</v>
      </c>
      <c r="F19" s="340">
        <f t="shared" si="4"/>
        <v>4378</v>
      </c>
      <c r="G19" s="340">
        <f t="shared" si="4"/>
        <v>30408066755</v>
      </c>
      <c r="H19" s="340">
        <f t="shared" si="4"/>
        <v>1050</v>
      </c>
      <c r="I19" s="340">
        <f t="shared" si="4"/>
        <v>6903515537</v>
      </c>
      <c r="J19" s="340">
        <f t="shared" si="4"/>
        <v>5270</v>
      </c>
      <c r="K19" s="340">
        <f t="shared" si="4"/>
        <v>35331735583</v>
      </c>
      <c r="L19" s="340">
        <f t="shared" si="4"/>
        <v>1219</v>
      </c>
      <c r="M19" s="340">
        <f t="shared" si="4"/>
        <v>7539957870</v>
      </c>
      <c r="N19" s="340"/>
      <c r="O19" s="340"/>
      <c r="P19" s="340"/>
      <c r="Q19" s="340"/>
    </row>
    <row r="20" spans="1:28" s="2" customFormat="1" ht="10.199999999999999" x14ac:dyDescent="0.2">
      <c r="A20" s="333">
        <v>2009</v>
      </c>
      <c r="B20" s="340">
        <f t="shared" ref="B20:E24" si="5">SUM(F20+J20)</f>
        <v>1571</v>
      </c>
      <c r="C20" s="340">
        <f>SUM(G20+K20)</f>
        <v>10118713064</v>
      </c>
      <c r="D20" s="340">
        <f>SUM(H20+L20)</f>
        <v>415</v>
      </c>
      <c r="E20" s="340">
        <f>SUM(I20+M20)</f>
        <v>2500815839</v>
      </c>
      <c r="F20" s="341">
        <v>738</v>
      </c>
      <c r="G20" s="341">
        <v>4887271105</v>
      </c>
      <c r="H20" s="341">
        <v>181</v>
      </c>
      <c r="I20" s="341">
        <v>1114606857</v>
      </c>
      <c r="J20" s="341">
        <v>833</v>
      </c>
      <c r="K20" s="341">
        <v>5231441959</v>
      </c>
      <c r="L20" s="341">
        <v>234</v>
      </c>
      <c r="M20" s="341">
        <v>1386208982</v>
      </c>
      <c r="N20" s="341"/>
      <c r="O20" s="341"/>
      <c r="P20" s="340"/>
      <c r="Q20" s="340"/>
    </row>
    <row r="21" spans="1:28" s="2" customFormat="1" ht="10.199999999999999" x14ac:dyDescent="0.2">
      <c r="A21" s="333">
        <v>2010</v>
      </c>
      <c r="B21" s="340">
        <f t="shared" si="5"/>
        <v>1664</v>
      </c>
      <c r="C21" s="340">
        <f t="shared" si="5"/>
        <v>11882143805</v>
      </c>
      <c r="D21" s="340">
        <f t="shared" si="5"/>
        <v>401</v>
      </c>
      <c r="E21" s="340">
        <f t="shared" si="5"/>
        <v>2601725891</v>
      </c>
      <c r="F21" s="341">
        <v>722</v>
      </c>
      <c r="G21" s="341">
        <v>5177112435</v>
      </c>
      <c r="H21" s="341">
        <v>178</v>
      </c>
      <c r="I21" s="341">
        <v>1195206988</v>
      </c>
      <c r="J21" s="341">
        <v>942</v>
      </c>
      <c r="K21" s="341">
        <v>6705031370</v>
      </c>
      <c r="L21" s="341">
        <v>223</v>
      </c>
      <c r="M21" s="341">
        <v>1406518903</v>
      </c>
      <c r="N21" s="341"/>
      <c r="O21" s="341"/>
      <c r="P21" s="340"/>
      <c r="Q21" s="340"/>
    </row>
    <row r="22" spans="1:28" s="2" customFormat="1" ht="10.199999999999999" x14ac:dyDescent="0.2">
      <c r="A22" s="333">
        <v>2011</v>
      </c>
      <c r="B22" s="340">
        <f t="shared" si="5"/>
        <v>1460</v>
      </c>
      <c r="C22" s="340">
        <f t="shared" si="5"/>
        <v>9642484434</v>
      </c>
      <c r="D22" s="340">
        <f t="shared" si="5"/>
        <v>446</v>
      </c>
      <c r="E22" s="340">
        <f>SUM(I22+M22)</f>
        <v>2780166391</v>
      </c>
      <c r="F22" s="341">
        <v>639</v>
      </c>
      <c r="G22" s="341">
        <v>4345314203</v>
      </c>
      <c r="H22" s="341">
        <v>208</v>
      </c>
      <c r="I22" s="341">
        <v>1299597035</v>
      </c>
      <c r="J22" s="341">
        <v>821</v>
      </c>
      <c r="K22" s="341">
        <v>5297170231</v>
      </c>
      <c r="L22" s="341">
        <v>238</v>
      </c>
      <c r="M22" s="341">
        <v>1480569356</v>
      </c>
      <c r="N22" s="341"/>
      <c r="O22" s="341"/>
      <c r="P22" s="340"/>
      <c r="Q22" s="340"/>
    </row>
    <row r="23" spans="1:28" s="2" customFormat="1" ht="10.199999999999999" x14ac:dyDescent="0.2">
      <c r="A23" s="333">
        <v>2012</v>
      </c>
      <c r="B23" s="340">
        <f t="shared" si="5"/>
        <v>2613</v>
      </c>
      <c r="C23" s="340">
        <f t="shared" si="5"/>
        <v>17040091976</v>
      </c>
      <c r="D23" s="340">
        <f t="shared" si="5"/>
        <v>435</v>
      </c>
      <c r="E23" s="340">
        <f>SUM(I23+M23)</f>
        <v>2930214260</v>
      </c>
      <c r="F23" s="341">
        <v>1174</v>
      </c>
      <c r="G23" s="341">
        <v>7911332679</v>
      </c>
      <c r="H23" s="341">
        <v>190</v>
      </c>
      <c r="I23" s="341">
        <v>1382869325</v>
      </c>
      <c r="J23" s="341">
        <v>1439</v>
      </c>
      <c r="K23" s="341">
        <v>9128759297</v>
      </c>
      <c r="L23" s="341">
        <v>245</v>
      </c>
      <c r="M23" s="341">
        <v>1547344935</v>
      </c>
      <c r="N23" s="341"/>
      <c r="O23" s="341"/>
      <c r="P23" s="340"/>
      <c r="Q23" s="340"/>
    </row>
    <row r="24" spans="1:28" s="2" customFormat="1" ht="10.199999999999999" x14ac:dyDescent="0.2">
      <c r="A24" s="333">
        <v>2013</v>
      </c>
      <c r="B24" s="340">
        <f t="shared" si="5"/>
        <v>2340</v>
      </c>
      <c r="C24" s="340">
        <f t="shared" si="5"/>
        <v>17056369059</v>
      </c>
      <c r="D24" s="340">
        <f t="shared" si="5"/>
        <v>572</v>
      </c>
      <c r="E24" s="340">
        <f>SUM(I24+M24)</f>
        <v>3630551026</v>
      </c>
      <c r="F24" s="341">
        <v>1105</v>
      </c>
      <c r="G24" s="341">
        <v>8087036333</v>
      </c>
      <c r="H24" s="341">
        <v>293</v>
      </c>
      <c r="I24" s="341">
        <v>1911235332</v>
      </c>
      <c r="J24" s="341">
        <v>1235</v>
      </c>
      <c r="K24" s="341">
        <v>8969332726</v>
      </c>
      <c r="L24" s="341">
        <v>279</v>
      </c>
      <c r="M24" s="341">
        <v>1719315694</v>
      </c>
      <c r="N24" s="341"/>
      <c r="O24" s="341"/>
      <c r="P24" s="340"/>
      <c r="Q24" s="340"/>
    </row>
    <row r="25" spans="1:28" s="24" customFormat="1" ht="10.199999999999999" x14ac:dyDescent="0.2">
      <c r="A25" s="321" t="s">
        <v>625</v>
      </c>
      <c r="B25" s="340">
        <f t="shared" ref="B25:M25" si="6">SUM(B26:B30)</f>
        <v>8105</v>
      </c>
      <c r="C25" s="340">
        <f>SUM(C26:C30)</f>
        <v>38719010809</v>
      </c>
      <c r="D25" s="340">
        <f>SUM(D26:D30)</f>
        <v>1312</v>
      </c>
      <c r="E25" s="340">
        <f>SUM(E26:E30)</f>
        <v>6449736367</v>
      </c>
      <c r="F25" s="340">
        <f t="shared" si="6"/>
        <v>3068</v>
      </c>
      <c r="G25" s="340">
        <f t="shared" si="6"/>
        <v>15647308655</v>
      </c>
      <c r="H25" s="340">
        <f t="shared" si="6"/>
        <v>546</v>
      </c>
      <c r="I25" s="340">
        <f t="shared" si="6"/>
        <v>2734031613</v>
      </c>
      <c r="J25" s="340">
        <f t="shared" si="6"/>
        <v>5037</v>
      </c>
      <c r="K25" s="340">
        <f t="shared" si="6"/>
        <v>23071702154</v>
      </c>
      <c r="L25" s="340">
        <f t="shared" si="6"/>
        <v>766</v>
      </c>
      <c r="M25" s="340">
        <f t="shared" si="6"/>
        <v>3715704754</v>
      </c>
      <c r="N25" s="340"/>
      <c r="O25" s="340"/>
      <c r="P25" s="340"/>
      <c r="Q25" s="340"/>
      <c r="R25" s="342"/>
      <c r="S25" s="342"/>
      <c r="T25" s="342"/>
      <c r="U25" s="342"/>
      <c r="V25" s="342"/>
      <c r="W25" s="342"/>
      <c r="X25" s="342"/>
      <c r="Y25" s="342"/>
      <c r="Z25" s="342"/>
      <c r="AA25" s="342"/>
      <c r="AB25" s="342"/>
    </row>
    <row r="26" spans="1:28" s="2" customFormat="1" ht="10.199999999999999" x14ac:dyDescent="0.2">
      <c r="A26" s="333">
        <v>2009</v>
      </c>
      <c r="B26" s="340">
        <f t="shared" ref="B26:E30" si="7">SUM(F26+J26)</f>
        <v>1474</v>
      </c>
      <c r="C26" s="340">
        <f t="shared" si="7"/>
        <v>6530090407</v>
      </c>
      <c r="D26" s="340">
        <f t="shared" si="7"/>
        <v>291</v>
      </c>
      <c r="E26" s="340">
        <f t="shared" si="7"/>
        <v>1434405867</v>
      </c>
      <c r="F26" s="341">
        <v>506</v>
      </c>
      <c r="G26" s="341">
        <v>2333030378</v>
      </c>
      <c r="H26" s="341">
        <v>113</v>
      </c>
      <c r="I26" s="341">
        <v>552534125</v>
      </c>
      <c r="J26" s="341">
        <v>968</v>
      </c>
      <c r="K26" s="341">
        <v>4197060029</v>
      </c>
      <c r="L26" s="341">
        <v>178</v>
      </c>
      <c r="M26" s="341">
        <v>881871742</v>
      </c>
      <c r="N26" s="341"/>
      <c r="O26" s="341"/>
      <c r="P26" s="340"/>
      <c r="Q26" s="340"/>
    </row>
    <row r="27" spans="1:28" s="2" customFormat="1" ht="12" x14ac:dyDescent="0.2">
      <c r="A27" s="343" t="s">
        <v>627</v>
      </c>
      <c r="B27" s="340">
        <f t="shared" si="7"/>
        <v>835</v>
      </c>
      <c r="C27" s="340">
        <f t="shared" si="7"/>
        <v>5781928430</v>
      </c>
      <c r="D27" s="340">
        <f t="shared" si="7"/>
        <v>212</v>
      </c>
      <c r="E27" s="340">
        <f t="shared" si="7"/>
        <v>1401871126</v>
      </c>
      <c r="F27" s="341">
        <v>348</v>
      </c>
      <c r="G27" s="341">
        <v>2367547658</v>
      </c>
      <c r="H27" s="341">
        <v>105</v>
      </c>
      <c r="I27" s="341">
        <v>694214578</v>
      </c>
      <c r="J27" s="341">
        <v>487</v>
      </c>
      <c r="K27" s="341">
        <v>3414380772</v>
      </c>
      <c r="L27" s="341">
        <v>107</v>
      </c>
      <c r="M27" s="341">
        <v>707656548</v>
      </c>
      <c r="N27" s="341"/>
      <c r="O27" s="341"/>
      <c r="P27" s="340"/>
      <c r="Q27" s="340"/>
    </row>
    <row r="28" spans="1:28" s="2" customFormat="1" ht="10.199999999999999" x14ac:dyDescent="0.2">
      <c r="A28" s="333">
        <v>2011</v>
      </c>
      <c r="B28" s="340">
        <f t="shared" si="7"/>
        <v>1767</v>
      </c>
      <c r="C28" s="340">
        <f t="shared" si="7"/>
        <v>8039673887</v>
      </c>
      <c r="D28" s="340">
        <f t="shared" si="7"/>
        <v>315</v>
      </c>
      <c r="E28" s="340">
        <f t="shared" si="7"/>
        <v>1589602127</v>
      </c>
      <c r="F28" s="341">
        <v>650</v>
      </c>
      <c r="G28" s="341">
        <v>3258280361</v>
      </c>
      <c r="H28" s="341">
        <v>110</v>
      </c>
      <c r="I28" s="341">
        <v>576730477</v>
      </c>
      <c r="J28" s="341">
        <v>1117</v>
      </c>
      <c r="K28" s="341">
        <v>4781393526</v>
      </c>
      <c r="L28" s="341">
        <v>205</v>
      </c>
      <c r="M28" s="341">
        <v>1012871650</v>
      </c>
      <c r="N28" s="341"/>
      <c r="O28" s="341"/>
      <c r="P28" s="340"/>
      <c r="Q28" s="340"/>
    </row>
    <row r="29" spans="1:28" s="2" customFormat="1" ht="10.199999999999999" x14ac:dyDescent="0.2">
      <c r="A29" s="333">
        <v>2012</v>
      </c>
      <c r="B29" s="340">
        <f t="shared" si="7"/>
        <v>2248</v>
      </c>
      <c r="C29" s="340">
        <f t="shared" si="7"/>
        <v>10306171280</v>
      </c>
      <c r="D29" s="340">
        <f t="shared" si="7"/>
        <v>200</v>
      </c>
      <c r="E29" s="340">
        <f t="shared" si="7"/>
        <v>826930848</v>
      </c>
      <c r="F29" s="341">
        <v>863</v>
      </c>
      <c r="G29" s="341">
        <v>4176515925</v>
      </c>
      <c r="H29" s="341">
        <v>75</v>
      </c>
      <c r="I29" s="341">
        <v>300914608</v>
      </c>
      <c r="J29" s="341">
        <v>1385</v>
      </c>
      <c r="K29" s="341">
        <v>6129655355</v>
      </c>
      <c r="L29" s="341">
        <v>125</v>
      </c>
      <c r="M29" s="341">
        <v>526016240</v>
      </c>
      <c r="N29" s="341"/>
      <c r="O29" s="341"/>
      <c r="P29" s="340"/>
      <c r="Q29" s="340"/>
    </row>
    <row r="30" spans="1:28" s="2" customFormat="1" ht="10.199999999999999" x14ac:dyDescent="0.2">
      <c r="A30" s="333">
        <v>2013</v>
      </c>
      <c r="B30" s="340">
        <f t="shared" si="7"/>
        <v>1781</v>
      </c>
      <c r="C30" s="340">
        <f t="shared" si="7"/>
        <v>8061146805</v>
      </c>
      <c r="D30" s="340">
        <f t="shared" si="7"/>
        <v>294</v>
      </c>
      <c r="E30" s="340">
        <f t="shared" si="7"/>
        <v>1196926399</v>
      </c>
      <c r="F30" s="341">
        <v>701</v>
      </c>
      <c r="G30" s="341">
        <v>3511934333</v>
      </c>
      <c r="H30" s="341">
        <v>143</v>
      </c>
      <c r="I30" s="341">
        <v>609637825</v>
      </c>
      <c r="J30" s="341">
        <v>1080</v>
      </c>
      <c r="K30" s="341">
        <v>4549212472</v>
      </c>
      <c r="L30" s="341">
        <v>151</v>
      </c>
      <c r="M30" s="341">
        <v>587288574</v>
      </c>
      <c r="N30" s="341"/>
      <c r="O30" s="341"/>
      <c r="P30" s="340"/>
      <c r="Q30" s="340"/>
    </row>
    <row r="31" spans="1:28" s="24" customFormat="1" ht="10.199999999999999" x14ac:dyDescent="0.2">
      <c r="A31" s="321" t="s">
        <v>626</v>
      </c>
      <c r="B31" s="340">
        <f t="shared" ref="B31:M31" si="8">SUM(B32:B36)</f>
        <v>5826</v>
      </c>
      <c r="C31" s="340">
        <f>SUM(C32:C36)</f>
        <v>33655494510.700001</v>
      </c>
      <c r="D31" s="340">
        <f>SUM(D32:D36)</f>
        <v>1257</v>
      </c>
      <c r="E31" s="340">
        <f>SUM(E32:E36)</f>
        <v>6100467202.6999998</v>
      </c>
      <c r="F31" s="340">
        <f t="shared" si="8"/>
        <v>1263</v>
      </c>
      <c r="G31" s="340">
        <f t="shared" si="8"/>
        <v>7133348677</v>
      </c>
      <c r="H31" s="340">
        <f t="shared" si="8"/>
        <v>296</v>
      </c>
      <c r="I31" s="340">
        <f t="shared" si="8"/>
        <v>1436123962</v>
      </c>
      <c r="J31" s="340">
        <f t="shared" si="8"/>
        <v>4563</v>
      </c>
      <c r="K31" s="340">
        <f t="shared" si="8"/>
        <v>26522145833.700001</v>
      </c>
      <c r="L31" s="340">
        <f t="shared" si="8"/>
        <v>961</v>
      </c>
      <c r="M31" s="340">
        <f t="shared" si="8"/>
        <v>4664343240.6999998</v>
      </c>
      <c r="N31" s="340"/>
      <c r="O31" s="340"/>
      <c r="P31" s="340"/>
      <c r="Q31" s="340"/>
      <c r="R31" s="340"/>
    </row>
    <row r="32" spans="1:28" s="2" customFormat="1" ht="10.199999999999999" x14ac:dyDescent="0.2">
      <c r="A32" s="333">
        <v>2009</v>
      </c>
      <c r="B32" s="340">
        <f t="shared" ref="B32:E36" si="9">SUM(F32+J32)</f>
        <v>1219</v>
      </c>
      <c r="C32" s="340">
        <f t="shared" si="9"/>
        <v>7397148313</v>
      </c>
      <c r="D32" s="340">
        <f t="shared" si="9"/>
        <v>291</v>
      </c>
      <c r="E32" s="340">
        <f t="shared" si="9"/>
        <v>1597057279</v>
      </c>
      <c r="F32" s="341">
        <v>260</v>
      </c>
      <c r="G32" s="341">
        <v>1356923107</v>
      </c>
      <c r="H32" s="341">
        <v>64</v>
      </c>
      <c r="I32" s="341">
        <v>364184348</v>
      </c>
      <c r="J32" s="341">
        <v>959</v>
      </c>
      <c r="K32" s="341">
        <v>6040225206</v>
      </c>
      <c r="L32" s="341">
        <v>227</v>
      </c>
      <c r="M32" s="341">
        <v>1232872931</v>
      </c>
      <c r="N32" s="341"/>
      <c r="O32" s="341"/>
      <c r="P32" s="340"/>
      <c r="Q32" s="340"/>
    </row>
    <row r="33" spans="1:18" s="2" customFormat="1" ht="10.199999999999999" x14ac:dyDescent="0.2">
      <c r="A33" s="333">
        <v>2010</v>
      </c>
      <c r="B33" s="340">
        <f t="shared" si="9"/>
        <v>776</v>
      </c>
      <c r="C33" s="340">
        <f t="shared" si="9"/>
        <v>3908876194</v>
      </c>
      <c r="D33" s="340">
        <f t="shared" si="9"/>
        <v>227</v>
      </c>
      <c r="E33" s="340">
        <f t="shared" si="9"/>
        <v>856509774</v>
      </c>
      <c r="F33" s="341">
        <v>182</v>
      </c>
      <c r="G33" s="341">
        <v>942013386</v>
      </c>
      <c r="H33" s="341">
        <v>53</v>
      </c>
      <c r="I33" s="341">
        <v>195020522</v>
      </c>
      <c r="J33" s="341">
        <v>594</v>
      </c>
      <c r="K33" s="341">
        <v>2966862808</v>
      </c>
      <c r="L33" s="341">
        <v>174</v>
      </c>
      <c r="M33" s="341">
        <v>661489252</v>
      </c>
      <c r="N33" s="341"/>
      <c r="O33" s="341"/>
      <c r="P33" s="340"/>
      <c r="Q33" s="340"/>
    </row>
    <row r="34" spans="1:18" s="2" customFormat="1" ht="10.199999999999999" x14ac:dyDescent="0.2">
      <c r="A34" s="333">
        <v>2011</v>
      </c>
      <c r="B34" s="340">
        <f t="shared" si="9"/>
        <v>1000</v>
      </c>
      <c r="C34" s="340">
        <f t="shared" si="9"/>
        <v>4681501685.6999998</v>
      </c>
      <c r="D34" s="340">
        <f t="shared" si="9"/>
        <v>231</v>
      </c>
      <c r="E34" s="340">
        <f t="shared" si="9"/>
        <v>1050907860.7</v>
      </c>
      <c r="F34" s="341">
        <v>197</v>
      </c>
      <c r="G34" s="341">
        <v>949706258</v>
      </c>
      <c r="H34" s="341">
        <v>47</v>
      </c>
      <c r="I34" s="341">
        <v>200284343</v>
      </c>
      <c r="J34" s="341">
        <v>803</v>
      </c>
      <c r="K34" s="341">
        <v>3731795427.6999998</v>
      </c>
      <c r="L34" s="341">
        <v>184</v>
      </c>
      <c r="M34" s="341">
        <v>850623517.70000005</v>
      </c>
      <c r="N34" s="341"/>
      <c r="O34" s="341"/>
      <c r="P34" s="340"/>
      <c r="Q34" s="340"/>
    </row>
    <row r="35" spans="1:18" s="2" customFormat="1" ht="10.199999999999999" x14ac:dyDescent="0.2">
      <c r="A35" s="333">
        <v>2012</v>
      </c>
      <c r="B35" s="340">
        <f t="shared" si="9"/>
        <v>1385</v>
      </c>
      <c r="C35" s="340">
        <f t="shared" si="9"/>
        <v>8227521959</v>
      </c>
      <c r="D35" s="340">
        <f t="shared" si="9"/>
        <v>239</v>
      </c>
      <c r="E35" s="340">
        <f t="shared" si="9"/>
        <v>1210872308</v>
      </c>
      <c r="F35" s="341">
        <v>313</v>
      </c>
      <c r="G35" s="341">
        <v>1841943624</v>
      </c>
      <c r="H35" s="341">
        <v>67</v>
      </c>
      <c r="I35" s="341">
        <v>331056343</v>
      </c>
      <c r="J35" s="341">
        <v>1072</v>
      </c>
      <c r="K35" s="341">
        <v>6385578335</v>
      </c>
      <c r="L35" s="341">
        <v>172</v>
      </c>
      <c r="M35" s="341">
        <v>879815965</v>
      </c>
      <c r="N35" s="341"/>
      <c r="O35" s="341"/>
      <c r="P35" s="340"/>
      <c r="Q35" s="340"/>
    </row>
    <row r="36" spans="1:18" s="2" customFormat="1" ht="10.199999999999999" x14ac:dyDescent="0.2">
      <c r="A36" s="333">
        <v>2013</v>
      </c>
      <c r="B36" s="340">
        <f t="shared" si="9"/>
        <v>1446</v>
      </c>
      <c r="C36" s="340">
        <f t="shared" si="9"/>
        <v>9440446359</v>
      </c>
      <c r="D36" s="340">
        <f t="shared" si="9"/>
        <v>269</v>
      </c>
      <c r="E36" s="340">
        <f t="shared" si="9"/>
        <v>1385119981</v>
      </c>
      <c r="F36" s="341">
        <v>311</v>
      </c>
      <c r="G36" s="341">
        <v>2042762302</v>
      </c>
      <c r="H36" s="341">
        <v>65</v>
      </c>
      <c r="I36" s="341">
        <v>345578406</v>
      </c>
      <c r="J36" s="341">
        <v>1135</v>
      </c>
      <c r="K36" s="341">
        <v>7397684057</v>
      </c>
      <c r="L36" s="341">
        <v>204</v>
      </c>
      <c r="M36" s="341">
        <v>1039541575</v>
      </c>
      <c r="N36" s="341"/>
      <c r="O36" s="341"/>
      <c r="P36" s="340"/>
      <c r="Q36" s="340"/>
    </row>
    <row r="37" spans="1:18" s="24" customFormat="1" ht="10.199999999999999" x14ac:dyDescent="0.2">
      <c r="A37" s="321" t="s">
        <v>544</v>
      </c>
      <c r="B37" s="340">
        <f>SUM(B38:B42)</f>
        <v>3948</v>
      </c>
      <c r="C37" s="340">
        <f>SUM(C38:C42)</f>
        <v>38081856539</v>
      </c>
      <c r="D37" s="340">
        <f>SUM(D38:D42)</f>
        <v>585</v>
      </c>
      <c r="E37" s="340">
        <f>SUM(E38:E42)</f>
        <v>5678909786.441</v>
      </c>
      <c r="F37" s="340">
        <f t="shared" ref="F37:M37" si="10">SUM(F38:F42)</f>
        <v>1130</v>
      </c>
      <c r="G37" s="340">
        <f t="shared" si="10"/>
        <v>9785314654</v>
      </c>
      <c r="H37" s="340">
        <f t="shared" si="10"/>
        <v>193</v>
      </c>
      <c r="I37" s="340">
        <f t="shared" si="10"/>
        <v>1783532947.441</v>
      </c>
      <c r="J37" s="340">
        <f t="shared" si="10"/>
        <v>2818</v>
      </c>
      <c r="K37" s="340">
        <f t="shared" si="10"/>
        <v>28296541885</v>
      </c>
      <c r="L37" s="340">
        <f t="shared" si="10"/>
        <v>392</v>
      </c>
      <c r="M37" s="340">
        <f t="shared" si="10"/>
        <v>3895376839</v>
      </c>
      <c r="N37" s="340"/>
      <c r="O37" s="340"/>
      <c r="P37" s="340"/>
      <c r="Q37" s="340"/>
      <c r="R37" s="340"/>
    </row>
    <row r="38" spans="1:18" s="2" customFormat="1" ht="10.199999999999999" x14ac:dyDescent="0.2">
      <c r="A38" s="333">
        <v>2009</v>
      </c>
      <c r="B38" s="340">
        <f t="shared" ref="B38:E42" si="11">SUM(F38+J38)</f>
        <v>902</v>
      </c>
      <c r="C38" s="340">
        <f t="shared" si="11"/>
        <v>9362538330</v>
      </c>
      <c r="D38" s="340">
        <f t="shared" si="11"/>
        <v>133</v>
      </c>
      <c r="E38" s="340">
        <f t="shared" si="11"/>
        <v>1312029107.441</v>
      </c>
      <c r="F38" s="341">
        <v>237</v>
      </c>
      <c r="G38" s="341">
        <v>2201661240</v>
      </c>
      <c r="H38" s="341">
        <v>49</v>
      </c>
      <c r="I38" s="341">
        <v>520122900.44099998</v>
      </c>
      <c r="J38" s="341">
        <v>665</v>
      </c>
      <c r="K38" s="341">
        <v>7160877090</v>
      </c>
      <c r="L38" s="341">
        <v>84</v>
      </c>
      <c r="M38" s="341">
        <v>791906207</v>
      </c>
      <c r="N38" s="341"/>
      <c r="O38" s="341"/>
      <c r="P38" s="340"/>
      <c r="Q38" s="340"/>
    </row>
    <row r="39" spans="1:18" s="2" customFormat="1" ht="12" x14ac:dyDescent="0.2">
      <c r="A39" s="343" t="s">
        <v>627</v>
      </c>
      <c r="B39" s="340">
        <f t="shared" si="11"/>
        <v>651</v>
      </c>
      <c r="C39" s="340">
        <f t="shared" si="11"/>
        <v>8951304746</v>
      </c>
      <c r="D39" s="340">
        <f t="shared" si="11"/>
        <v>159</v>
      </c>
      <c r="E39" s="340">
        <f t="shared" si="11"/>
        <v>1869505557</v>
      </c>
      <c r="F39" s="341">
        <v>162</v>
      </c>
      <c r="G39" s="341">
        <v>1566463433</v>
      </c>
      <c r="H39" s="341">
        <v>45</v>
      </c>
      <c r="I39" s="341">
        <v>443152819</v>
      </c>
      <c r="J39" s="341">
        <v>489</v>
      </c>
      <c r="K39" s="341">
        <v>7384841313</v>
      </c>
      <c r="L39" s="341">
        <v>114</v>
      </c>
      <c r="M39" s="341">
        <v>1426352738</v>
      </c>
      <c r="N39" s="341"/>
      <c r="O39" s="341"/>
      <c r="P39" s="340"/>
      <c r="Q39" s="340"/>
    </row>
    <row r="40" spans="1:18" s="2" customFormat="1" ht="10.199999999999999" x14ac:dyDescent="0.2">
      <c r="A40" s="333">
        <v>2011</v>
      </c>
      <c r="B40" s="340">
        <f t="shared" si="11"/>
        <v>520</v>
      </c>
      <c r="C40" s="340">
        <f t="shared" si="11"/>
        <v>3896876585</v>
      </c>
      <c r="D40" s="340">
        <f t="shared" si="11"/>
        <v>106</v>
      </c>
      <c r="E40" s="340">
        <f t="shared" si="11"/>
        <v>751403424</v>
      </c>
      <c r="F40" s="341">
        <v>164</v>
      </c>
      <c r="G40" s="341">
        <v>1091871149</v>
      </c>
      <c r="H40" s="341">
        <v>32</v>
      </c>
      <c r="I40" s="341">
        <v>227610287</v>
      </c>
      <c r="J40" s="341">
        <v>356</v>
      </c>
      <c r="K40" s="341">
        <v>2805005436</v>
      </c>
      <c r="L40" s="341">
        <v>74</v>
      </c>
      <c r="M40" s="341">
        <v>523793137</v>
      </c>
      <c r="N40" s="341"/>
      <c r="O40" s="341"/>
      <c r="P40" s="340"/>
      <c r="Q40" s="340"/>
    </row>
    <row r="41" spans="1:18" s="2" customFormat="1" ht="10.199999999999999" x14ac:dyDescent="0.2">
      <c r="A41" s="333">
        <v>2012</v>
      </c>
      <c r="B41" s="340">
        <f t="shared" si="11"/>
        <v>973</v>
      </c>
      <c r="C41" s="340">
        <f t="shared" si="11"/>
        <v>6665808280</v>
      </c>
      <c r="D41" s="340">
        <f t="shared" si="11"/>
        <v>71</v>
      </c>
      <c r="E41" s="340">
        <f t="shared" si="11"/>
        <v>737989258</v>
      </c>
      <c r="F41" s="341">
        <v>298</v>
      </c>
      <c r="G41" s="341">
        <v>2098732820</v>
      </c>
      <c r="H41" s="341">
        <v>28</v>
      </c>
      <c r="I41" s="341">
        <v>252480305</v>
      </c>
      <c r="J41" s="341">
        <v>675</v>
      </c>
      <c r="K41" s="341">
        <v>4567075460</v>
      </c>
      <c r="L41" s="341">
        <v>43</v>
      </c>
      <c r="M41" s="341">
        <v>485508953</v>
      </c>
      <c r="N41" s="341"/>
      <c r="O41" s="341"/>
      <c r="P41" s="340"/>
      <c r="Q41" s="340"/>
    </row>
    <row r="42" spans="1:18" s="2" customFormat="1" ht="10.199999999999999" x14ac:dyDescent="0.2">
      <c r="A42" s="333">
        <v>2013</v>
      </c>
      <c r="B42" s="340">
        <f t="shared" si="11"/>
        <v>902</v>
      </c>
      <c r="C42" s="340">
        <f t="shared" si="11"/>
        <v>9205328598</v>
      </c>
      <c r="D42" s="340">
        <f t="shared" si="11"/>
        <v>116</v>
      </c>
      <c r="E42" s="340">
        <f t="shared" si="11"/>
        <v>1007982440</v>
      </c>
      <c r="F42" s="341">
        <v>269</v>
      </c>
      <c r="G42" s="341">
        <v>2826586012</v>
      </c>
      <c r="H42" s="341">
        <v>39</v>
      </c>
      <c r="I42" s="341">
        <v>340166636</v>
      </c>
      <c r="J42" s="341">
        <v>633</v>
      </c>
      <c r="K42" s="341">
        <v>6378742586</v>
      </c>
      <c r="L42" s="341">
        <v>77</v>
      </c>
      <c r="M42" s="341">
        <v>667815804</v>
      </c>
      <c r="N42" s="341"/>
      <c r="O42" s="341"/>
      <c r="P42" s="340"/>
      <c r="Q42" s="340"/>
    </row>
    <row r="43" spans="1:18" s="2" customFormat="1" ht="10.199999999999999" x14ac:dyDescent="0.2">
      <c r="A43" s="344"/>
      <c r="B43" s="340"/>
      <c r="C43" s="340"/>
      <c r="D43" s="340"/>
      <c r="E43" s="340"/>
      <c r="F43" s="340"/>
      <c r="G43" s="340"/>
      <c r="H43" s="340"/>
      <c r="I43" s="340"/>
      <c r="J43" s="340"/>
      <c r="K43" s="340"/>
      <c r="L43" s="340"/>
      <c r="M43" s="340"/>
    </row>
    <row r="44" spans="1:18" s="2" customFormat="1" ht="10.5" customHeight="1" x14ac:dyDescent="0.2">
      <c r="A44" s="345" t="s">
        <v>628</v>
      </c>
      <c r="B44" s="341"/>
      <c r="C44" s="341"/>
      <c r="D44" s="341"/>
      <c r="E44" s="341"/>
      <c r="F44" s="341"/>
      <c r="G44" s="341"/>
      <c r="H44" s="341"/>
      <c r="I44" s="341"/>
      <c r="J44" s="341"/>
      <c r="K44" s="341"/>
      <c r="L44" s="340"/>
      <c r="M44" s="340"/>
    </row>
    <row r="45" spans="1:18" s="2" customFormat="1" ht="10.199999999999999" x14ac:dyDescent="0.2">
      <c r="A45" s="235" t="s">
        <v>546</v>
      </c>
      <c r="B45" s="339"/>
    </row>
    <row r="46" spans="1:18" s="2" customFormat="1" ht="10.199999999999999" x14ac:dyDescent="0.2">
      <c r="A46" s="235"/>
      <c r="B46" s="339"/>
    </row>
  </sheetData>
  <mergeCells count="10">
    <mergeCell ref="A4:A6"/>
    <mergeCell ref="B4:E4"/>
    <mergeCell ref="F4:I4"/>
    <mergeCell ref="J4:M4"/>
    <mergeCell ref="B5:C5"/>
    <mergeCell ref="D5:E5"/>
    <mergeCell ref="F5:G5"/>
    <mergeCell ref="H5:I5"/>
    <mergeCell ref="J5:K5"/>
    <mergeCell ref="L5:M5"/>
  </mergeCells>
  <pageMargins left="0.70866141732283472" right="0.70866141732283472" top="0.74803149606299213" bottom="0.74803149606299213" header="0.31496062992125984" footer="0.31496062992125984"/>
  <pageSetup paperSize="14" scale="75"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DECE9-2755-4E53-9591-60A18631C8F0}">
  <sheetPr codeName="Hoja36">
    <tabColor theme="8"/>
  </sheetPr>
  <dimension ref="A2:A8"/>
  <sheetViews>
    <sheetView workbookViewId="0">
      <selection activeCell="A8" sqref="A8"/>
    </sheetView>
  </sheetViews>
  <sheetFormatPr baseColWidth="10" defaultColWidth="11.44140625" defaultRowHeight="10.199999999999999" x14ac:dyDescent="0.2"/>
  <cols>
    <col min="1" max="16384" width="11.44140625" style="62"/>
  </cols>
  <sheetData>
    <row r="2" spans="1:1" x14ac:dyDescent="0.2">
      <c r="A2" s="63" t="s">
        <v>629</v>
      </c>
    </row>
    <row r="4" spans="1:1" x14ac:dyDescent="0.2">
      <c r="A4" s="182" t="s">
        <v>630</v>
      </c>
    </row>
    <row r="5" spans="1:1" x14ac:dyDescent="0.2">
      <c r="A5" s="182" t="s">
        <v>631</v>
      </c>
    </row>
    <row r="6" spans="1:1" x14ac:dyDescent="0.2">
      <c r="A6" s="182" t="s">
        <v>632</v>
      </c>
    </row>
    <row r="7" spans="1:1" x14ac:dyDescent="0.2">
      <c r="A7" s="182" t="s">
        <v>633</v>
      </c>
    </row>
    <row r="8" spans="1:1" x14ac:dyDescent="0.2">
      <c r="A8" s="182" t="s">
        <v>634</v>
      </c>
    </row>
  </sheetData>
  <hyperlinks>
    <hyperlink ref="A4" location="'2.6-01'!A1" display="CUADRO 2.6-01: PRESUPUESTO PÚBLICO DESTINADO A CULTURA Y TIEMPO LIBRE, SEGÚN INSTITUCIONES CULTURALES. 2013./1" xr:uid="{832A6D8F-2C27-476D-953A-7DA67E1C197F}"/>
    <hyperlink ref="A5" location="'2.6-02'!A1" display="CUADRO 2.6-02: PRESUPUESTO PÚBLICO DESTINADO A CULTURA Y TIEMPO LIBRE, SEGÚN INSTITUCIONES AFINES A LA CULTURA. 2013/1" xr:uid="{CF4BC18C-9837-4B24-8D96-CB834620EDE9}"/>
    <hyperlink ref="A6" location="'2.6-03'!A1" display="CUADRO 2.6-03: PRESUPUESTO PÚBLICO DESTINADO A CULTURA Y TIEMPO LIBRE, SEGÚN INSTITUCIONES CON PROGRAMAS CULTURALES. 2013/1" xr:uid="{ED13DCC3-2EC7-4403-A3D8-33669945E1EB}"/>
    <hyperlink ref="A7" location="'2.6-04'!A1" display="CUADRO 2.6-04: PRESUPUESTO PÚBLICO EJECUTADO DESTINADO A CULTURA Y TIEMPO LIBRE, SEGÚN INSTITUCIONES CON PROGRAMAS CULTURALES. 2013" xr:uid="{6A003BAB-8599-421B-B677-A52EC5317536}"/>
    <hyperlink ref="A8" location="'2.6-05'!A1" display="CUADRO 2.6-05: DISTRIBUCIÓN PORCENTUAL DEL PRESUPUESTO DESTINADO A CULTURA Y TIEMPO LIBRE, SEGÚN INSTITUCIONES CULTURALES, AFINES A LA CULTURA Y PROGRAMAS CULTURALES. 2013" xr:uid="{005AF5E8-8681-4091-B70F-6E111ABFFB10}"/>
  </hyperlinks>
  <pageMargins left="0.7" right="0.7" top="0.75" bottom="0.75" header="0.3" footer="0.3"/>
  <pageSetup paperSize="14"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D50F39-7A5D-4BF0-AE10-9A38089FD717}">
  <sheetPr codeName="Hoja37"/>
  <dimension ref="A1:E64"/>
  <sheetViews>
    <sheetView workbookViewId="0"/>
  </sheetViews>
  <sheetFormatPr baseColWidth="10" defaultColWidth="11.44140625" defaultRowHeight="13.2" x14ac:dyDescent="0.25"/>
  <cols>
    <col min="1" max="1" width="24.44140625" style="79" customWidth="1"/>
    <col min="2" max="2" width="71.6640625" style="79" customWidth="1"/>
    <col min="3" max="3" width="26.5546875" style="79" customWidth="1"/>
    <col min="4" max="16384" width="11.44140625" style="79"/>
  </cols>
  <sheetData>
    <row r="1" spans="1:5" s="347" customFormat="1" x14ac:dyDescent="0.25">
      <c r="A1" s="346" t="s">
        <v>629</v>
      </c>
    </row>
    <row r="2" spans="1:5" s="347" customFormat="1" x14ac:dyDescent="0.25"/>
    <row r="3" spans="1:5" s="347" customFormat="1" x14ac:dyDescent="0.25">
      <c r="A3" s="348" t="s">
        <v>635</v>
      </c>
      <c r="B3" s="349"/>
    </row>
    <row r="4" spans="1:5" s="347" customFormat="1" x14ac:dyDescent="0.25">
      <c r="A4" s="350"/>
      <c r="B4" s="351"/>
      <c r="C4" s="352"/>
    </row>
    <row r="5" spans="1:5" s="347" customFormat="1" x14ac:dyDescent="0.25">
      <c r="A5" s="353" t="s">
        <v>636</v>
      </c>
      <c r="B5" s="353"/>
      <c r="C5" s="354" t="s">
        <v>637</v>
      </c>
    </row>
    <row r="6" spans="1:5" s="347" customFormat="1" x14ac:dyDescent="0.25">
      <c r="A6" s="355" t="s">
        <v>638</v>
      </c>
      <c r="B6" s="355"/>
      <c r="C6" s="356">
        <v>32461931361</v>
      </c>
      <c r="E6" s="357"/>
    </row>
    <row r="7" spans="1:5" s="347" customFormat="1" x14ac:dyDescent="0.25">
      <c r="A7" s="358" t="s">
        <v>639</v>
      </c>
      <c r="B7" s="358"/>
      <c r="C7" s="359">
        <f>C11</f>
        <v>108050519</v>
      </c>
    </row>
    <row r="8" spans="1:5" s="347" customFormat="1" x14ac:dyDescent="0.25">
      <c r="A8" s="355" t="s">
        <v>640</v>
      </c>
      <c r="B8" s="360"/>
      <c r="C8" s="361">
        <f>C7/C6</f>
        <v>3.3285302035298086E-3</v>
      </c>
    </row>
    <row r="9" spans="1:5" s="347" customFormat="1" x14ac:dyDescent="0.25">
      <c r="A9" s="104"/>
      <c r="B9" s="362"/>
      <c r="C9" s="363"/>
    </row>
    <row r="10" spans="1:5" s="347" customFormat="1" ht="24" customHeight="1" x14ac:dyDescent="0.25">
      <c r="A10" s="364" t="s">
        <v>141</v>
      </c>
      <c r="B10" s="364" t="s">
        <v>641</v>
      </c>
      <c r="C10" s="364" t="s">
        <v>642</v>
      </c>
    </row>
    <row r="11" spans="1:5" s="347" customFormat="1" x14ac:dyDescent="0.25">
      <c r="A11" s="365" t="s">
        <v>643</v>
      </c>
      <c r="B11" s="366"/>
      <c r="C11" s="367">
        <f>SUM(C12+C38+C44+C54)</f>
        <v>108050519</v>
      </c>
      <c r="D11" s="368"/>
    </row>
    <row r="12" spans="1:5" s="347" customFormat="1" x14ac:dyDescent="0.25">
      <c r="A12" s="369" t="s">
        <v>644</v>
      </c>
      <c r="B12" s="370" t="s">
        <v>645</v>
      </c>
      <c r="C12" s="371">
        <f>SUM(C13:C37)</f>
        <v>46831705</v>
      </c>
    </row>
    <row r="13" spans="1:5" s="347" customFormat="1" x14ac:dyDescent="0.25">
      <c r="A13" s="369"/>
      <c r="B13" s="372" t="s">
        <v>646</v>
      </c>
      <c r="C13" s="373">
        <v>509760</v>
      </c>
    </row>
    <row r="14" spans="1:5" s="347" customFormat="1" x14ac:dyDescent="0.25">
      <c r="A14" s="369"/>
      <c r="B14" s="372" t="s">
        <v>647</v>
      </c>
      <c r="C14" s="373">
        <v>2173254</v>
      </c>
    </row>
    <row r="15" spans="1:5" s="347" customFormat="1" x14ac:dyDescent="0.25">
      <c r="A15" s="369"/>
      <c r="B15" s="372" t="s">
        <v>648</v>
      </c>
      <c r="C15" s="374">
        <v>1847212</v>
      </c>
    </row>
    <row r="16" spans="1:5" s="347" customFormat="1" x14ac:dyDescent="0.25">
      <c r="A16" s="369"/>
      <c r="B16" s="372" t="s">
        <v>649</v>
      </c>
      <c r="C16" s="374">
        <v>1526939</v>
      </c>
    </row>
    <row r="17" spans="1:3" s="347" customFormat="1" x14ac:dyDescent="0.25">
      <c r="A17" s="369"/>
      <c r="B17" s="372" t="s">
        <v>650</v>
      </c>
      <c r="C17" s="374">
        <v>1956423</v>
      </c>
    </row>
    <row r="18" spans="1:3" s="347" customFormat="1" x14ac:dyDescent="0.25">
      <c r="A18" s="369"/>
      <c r="B18" s="372" t="s">
        <v>651</v>
      </c>
      <c r="C18" s="374">
        <v>277147</v>
      </c>
    </row>
    <row r="19" spans="1:3" s="347" customFormat="1" x14ac:dyDescent="0.25">
      <c r="A19" s="369"/>
      <c r="B19" s="372" t="s">
        <v>652</v>
      </c>
      <c r="C19" s="374">
        <v>209664</v>
      </c>
    </row>
    <row r="20" spans="1:3" s="347" customFormat="1" x14ac:dyDescent="0.25">
      <c r="A20" s="369"/>
      <c r="B20" s="372" t="s">
        <v>653</v>
      </c>
      <c r="C20" s="374">
        <v>209664</v>
      </c>
    </row>
    <row r="21" spans="1:3" s="347" customFormat="1" x14ac:dyDescent="0.25">
      <c r="A21" s="369"/>
      <c r="B21" s="372" t="s">
        <v>654</v>
      </c>
      <c r="C21" s="374">
        <v>12956</v>
      </c>
    </row>
    <row r="22" spans="1:3" s="347" customFormat="1" x14ac:dyDescent="0.25">
      <c r="A22" s="369"/>
      <c r="B22" s="372" t="s">
        <v>655</v>
      </c>
      <c r="C22" s="374">
        <v>11178</v>
      </c>
    </row>
    <row r="23" spans="1:3" s="347" customFormat="1" x14ac:dyDescent="0.25">
      <c r="A23" s="369"/>
      <c r="B23" s="372" t="s">
        <v>656</v>
      </c>
      <c r="C23" s="374">
        <v>850410</v>
      </c>
    </row>
    <row r="24" spans="1:3" s="347" customFormat="1" x14ac:dyDescent="0.25">
      <c r="A24" s="369"/>
      <c r="B24" s="372" t="s">
        <v>657</v>
      </c>
      <c r="C24" s="374">
        <v>277148</v>
      </c>
    </row>
    <row r="25" spans="1:3" s="347" customFormat="1" x14ac:dyDescent="0.25">
      <c r="A25" s="369"/>
      <c r="B25" s="372" t="s">
        <v>658</v>
      </c>
      <c r="C25" s="375">
        <v>893172</v>
      </c>
    </row>
    <row r="26" spans="1:3" s="347" customFormat="1" x14ac:dyDescent="0.25">
      <c r="A26" s="369"/>
      <c r="B26" s="372" t="s">
        <v>659</v>
      </c>
      <c r="C26" s="374">
        <v>7167337</v>
      </c>
    </row>
    <row r="27" spans="1:3" s="347" customFormat="1" x14ac:dyDescent="0.25">
      <c r="A27" s="369"/>
      <c r="B27" s="372" t="s">
        <v>660</v>
      </c>
      <c r="C27" s="374">
        <v>480447</v>
      </c>
    </row>
    <row r="28" spans="1:3" s="347" customFormat="1" x14ac:dyDescent="0.25">
      <c r="A28" s="369"/>
      <c r="B28" s="372" t="s">
        <v>661</v>
      </c>
      <c r="C28" s="374">
        <v>1989640</v>
      </c>
    </row>
    <row r="29" spans="1:3" s="347" customFormat="1" x14ac:dyDescent="0.25">
      <c r="A29" s="369"/>
      <c r="B29" s="372" t="s">
        <v>662</v>
      </c>
      <c r="C29" s="374">
        <v>3376112</v>
      </c>
    </row>
    <row r="30" spans="1:3" s="347" customFormat="1" x14ac:dyDescent="0.25">
      <c r="A30" s="369"/>
      <c r="B30" s="372" t="s">
        <v>663</v>
      </c>
      <c r="C30" s="374">
        <v>697187</v>
      </c>
    </row>
    <row r="31" spans="1:3" s="347" customFormat="1" x14ac:dyDescent="0.25">
      <c r="A31" s="369"/>
      <c r="B31" s="372" t="s">
        <v>664</v>
      </c>
      <c r="C31" s="374">
        <v>337688</v>
      </c>
    </row>
    <row r="32" spans="1:3" s="347" customFormat="1" x14ac:dyDescent="0.25">
      <c r="A32" s="369"/>
      <c r="B32" s="372" t="s">
        <v>665</v>
      </c>
      <c r="C32" s="374">
        <v>637980</v>
      </c>
    </row>
    <row r="33" spans="1:3" s="347" customFormat="1" x14ac:dyDescent="0.25">
      <c r="A33" s="369"/>
      <c r="B33" s="372" t="s">
        <v>666</v>
      </c>
      <c r="C33" s="374">
        <v>103390</v>
      </c>
    </row>
    <row r="34" spans="1:3" s="347" customFormat="1" x14ac:dyDescent="0.25">
      <c r="A34" s="369"/>
      <c r="B34" s="372" t="s">
        <v>667</v>
      </c>
      <c r="C34" s="374">
        <v>1029000</v>
      </c>
    </row>
    <row r="35" spans="1:3" s="347" customFormat="1" x14ac:dyDescent="0.25">
      <c r="A35" s="369"/>
      <c r="B35" s="372" t="s">
        <v>668</v>
      </c>
      <c r="C35" s="374">
        <v>4712820</v>
      </c>
    </row>
    <row r="36" spans="1:3" s="347" customFormat="1" x14ac:dyDescent="0.25">
      <c r="A36" s="369"/>
      <c r="B36" s="372" t="s">
        <v>669</v>
      </c>
      <c r="C36" s="374">
        <v>1697850</v>
      </c>
    </row>
    <row r="37" spans="1:3" s="347" customFormat="1" x14ac:dyDescent="0.25">
      <c r="A37" s="369"/>
      <c r="B37" s="372" t="s">
        <v>670</v>
      </c>
      <c r="C37" s="374">
        <v>13847327</v>
      </c>
    </row>
    <row r="38" spans="1:3" s="347" customFormat="1" x14ac:dyDescent="0.25">
      <c r="A38" s="369"/>
      <c r="B38" s="370" t="s">
        <v>671</v>
      </c>
      <c r="C38" s="371">
        <f>SUM(C39:C43)</f>
        <v>24909702</v>
      </c>
    </row>
    <row r="39" spans="1:3" s="347" customFormat="1" x14ac:dyDescent="0.25">
      <c r="A39" s="369"/>
      <c r="B39" s="372" t="s">
        <v>672</v>
      </c>
      <c r="C39" s="374">
        <v>4325179</v>
      </c>
    </row>
    <row r="40" spans="1:3" s="347" customFormat="1" x14ac:dyDescent="0.25">
      <c r="A40" s="369"/>
      <c r="B40" s="372" t="s">
        <v>673</v>
      </c>
      <c r="C40" s="374">
        <v>9747623</v>
      </c>
    </row>
    <row r="41" spans="1:3" s="347" customFormat="1" x14ac:dyDescent="0.25">
      <c r="A41" s="369"/>
      <c r="B41" s="372" t="s">
        <v>674</v>
      </c>
      <c r="C41" s="374">
        <v>3456921</v>
      </c>
    </row>
    <row r="42" spans="1:3" s="347" customFormat="1" x14ac:dyDescent="0.25">
      <c r="A42" s="369"/>
      <c r="B42" s="372" t="s">
        <v>675</v>
      </c>
      <c r="C42" s="374">
        <v>5362834</v>
      </c>
    </row>
    <row r="43" spans="1:3" s="347" customFormat="1" x14ac:dyDescent="0.25">
      <c r="A43" s="369"/>
      <c r="B43" s="372" t="s">
        <v>676</v>
      </c>
      <c r="C43" s="374">
        <v>2017145</v>
      </c>
    </row>
    <row r="44" spans="1:3" s="347" customFormat="1" x14ac:dyDescent="0.25">
      <c r="A44" s="369" t="s">
        <v>677</v>
      </c>
      <c r="B44" s="370" t="s">
        <v>678</v>
      </c>
      <c r="C44" s="371">
        <f>SUM(C45:C53)</f>
        <v>32348590</v>
      </c>
    </row>
    <row r="45" spans="1:3" s="347" customFormat="1" x14ac:dyDescent="0.25">
      <c r="A45" s="369"/>
      <c r="B45" s="372" t="s">
        <v>679</v>
      </c>
      <c r="C45" s="374">
        <v>177794</v>
      </c>
    </row>
    <row r="46" spans="1:3" s="347" customFormat="1" x14ac:dyDescent="0.25">
      <c r="A46" s="369"/>
      <c r="B46" s="372" t="s">
        <v>680</v>
      </c>
      <c r="C46" s="374">
        <v>226915</v>
      </c>
    </row>
    <row r="47" spans="1:3" s="347" customFormat="1" x14ac:dyDescent="0.25">
      <c r="A47" s="369"/>
      <c r="B47" s="372" t="s">
        <v>681</v>
      </c>
      <c r="C47" s="374">
        <v>134069</v>
      </c>
    </row>
    <row r="48" spans="1:3" s="347" customFormat="1" x14ac:dyDescent="0.25">
      <c r="A48" s="369"/>
      <c r="B48" s="372" t="s">
        <v>682</v>
      </c>
      <c r="C48" s="374">
        <v>198990</v>
      </c>
    </row>
    <row r="49" spans="1:5" s="347" customFormat="1" x14ac:dyDescent="0.25">
      <c r="A49" s="369"/>
      <c r="B49" s="372" t="s">
        <v>683</v>
      </c>
      <c r="C49" s="374">
        <v>7365</v>
      </c>
    </row>
    <row r="50" spans="1:5" s="347" customFormat="1" x14ac:dyDescent="0.25">
      <c r="A50" s="369"/>
      <c r="B50" s="372" t="s">
        <v>684</v>
      </c>
      <c r="C50" s="374">
        <v>1490342</v>
      </c>
    </row>
    <row r="51" spans="1:5" s="347" customFormat="1" x14ac:dyDescent="0.25">
      <c r="A51" s="369"/>
      <c r="B51" s="372" t="s">
        <v>685</v>
      </c>
      <c r="C51" s="374">
        <v>1852807</v>
      </c>
    </row>
    <row r="52" spans="1:5" s="347" customFormat="1" x14ac:dyDescent="0.25">
      <c r="A52" s="369"/>
      <c r="B52" s="376" t="s">
        <v>686</v>
      </c>
      <c r="C52" s="374">
        <v>3838924</v>
      </c>
    </row>
    <row r="53" spans="1:5" s="347" customFormat="1" x14ac:dyDescent="0.25">
      <c r="A53" s="369"/>
      <c r="B53" s="376" t="s">
        <v>687</v>
      </c>
      <c r="C53" s="374">
        <v>24421384</v>
      </c>
    </row>
    <row r="54" spans="1:5" s="347" customFormat="1" x14ac:dyDescent="0.25">
      <c r="A54" s="369"/>
      <c r="B54" s="370" t="s">
        <v>688</v>
      </c>
      <c r="C54" s="371">
        <v>3960522</v>
      </c>
    </row>
    <row r="55" spans="1:5" s="347" customFormat="1" x14ac:dyDescent="0.25">
      <c r="A55" s="377"/>
      <c r="B55" s="378"/>
      <c r="C55" s="379"/>
      <c r="E55" s="380"/>
    </row>
    <row r="56" spans="1:5" s="347" customFormat="1" ht="26.25" customHeight="1" x14ac:dyDescent="0.25">
      <c r="A56" s="381" t="s">
        <v>689</v>
      </c>
      <c r="B56" s="381"/>
      <c r="C56" s="381"/>
      <c r="D56" s="382"/>
      <c r="E56" s="383"/>
    </row>
    <row r="57" spans="1:5" s="347" customFormat="1" ht="13.5" customHeight="1" x14ac:dyDescent="0.25">
      <c r="A57" s="381" t="s">
        <v>690</v>
      </c>
      <c r="B57" s="381"/>
      <c r="C57" s="381"/>
    </row>
    <row r="58" spans="1:5" s="347" customFormat="1" ht="13.5" customHeight="1" x14ac:dyDescent="0.25">
      <c r="A58" s="384" t="s">
        <v>691</v>
      </c>
      <c r="B58" s="384"/>
      <c r="C58" s="384"/>
    </row>
    <row r="59" spans="1:5" s="347" customFormat="1" ht="15.75" customHeight="1" x14ac:dyDescent="0.25">
      <c r="A59" s="381" t="s">
        <v>692</v>
      </c>
      <c r="B59" s="381"/>
      <c r="C59" s="381"/>
    </row>
    <row r="60" spans="1:5" s="347" customFormat="1" ht="22.5" customHeight="1" x14ac:dyDescent="0.25">
      <c r="A60" s="381" t="s">
        <v>693</v>
      </c>
      <c r="B60" s="381"/>
      <c r="C60" s="381"/>
    </row>
    <row r="61" spans="1:5" s="347" customFormat="1" ht="13.5" customHeight="1" x14ac:dyDescent="0.25">
      <c r="A61" s="384" t="s">
        <v>694</v>
      </c>
      <c r="B61" s="384"/>
      <c r="C61" s="384"/>
    </row>
    <row r="62" spans="1:5" s="347" customFormat="1" ht="24" customHeight="1" x14ac:dyDescent="0.25">
      <c r="A62" s="381" t="s">
        <v>695</v>
      </c>
      <c r="B62" s="381"/>
      <c r="C62" s="381"/>
    </row>
    <row r="63" spans="1:5" s="347" customFormat="1" x14ac:dyDescent="0.25">
      <c r="A63" s="385"/>
      <c r="B63" s="386"/>
      <c r="C63" s="387"/>
    </row>
    <row r="64" spans="1:5" s="347" customFormat="1" x14ac:dyDescent="0.25">
      <c r="A64" s="385"/>
      <c r="B64" s="352"/>
      <c r="C64" s="380"/>
    </row>
  </sheetData>
  <mergeCells count="14">
    <mergeCell ref="A61:C61"/>
    <mergeCell ref="A62:C62"/>
    <mergeCell ref="A44:A54"/>
    <mergeCell ref="A56:C56"/>
    <mergeCell ref="A57:C57"/>
    <mergeCell ref="A58:C58"/>
    <mergeCell ref="A59:C59"/>
    <mergeCell ref="A60:C60"/>
    <mergeCell ref="A5:B5"/>
    <mergeCell ref="A6:B6"/>
    <mergeCell ref="A7:B7"/>
    <mergeCell ref="A8:B8"/>
    <mergeCell ref="A11:B11"/>
    <mergeCell ref="A12:A43"/>
  </mergeCells>
  <pageMargins left="0.25" right="0.25" top="0.75" bottom="0.75" header="0.3" footer="0.3"/>
  <pageSetup paperSize="14" scale="78" orientation="portrait" verticalDpi="599"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C5F2-F8CD-45E9-873E-82730FE966D4}">
  <sheetPr codeName="Hoja38"/>
  <dimension ref="A2:C24"/>
  <sheetViews>
    <sheetView workbookViewId="0">
      <selection activeCell="C24" sqref="C24"/>
    </sheetView>
  </sheetViews>
  <sheetFormatPr baseColWidth="10" defaultColWidth="11.44140625" defaultRowHeight="13.2" x14ac:dyDescent="0.25"/>
  <cols>
    <col min="1" max="1" width="27.6640625" style="79" customWidth="1"/>
    <col min="2" max="2" width="34.5546875" style="79" customWidth="1"/>
    <col min="3" max="3" width="23.33203125" style="79" customWidth="1"/>
    <col min="4" max="16384" width="11.44140625" style="79"/>
  </cols>
  <sheetData>
    <row r="2" spans="1:3" ht="27.75" customHeight="1" x14ac:dyDescent="0.25">
      <c r="A2" s="297" t="s">
        <v>696</v>
      </c>
      <c r="B2" s="297"/>
      <c r="C2" s="297"/>
    </row>
    <row r="3" spans="1:3" x14ac:dyDescent="0.25">
      <c r="A3" s="388"/>
      <c r="B3" s="388"/>
      <c r="C3" s="388"/>
    </row>
    <row r="4" spans="1:3" s="62" customFormat="1" ht="15.75" customHeight="1" x14ac:dyDescent="0.2">
      <c r="A4" s="353" t="s">
        <v>636</v>
      </c>
      <c r="B4" s="353"/>
      <c r="C4" s="354" t="s">
        <v>637</v>
      </c>
    </row>
    <row r="5" spans="1:3" s="62" customFormat="1" ht="18.75" customHeight="1" x14ac:dyDescent="0.2">
      <c r="A5" s="355" t="s">
        <v>638</v>
      </c>
      <c r="B5" s="355"/>
      <c r="C5" s="356">
        <v>32461931361</v>
      </c>
    </row>
    <row r="6" spans="1:3" s="62" customFormat="1" ht="23.25" customHeight="1" x14ac:dyDescent="0.2">
      <c r="A6" s="358" t="s">
        <v>697</v>
      </c>
      <c r="B6" s="358"/>
      <c r="C6" s="359">
        <f>C10</f>
        <v>37395024</v>
      </c>
    </row>
    <row r="7" spans="1:3" s="62" customFormat="1" ht="21" customHeight="1" x14ac:dyDescent="0.2">
      <c r="A7" s="355" t="s">
        <v>698</v>
      </c>
      <c r="B7" s="360"/>
      <c r="C7" s="361">
        <f>C6/C5</f>
        <v>1.1519654694645389E-3</v>
      </c>
    </row>
    <row r="8" spans="1:3" s="62" customFormat="1" ht="10.199999999999999" x14ac:dyDescent="0.2">
      <c r="A8" s="388"/>
      <c r="B8" s="388"/>
      <c r="C8" s="388"/>
    </row>
    <row r="9" spans="1:3" s="62" customFormat="1" ht="29.25" customHeight="1" x14ac:dyDescent="0.2">
      <c r="A9" s="170" t="s">
        <v>141</v>
      </c>
      <c r="B9" s="160" t="s">
        <v>699</v>
      </c>
      <c r="C9" s="170" t="s">
        <v>700</v>
      </c>
    </row>
    <row r="10" spans="1:3" s="62" customFormat="1" ht="10.199999999999999" x14ac:dyDescent="0.2">
      <c r="A10" s="389" t="s">
        <v>701</v>
      </c>
      <c r="B10" s="390"/>
      <c r="C10" s="391">
        <f>SUM(C11+C13+C18+C20)</f>
        <v>37395024</v>
      </c>
    </row>
    <row r="11" spans="1:3" s="62" customFormat="1" ht="20.399999999999999" x14ac:dyDescent="0.2">
      <c r="A11" s="392" t="s">
        <v>702</v>
      </c>
      <c r="B11" s="393" t="s">
        <v>703</v>
      </c>
      <c r="C11" s="394">
        <f>C12</f>
        <v>10245492</v>
      </c>
    </row>
    <row r="12" spans="1:3" s="62" customFormat="1" ht="10.199999999999999" x14ac:dyDescent="0.2">
      <c r="A12" s="395"/>
      <c r="B12" s="396" t="s">
        <v>704</v>
      </c>
      <c r="C12" s="397">
        <v>10245492</v>
      </c>
    </row>
    <row r="13" spans="1:3" s="62" customFormat="1" ht="10.199999999999999" x14ac:dyDescent="0.2">
      <c r="A13" s="392" t="s">
        <v>705</v>
      </c>
      <c r="B13" s="393" t="s">
        <v>706</v>
      </c>
      <c r="C13" s="394">
        <f>SUM(C14:C17)</f>
        <v>6738596</v>
      </c>
    </row>
    <row r="14" spans="1:3" s="62" customFormat="1" ht="10.199999999999999" x14ac:dyDescent="0.2">
      <c r="A14" s="398"/>
      <c r="B14" s="378" t="s">
        <v>707</v>
      </c>
      <c r="C14" s="399">
        <v>3926437</v>
      </c>
    </row>
    <row r="15" spans="1:3" s="62" customFormat="1" ht="20.399999999999999" x14ac:dyDescent="0.2">
      <c r="A15" s="398"/>
      <c r="B15" s="378" t="s">
        <v>708</v>
      </c>
      <c r="C15" s="399">
        <v>200976</v>
      </c>
    </row>
    <row r="16" spans="1:3" s="62" customFormat="1" ht="10.199999999999999" x14ac:dyDescent="0.2">
      <c r="A16" s="400"/>
      <c r="B16" s="378" t="s">
        <v>709</v>
      </c>
      <c r="C16" s="399">
        <v>728620</v>
      </c>
    </row>
    <row r="17" spans="1:3" s="62" customFormat="1" ht="10.199999999999999" x14ac:dyDescent="0.2">
      <c r="A17" s="395"/>
      <c r="B17" s="401" t="s">
        <v>710</v>
      </c>
      <c r="C17" s="397">
        <f>1366163+294355+161980+59065+1000</f>
        <v>1882563</v>
      </c>
    </row>
    <row r="18" spans="1:3" s="62" customFormat="1" ht="31.5" customHeight="1" x14ac:dyDescent="0.2">
      <c r="A18" s="392" t="s">
        <v>711</v>
      </c>
      <c r="B18" s="393" t="s">
        <v>712</v>
      </c>
      <c r="C18" s="394">
        <f>SUM(C19)</f>
        <v>19518736</v>
      </c>
    </row>
    <row r="19" spans="1:3" s="62" customFormat="1" ht="10.199999999999999" x14ac:dyDescent="0.2">
      <c r="A19" s="395"/>
      <c r="B19" s="401" t="s">
        <v>713</v>
      </c>
      <c r="C19" s="397">
        <v>19518736</v>
      </c>
    </row>
    <row r="20" spans="1:3" s="62" customFormat="1" ht="51" x14ac:dyDescent="0.2">
      <c r="A20" s="402" t="s">
        <v>714</v>
      </c>
      <c r="B20" s="403" t="s">
        <v>715</v>
      </c>
      <c r="C20" s="404">
        <v>892200</v>
      </c>
    </row>
    <row r="21" spans="1:3" s="62" customFormat="1" ht="10.199999999999999" x14ac:dyDescent="0.2"/>
    <row r="22" spans="1:3" s="62" customFormat="1" ht="35.25" customHeight="1" x14ac:dyDescent="0.2">
      <c r="A22" s="173" t="s">
        <v>716</v>
      </c>
      <c r="B22" s="173"/>
      <c r="C22" s="173"/>
    </row>
    <row r="23" spans="1:3" s="62" customFormat="1" ht="31.5" customHeight="1" x14ac:dyDescent="0.2">
      <c r="A23" s="173" t="s">
        <v>717</v>
      </c>
      <c r="B23" s="173"/>
      <c r="C23" s="173"/>
    </row>
    <row r="24" spans="1:3" s="62" customFormat="1" ht="27" customHeight="1" x14ac:dyDescent="0.2">
      <c r="A24" s="381" t="s">
        <v>695</v>
      </c>
      <c r="B24" s="381"/>
      <c r="C24" s="381"/>
    </row>
  </sheetData>
  <mergeCells count="12">
    <mergeCell ref="A11:A12"/>
    <mergeCell ref="A13:A17"/>
    <mergeCell ref="A18:A19"/>
    <mergeCell ref="A22:C22"/>
    <mergeCell ref="A23:C23"/>
    <mergeCell ref="A24:C24"/>
    <mergeCell ref="A2:C2"/>
    <mergeCell ref="A4:B4"/>
    <mergeCell ref="A5:B5"/>
    <mergeCell ref="A6:B6"/>
    <mergeCell ref="A7:B7"/>
    <mergeCell ref="A10:B10"/>
  </mergeCells>
  <pageMargins left="0.70866141732283472" right="0.70866141732283472" top="0.74803149606299213" bottom="0.74803149606299213" header="0.31496062992125984" footer="0.31496062992125984"/>
  <pageSetup paperSize="14"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2D09A-C9E5-44EA-8B1E-B2695286D02C}">
  <sheetPr codeName="Hoja39"/>
  <dimension ref="A2:C52"/>
  <sheetViews>
    <sheetView workbookViewId="0">
      <selection activeCell="C24" sqref="C24"/>
    </sheetView>
  </sheetViews>
  <sheetFormatPr baseColWidth="10" defaultRowHeight="13.2" x14ac:dyDescent="0.25"/>
  <cols>
    <col min="1" max="1" width="34.5546875" style="79" customWidth="1"/>
    <col min="2" max="2" width="61" style="79" customWidth="1"/>
    <col min="3" max="3" width="23.109375" style="79" customWidth="1"/>
    <col min="4" max="16384" width="11.5546875" style="79"/>
  </cols>
  <sheetData>
    <row r="2" spans="1:3" ht="33.75" customHeight="1" x14ac:dyDescent="0.25">
      <c r="A2" s="405" t="s">
        <v>718</v>
      </c>
      <c r="B2" s="405"/>
      <c r="C2" s="405"/>
    </row>
    <row r="3" spans="1:3" x14ac:dyDescent="0.25">
      <c r="A3" s="100"/>
      <c r="B3" s="100"/>
      <c r="C3" s="100"/>
    </row>
    <row r="4" spans="1:3" ht="28.5" customHeight="1" x14ac:dyDescent="0.25">
      <c r="A4" s="353" t="s">
        <v>636</v>
      </c>
      <c r="B4" s="353"/>
      <c r="C4" s="354" t="s">
        <v>719</v>
      </c>
    </row>
    <row r="5" spans="1:3" ht="24" customHeight="1" x14ac:dyDescent="0.25">
      <c r="A5" s="355" t="s">
        <v>638</v>
      </c>
      <c r="B5" s="355"/>
      <c r="C5" s="356">
        <v>32461931361</v>
      </c>
    </row>
    <row r="6" spans="1:3" ht="18" customHeight="1" x14ac:dyDescent="0.25">
      <c r="A6" s="358" t="s">
        <v>720</v>
      </c>
      <c r="B6" s="358"/>
      <c r="C6" s="359">
        <f>C10</f>
        <v>167855127</v>
      </c>
    </row>
    <row r="7" spans="1:3" ht="23.25" customHeight="1" x14ac:dyDescent="0.25">
      <c r="A7" s="355" t="s">
        <v>721</v>
      </c>
      <c r="B7" s="360"/>
      <c r="C7" s="361">
        <f>C6/C5</f>
        <v>5.1708299525783106E-3</v>
      </c>
    </row>
    <row r="9" spans="1:3" ht="20.399999999999999" x14ac:dyDescent="0.25">
      <c r="A9" s="170" t="s">
        <v>141</v>
      </c>
      <c r="B9" s="170" t="s">
        <v>722</v>
      </c>
      <c r="C9" s="170" t="s">
        <v>700</v>
      </c>
    </row>
    <row r="10" spans="1:3" x14ac:dyDescent="0.25">
      <c r="A10" s="406" t="s">
        <v>723</v>
      </c>
      <c r="B10" s="407"/>
      <c r="C10" s="408">
        <f>SUM(C11+C13+C19+C23+C25+C28+C31+C33+C42+C44)</f>
        <v>167855127</v>
      </c>
    </row>
    <row r="11" spans="1:3" x14ac:dyDescent="0.25">
      <c r="A11" s="409" t="s">
        <v>724</v>
      </c>
      <c r="B11" s="410" t="s">
        <v>725</v>
      </c>
      <c r="C11" s="411">
        <f>SUM(C12)</f>
        <v>118335</v>
      </c>
    </row>
    <row r="12" spans="1:3" ht="54" customHeight="1" x14ac:dyDescent="0.25">
      <c r="A12" s="412"/>
      <c r="B12" s="413" t="s">
        <v>726</v>
      </c>
      <c r="C12" s="414">
        <v>118335</v>
      </c>
    </row>
    <row r="13" spans="1:3" x14ac:dyDescent="0.25">
      <c r="A13" s="409" t="s">
        <v>727</v>
      </c>
      <c r="B13" s="415" t="s">
        <v>728</v>
      </c>
      <c r="C13" s="416">
        <f>SUM(C14:C18)</f>
        <v>27804809</v>
      </c>
    </row>
    <row r="14" spans="1:3" x14ac:dyDescent="0.25">
      <c r="A14" s="417"/>
      <c r="B14" s="418" t="s">
        <v>729</v>
      </c>
      <c r="C14" s="419">
        <f>5844074+662190</f>
        <v>6506264</v>
      </c>
    </row>
    <row r="15" spans="1:3" x14ac:dyDescent="0.25">
      <c r="A15" s="417"/>
      <c r="B15" s="418" t="s">
        <v>730</v>
      </c>
      <c r="C15" s="419">
        <f>1477495+186357</f>
        <v>1663852</v>
      </c>
    </row>
    <row r="16" spans="1:3" x14ac:dyDescent="0.25">
      <c r="A16" s="417"/>
      <c r="B16" s="418" t="s">
        <v>731</v>
      </c>
      <c r="C16" s="419">
        <v>54778</v>
      </c>
    </row>
    <row r="17" spans="1:3" x14ac:dyDescent="0.25">
      <c r="A17" s="417"/>
      <c r="B17" s="418" t="s">
        <v>732</v>
      </c>
      <c r="C17" s="419">
        <v>747834</v>
      </c>
    </row>
    <row r="18" spans="1:3" x14ac:dyDescent="0.25">
      <c r="A18" s="412"/>
      <c r="B18" s="420" t="s">
        <v>733</v>
      </c>
      <c r="C18" s="421">
        <v>18832081</v>
      </c>
    </row>
    <row r="19" spans="1:3" x14ac:dyDescent="0.25">
      <c r="A19" s="409" t="s">
        <v>734</v>
      </c>
      <c r="B19" s="415" t="s">
        <v>735</v>
      </c>
      <c r="C19" s="416">
        <f>SUM(C20:C22)</f>
        <v>12261805</v>
      </c>
    </row>
    <row r="20" spans="1:3" x14ac:dyDescent="0.25">
      <c r="A20" s="417"/>
      <c r="B20" s="413" t="s">
        <v>736</v>
      </c>
      <c r="C20" s="419">
        <v>11289350</v>
      </c>
    </row>
    <row r="21" spans="1:3" x14ac:dyDescent="0.25">
      <c r="A21" s="417"/>
      <c r="B21" s="413" t="s">
        <v>737</v>
      </c>
      <c r="C21" s="419">
        <v>877025</v>
      </c>
    </row>
    <row r="22" spans="1:3" x14ac:dyDescent="0.25">
      <c r="A22" s="412"/>
      <c r="B22" s="422" t="s">
        <v>738</v>
      </c>
      <c r="C22" s="421">
        <v>95430</v>
      </c>
    </row>
    <row r="23" spans="1:3" x14ac:dyDescent="0.25">
      <c r="A23" s="409" t="s">
        <v>739</v>
      </c>
      <c r="B23" s="415" t="s">
        <v>740</v>
      </c>
      <c r="C23" s="416">
        <f>SUM(C24)</f>
        <v>33104569</v>
      </c>
    </row>
    <row r="24" spans="1:3" ht="12.75" customHeight="1" x14ac:dyDescent="0.25">
      <c r="A24" s="423"/>
      <c r="B24" s="424" t="s">
        <v>741</v>
      </c>
      <c r="C24" s="421">
        <v>33104569</v>
      </c>
    </row>
    <row r="25" spans="1:3" x14ac:dyDescent="0.25">
      <c r="A25" s="409" t="s">
        <v>742</v>
      </c>
      <c r="B25" s="425" t="s">
        <v>743</v>
      </c>
      <c r="C25" s="416">
        <f>SUM(C26:C27)</f>
        <v>5275507</v>
      </c>
    </row>
    <row r="26" spans="1:3" x14ac:dyDescent="0.25">
      <c r="A26" s="426"/>
      <c r="B26" s="413" t="s">
        <v>744</v>
      </c>
      <c r="C26" s="419">
        <v>2715887</v>
      </c>
    </row>
    <row r="27" spans="1:3" x14ac:dyDescent="0.25">
      <c r="A27" s="423"/>
      <c r="B27" s="424" t="s">
        <v>745</v>
      </c>
      <c r="C27" s="421">
        <v>2559620</v>
      </c>
    </row>
    <row r="28" spans="1:3" x14ac:dyDescent="0.25">
      <c r="A28" s="409" t="s">
        <v>746</v>
      </c>
      <c r="B28" s="415" t="s">
        <v>747</v>
      </c>
      <c r="C28" s="416">
        <f>SUM(C29:C30)</f>
        <v>18413170</v>
      </c>
    </row>
    <row r="29" spans="1:3" x14ac:dyDescent="0.25">
      <c r="A29" s="417"/>
      <c r="B29" s="413" t="s">
        <v>748</v>
      </c>
      <c r="C29" s="419">
        <v>18361024</v>
      </c>
    </row>
    <row r="30" spans="1:3" x14ac:dyDescent="0.25">
      <c r="A30" s="417"/>
      <c r="B30" s="413" t="s">
        <v>749</v>
      </c>
      <c r="C30" s="419">
        <v>52146</v>
      </c>
    </row>
    <row r="31" spans="1:3" x14ac:dyDescent="0.25">
      <c r="A31" s="417"/>
      <c r="B31" s="410" t="s">
        <v>750</v>
      </c>
      <c r="C31" s="411">
        <f>SUM(C32:C32)</f>
        <v>13688204</v>
      </c>
    </row>
    <row r="32" spans="1:3" x14ac:dyDescent="0.25">
      <c r="A32" s="412"/>
      <c r="B32" s="413" t="s">
        <v>751</v>
      </c>
      <c r="C32" s="419">
        <v>13688204</v>
      </c>
    </row>
    <row r="33" spans="1:3" x14ac:dyDescent="0.25">
      <c r="A33" s="409" t="s">
        <v>752</v>
      </c>
      <c r="B33" s="415" t="s">
        <v>753</v>
      </c>
      <c r="C33" s="416">
        <f>SUM(C34:C41)</f>
        <v>55702344</v>
      </c>
    </row>
    <row r="34" spans="1:3" x14ac:dyDescent="0.25">
      <c r="A34" s="417"/>
      <c r="B34" s="427" t="s">
        <v>754</v>
      </c>
      <c r="C34" s="419">
        <v>2689812</v>
      </c>
    </row>
    <row r="35" spans="1:3" x14ac:dyDescent="0.25">
      <c r="A35" s="417"/>
      <c r="B35" s="427" t="s">
        <v>755</v>
      </c>
      <c r="C35" s="419">
        <v>427556</v>
      </c>
    </row>
    <row r="36" spans="1:3" x14ac:dyDescent="0.25">
      <c r="A36" s="417"/>
      <c r="B36" s="427" t="s">
        <v>756</v>
      </c>
      <c r="C36" s="419">
        <v>108750</v>
      </c>
    </row>
    <row r="37" spans="1:3" x14ac:dyDescent="0.25">
      <c r="A37" s="417"/>
      <c r="B37" s="427" t="s">
        <v>757</v>
      </c>
      <c r="C37" s="419">
        <v>3327</v>
      </c>
    </row>
    <row r="38" spans="1:3" x14ac:dyDescent="0.25">
      <c r="A38" s="417"/>
      <c r="B38" s="428" t="s">
        <v>758</v>
      </c>
      <c r="C38" s="419">
        <v>211562</v>
      </c>
    </row>
    <row r="39" spans="1:3" x14ac:dyDescent="0.25">
      <c r="A39" s="417"/>
      <c r="B39" s="413" t="s">
        <v>759</v>
      </c>
      <c r="C39" s="419">
        <v>30966737</v>
      </c>
    </row>
    <row r="40" spans="1:3" x14ac:dyDescent="0.25">
      <c r="A40" s="417"/>
      <c r="B40" s="413" t="s">
        <v>760</v>
      </c>
      <c r="C40" s="419">
        <v>18970237</v>
      </c>
    </row>
    <row r="41" spans="1:3" x14ac:dyDescent="0.25">
      <c r="A41" s="412"/>
      <c r="B41" s="429" t="s">
        <v>761</v>
      </c>
      <c r="C41" s="421">
        <v>2324363</v>
      </c>
    </row>
    <row r="42" spans="1:3" ht="20.399999999999999" x14ac:dyDescent="0.25">
      <c r="A42" s="409" t="s">
        <v>762</v>
      </c>
      <c r="B42" s="415" t="s">
        <v>763</v>
      </c>
      <c r="C42" s="416">
        <f>SUM(C43)</f>
        <v>318395</v>
      </c>
    </row>
    <row r="43" spans="1:3" x14ac:dyDescent="0.25">
      <c r="A43" s="423"/>
      <c r="B43" s="424" t="s">
        <v>764</v>
      </c>
      <c r="C43" s="421">
        <v>318395</v>
      </c>
    </row>
    <row r="44" spans="1:3" x14ac:dyDescent="0.25">
      <c r="A44" s="409" t="s">
        <v>765</v>
      </c>
      <c r="B44" s="415" t="s">
        <v>766</v>
      </c>
      <c r="C44" s="416">
        <f>SUM(C45:C46)</f>
        <v>1167989</v>
      </c>
    </row>
    <row r="45" spans="1:3" x14ac:dyDescent="0.25">
      <c r="A45" s="417"/>
      <c r="B45" s="413" t="s">
        <v>767</v>
      </c>
      <c r="C45" s="419">
        <v>1056085</v>
      </c>
    </row>
    <row r="46" spans="1:3" x14ac:dyDescent="0.25">
      <c r="A46" s="412"/>
      <c r="B46" s="424" t="s">
        <v>768</v>
      </c>
      <c r="C46" s="421">
        <v>111904</v>
      </c>
    </row>
    <row r="47" spans="1:3" ht="15" customHeight="1" x14ac:dyDescent="0.25"/>
    <row r="48" spans="1:3" ht="24" customHeight="1" x14ac:dyDescent="0.25">
      <c r="A48" s="99" t="s">
        <v>716</v>
      </c>
      <c r="B48" s="99"/>
      <c r="C48" s="99"/>
    </row>
    <row r="49" spans="1:3" ht="24" customHeight="1" x14ac:dyDescent="0.25">
      <c r="A49" s="99" t="s">
        <v>769</v>
      </c>
      <c r="B49" s="99"/>
      <c r="C49" s="99"/>
    </row>
    <row r="50" spans="1:3" ht="24.75" customHeight="1" x14ac:dyDescent="0.25">
      <c r="A50" s="99" t="s">
        <v>770</v>
      </c>
      <c r="B50" s="99"/>
      <c r="C50" s="99"/>
    </row>
    <row r="51" spans="1:3" ht="26.25" customHeight="1" x14ac:dyDescent="0.25">
      <c r="A51" s="174" t="s">
        <v>771</v>
      </c>
      <c r="B51" s="174"/>
      <c r="C51" s="174"/>
    </row>
    <row r="52" spans="1:3" ht="17.25" customHeight="1" x14ac:dyDescent="0.25">
      <c r="A52" s="430" t="s">
        <v>695</v>
      </c>
      <c r="B52" s="430"/>
      <c r="C52" s="430"/>
    </row>
  </sheetData>
  <mergeCells count="20">
    <mergeCell ref="A51:C51"/>
    <mergeCell ref="A52:C52"/>
    <mergeCell ref="A33:A41"/>
    <mergeCell ref="A42:A43"/>
    <mergeCell ref="A44:A46"/>
    <mergeCell ref="A48:C48"/>
    <mergeCell ref="A49:C49"/>
    <mergeCell ref="A50:C50"/>
    <mergeCell ref="A11:A12"/>
    <mergeCell ref="A13:A18"/>
    <mergeCell ref="A19:A22"/>
    <mergeCell ref="A23:A24"/>
    <mergeCell ref="A25:A27"/>
    <mergeCell ref="A28:A32"/>
    <mergeCell ref="A2:C2"/>
    <mergeCell ref="A4:B4"/>
    <mergeCell ref="A5:B5"/>
    <mergeCell ref="A6:B6"/>
    <mergeCell ref="A7:B7"/>
    <mergeCell ref="A10:B10"/>
  </mergeCells>
  <pageMargins left="0.70866141732283472" right="0.70866141732283472" top="0.74803149606299213" bottom="0.74803149606299213" header="0.31496062992125984" footer="0.31496062992125984"/>
  <pageSetup paperSize="14" scale="76" orientation="portrait" verticalDpi="599"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A2:Q50"/>
  <sheetViews>
    <sheetView zoomScaleNormal="100" zoomScalePageLayoutView="140" workbookViewId="0"/>
  </sheetViews>
  <sheetFormatPr baseColWidth="10" defaultColWidth="11.44140625" defaultRowHeight="10.199999999999999" x14ac:dyDescent="0.2"/>
  <cols>
    <col min="1" max="1" width="38.109375" style="18" customWidth="1"/>
    <col min="2" max="2" width="15.109375" style="18" customWidth="1"/>
    <col min="3" max="3" width="15" style="18" customWidth="1"/>
    <col min="4" max="4" width="15.109375" style="18" customWidth="1"/>
    <col min="5" max="5" width="15.44140625" style="18" customWidth="1"/>
    <col min="6" max="6" width="16.33203125" style="18" customWidth="1"/>
    <col min="7" max="7" width="15.6640625" style="18" customWidth="1"/>
    <col min="8" max="8" width="15.33203125" style="18" customWidth="1"/>
    <col min="9" max="9" width="16.88671875" style="18" customWidth="1"/>
    <col min="10" max="10" width="15.6640625" style="18" customWidth="1"/>
    <col min="11" max="11" width="16.6640625" style="18" customWidth="1"/>
    <col min="12" max="12" width="16" style="18" customWidth="1"/>
    <col min="13" max="13" width="15.5546875" style="18" customWidth="1"/>
    <col min="14" max="16384" width="11.44140625" style="18"/>
  </cols>
  <sheetData>
    <row r="2" spans="1:13" s="26" customFormat="1" ht="12" x14ac:dyDescent="0.2">
      <c r="A2" s="53" t="s">
        <v>77</v>
      </c>
      <c r="B2" s="53"/>
      <c r="C2" s="53"/>
      <c r="D2" s="53"/>
      <c r="E2" s="53"/>
      <c r="F2" s="53"/>
      <c r="G2" s="53"/>
      <c r="H2" s="53"/>
      <c r="I2" s="53"/>
      <c r="J2" s="53"/>
    </row>
    <row r="3" spans="1:13" x14ac:dyDescent="0.2">
      <c r="A3" s="14"/>
      <c r="B3" s="14"/>
      <c r="C3" s="14"/>
      <c r="D3" s="14"/>
      <c r="E3" s="14"/>
    </row>
    <row r="4" spans="1:13" s="19" customFormat="1" ht="14.25" customHeight="1" x14ac:dyDescent="0.25">
      <c r="A4" s="55" t="s">
        <v>76</v>
      </c>
      <c r="B4" s="57" t="s">
        <v>42</v>
      </c>
      <c r="C4" s="57"/>
      <c r="D4" s="57"/>
      <c r="E4" s="58" t="s">
        <v>43</v>
      </c>
      <c r="F4" s="59"/>
      <c r="G4" s="60"/>
      <c r="H4" s="58" t="s">
        <v>75</v>
      </c>
      <c r="I4" s="59"/>
      <c r="J4" s="59"/>
      <c r="K4" s="58" t="s">
        <v>82</v>
      </c>
      <c r="L4" s="59"/>
      <c r="M4" s="60"/>
    </row>
    <row r="5" spans="1:13" s="19" customFormat="1" ht="20.399999999999999" x14ac:dyDescent="0.25">
      <c r="A5" s="56"/>
      <c r="B5" s="37" t="s">
        <v>78</v>
      </c>
      <c r="C5" s="37" t="s">
        <v>45</v>
      </c>
      <c r="D5" s="37" t="s">
        <v>46</v>
      </c>
      <c r="E5" s="25" t="s">
        <v>44</v>
      </c>
      <c r="F5" s="27" t="s">
        <v>45</v>
      </c>
      <c r="G5" s="27" t="s">
        <v>46</v>
      </c>
      <c r="H5" s="27" t="s">
        <v>44</v>
      </c>
      <c r="I5" s="27" t="s">
        <v>45</v>
      </c>
      <c r="J5" s="27" t="s">
        <v>46</v>
      </c>
      <c r="K5" s="27" t="s">
        <v>44</v>
      </c>
      <c r="L5" s="27" t="s">
        <v>45</v>
      </c>
      <c r="M5" s="27" t="s">
        <v>46</v>
      </c>
    </row>
    <row r="6" spans="1:13" x14ac:dyDescent="0.2">
      <c r="A6" s="20" t="s">
        <v>3</v>
      </c>
      <c r="B6" s="16">
        <f t="shared" ref="B6:B46" si="0">SUM(C6:D6)</f>
        <v>99389</v>
      </c>
      <c r="C6" s="16">
        <f>SUM(F6+I6+L6)</f>
        <v>36730</v>
      </c>
      <c r="D6" s="16">
        <f t="shared" ref="D6:D46" si="1">SUM(G6+J6+M6)</f>
        <v>62659</v>
      </c>
      <c r="E6" s="16">
        <f t="shared" ref="E6:E33" si="2">SUM(F6:G6)</f>
        <v>53075</v>
      </c>
      <c r="F6" s="16">
        <f>SUM(F7+F11+F13+F16+F19+F24+F27+F34+F40+F43+F45)</f>
        <v>26630</v>
      </c>
      <c r="G6" s="16">
        <f>SUM(G7+G11+G13+G16+G19+G24+G27+G34+G40+G43+G45)</f>
        <v>26445</v>
      </c>
      <c r="H6" s="16">
        <f>SUM(I6:J6)</f>
        <v>42199</v>
      </c>
      <c r="I6" s="16">
        <f>SUM(I7+I11+I13+I16+I19+I24+I27+I34+I40+I43+I45)</f>
        <v>7455</v>
      </c>
      <c r="J6" s="16">
        <f>SUM(J7+J11+J13+J16+J19+J24+J27+J34+J40+J43+J45)</f>
        <v>34744</v>
      </c>
      <c r="K6" s="16">
        <f>SUM(L6:M6)</f>
        <v>4115</v>
      </c>
      <c r="L6" s="16">
        <f>SUM(L7+L11+L13+L16+L19+L24+L27+L34+L40+L43+L45)</f>
        <v>2645</v>
      </c>
      <c r="M6" s="16">
        <f>SUM(M7+M11+M13+M16+M19+M24+M27+M34+M40+M43+M45)</f>
        <v>1470</v>
      </c>
    </row>
    <row r="7" spans="1:13" x14ac:dyDescent="0.2">
      <c r="A7" s="20" t="s">
        <v>21</v>
      </c>
      <c r="B7" s="16">
        <f t="shared" si="0"/>
        <v>910</v>
      </c>
      <c r="C7" s="16">
        <f t="shared" ref="C7:C46" si="3">SUM(F7+I7+L7)</f>
        <v>610</v>
      </c>
      <c r="D7" s="16">
        <f t="shared" si="1"/>
        <v>300</v>
      </c>
      <c r="E7" s="16">
        <f t="shared" si="2"/>
        <v>155</v>
      </c>
      <c r="F7" s="16">
        <f>SUM(F8:F10)</f>
        <v>131</v>
      </c>
      <c r="G7" s="16">
        <f>SUM(G8:G10)</f>
        <v>24</v>
      </c>
      <c r="H7" s="16">
        <f>SUM(I7:J7)</f>
        <v>697</v>
      </c>
      <c r="I7" s="16">
        <f t="shared" ref="I7:M7" si="4">SUM(I8:I10)</f>
        <v>439</v>
      </c>
      <c r="J7" s="16">
        <f t="shared" si="4"/>
        <v>258</v>
      </c>
      <c r="K7" s="16">
        <f>SUM(L7:M7)</f>
        <v>58</v>
      </c>
      <c r="L7" s="16">
        <f t="shared" si="4"/>
        <v>40</v>
      </c>
      <c r="M7" s="16">
        <f t="shared" si="4"/>
        <v>18</v>
      </c>
    </row>
    <row r="8" spans="1:13" x14ac:dyDescent="0.2">
      <c r="A8" s="38" t="s">
        <v>54</v>
      </c>
      <c r="B8" s="16">
        <f t="shared" si="0"/>
        <v>697</v>
      </c>
      <c r="C8" s="16">
        <f t="shared" si="3"/>
        <v>439</v>
      </c>
      <c r="D8" s="16">
        <f t="shared" si="1"/>
        <v>258</v>
      </c>
      <c r="E8" s="17">
        <f t="shared" si="2"/>
        <v>0</v>
      </c>
      <c r="F8" s="17">
        <v>0</v>
      </c>
      <c r="G8" s="17">
        <v>0</v>
      </c>
      <c r="H8" s="17">
        <f t="shared" ref="H8:H46" si="5">SUM(I8:J8)</f>
        <v>697</v>
      </c>
      <c r="I8" s="17">
        <v>439</v>
      </c>
      <c r="J8" s="17">
        <v>258</v>
      </c>
      <c r="K8" s="16">
        <f t="shared" ref="K8:K46" si="6">SUM(L8:M8)</f>
        <v>0</v>
      </c>
      <c r="L8" s="17">
        <v>0</v>
      </c>
      <c r="M8" s="17">
        <v>0</v>
      </c>
    </row>
    <row r="9" spans="1:13" x14ac:dyDescent="0.2">
      <c r="A9" s="38" t="s">
        <v>53</v>
      </c>
      <c r="B9" s="16">
        <f t="shared" si="0"/>
        <v>199</v>
      </c>
      <c r="C9" s="16">
        <f t="shared" si="3"/>
        <v>163</v>
      </c>
      <c r="D9" s="16">
        <f t="shared" si="1"/>
        <v>36</v>
      </c>
      <c r="E9" s="17">
        <f t="shared" si="2"/>
        <v>155</v>
      </c>
      <c r="F9" s="17">
        <v>131</v>
      </c>
      <c r="G9" s="17">
        <v>24</v>
      </c>
      <c r="H9" s="17">
        <f t="shared" si="5"/>
        <v>0</v>
      </c>
      <c r="I9" s="17">
        <v>0</v>
      </c>
      <c r="J9" s="17">
        <v>0</v>
      </c>
      <c r="K9" s="16">
        <f t="shared" si="6"/>
        <v>44</v>
      </c>
      <c r="L9" s="17">
        <v>32</v>
      </c>
      <c r="M9" s="17">
        <v>12</v>
      </c>
    </row>
    <row r="10" spans="1:13" x14ac:dyDescent="0.2">
      <c r="A10" s="38" t="s">
        <v>22</v>
      </c>
      <c r="B10" s="16">
        <f t="shared" si="0"/>
        <v>14</v>
      </c>
      <c r="C10" s="16">
        <f t="shared" si="3"/>
        <v>8</v>
      </c>
      <c r="D10" s="16">
        <f t="shared" si="1"/>
        <v>6</v>
      </c>
      <c r="E10" s="17">
        <f t="shared" si="2"/>
        <v>0</v>
      </c>
      <c r="F10" s="17">
        <v>0</v>
      </c>
      <c r="G10" s="17">
        <v>0</v>
      </c>
      <c r="H10" s="17">
        <f t="shared" si="5"/>
        <v>0</v>
      </c>
      <c r="I10" s="17">
        <v>0</v>
      </c>
      <c r="J10" s="17">
        <v>0</v>
      </c>
      <c r="K10" s="16">
        <f t="shared" si="6"/>
        <v>14</v>
      </c>
      <c r="L10" s="17">
        <v>8</v>
      </c>
      <c r="M10" s="17">
        <v>6</v>
      </c>
    </row>
    <row r="11" spans="1:13" x14ac:dyDescent="0.2">
      <c r="A11" s="20" t="s">
        <v>23</v>
      </c>
      <c r="B11" s="16">
        <f t="shared" si="0"/>
        <v>45</v>
      </c>
      <c r="C11" s="16">
        <f t="shared" si="3"/>
        <v>34</v>
      </c>
      <c r="D11" s="16">
        <f t="shared" si="1"/>
        <v>11</v>
      </c>
      <c r="E11" s="16">
        <f t="shared" si="2"/>
        <v>45</v>
      </c>
      <c r="F11" s="16">
        <f t="shared" ref="F11:M11" si="7">SUM(F12)</f>
        <v>34</v>
      </c>
      <c r="G11" s="16">
        <f t="shared" si="7"/>
        <v>11</v>
      </c>
      <c r="H11" s="16">
        <f t="shared" si="5"/>
        <v>0</v>
      </c>
      <c r="I11" s="16">
        <f t="shared" si="7"/>
        <v>0</v>
      </c>
      <c r="J11" s="16">
        <f t="shared" si="7"/>
        <v>0</v>
      </c>
      <c r="K11" s="16">
        <f t="shared" si="6"/>
        <v>0</v>
      </c>
      <c r="L11" s="16">
        <f t="shared" si="7"/>
        <v>0</v>
      </c>
      <c r="M11" s="16">
        <f t="shared" si="7"/>
        <v>0</v>
      </c>
    </row>
    <row r="12" spans="1:13" x14ac:dyDescent="0.2">
      <c r="A12" s="38" t="s">
        <v>24</v>
      </c>
      <c r="B12" s="16">
        <f t="shared" si="0"/>
        <v>45</v>
      </c>
      <c r="C12" s="16">
        <f t="shared" si="3"/>
        <v>34</v>
      </c>
      <c r="D12" s="16">
        <f t="shared" si="1"/>
        <v>11</v>
      </c>
      <c r="E12" s="17">
        <f t="shared" si="2"/>
        <v>45</v>
      </c>
      <c r="F12" s="17">
        <v>34</v>
      </c>
      <c r="G12" s="17">
        <v>11</v>
      </c>
      <c r="H12" s="17">
        <f t="shared" si="5"/>
        <v>0</v>
      </c>
      <c r="I12" s="17">
        <v>0</v>
      </c>
      <c r="J12" s="17">
        <v>0</v>
      </c>
      <c r="K12" s="16">
        <f t="shared" si="6"/>
        <v>0</v>
      </c>
      <c r="L12" s="17">
        <v>0</v>
      </c>
      <c r="M12" s="17">
        <v>0</v>
      </c>
    </row>
    <row r="13" spans="1:13" x14ac:dyDescent="0.2">
      <c r="A13" s="20" t="s">
        <v>55</v>
      </c>
      <c r="B13" s="16">
        <f t="shared" si="0"/>
        <v>5145</v>
      </c>
      <c r="C13" s="16">
        <f t="shared" si="3"/>
        <v>3330</v>
      </c>
      <c r="D13" s="16">
        <f t="shared" si="1"/>
        <v>1815</v>
      </c>
      <c r="E13" s="16">
        <f t="shared" si="2"/>
        <v>4499</v>
      </c>
      <c r="F13" s="16">
        <f t="shared" ref="F13:M13" si="8">SUM(F14:F15)</f>
        <v>2861</v>
      </c>
      <c r="G13" s="16">
        <f t="shared" si="8"/>
        <v>1638</v>
      </c>
      <c r="H13" s="16">
        <f t="shared" si="5"/>
        <v>0</v>
      </c>
      <c r="I13" s="16">
        <f t="shared" si="8"/>
        <v>0</v>
      </c>
      <c r="J13" s="16">
        <f t="shared" si="8"/>
        <v>0</v>
      </c>
      <c r="K13" s="16">
        <f t="shared" si="6"/>
        <v>646</v>
      </c>
      <c r="L13" s="16">
        <f t="shared" si="8"/>
        <v>469</v>
      </c>
      <c r="M13" s="16">
        <f t="shared" si="8"/>
        <v>177</v>
      </c>
    </row>
    <row r="14" spans="1:13" x14ac:dyDescent="0.2">
      <c r="A14" s="38" t="s">
        <v>56</v>
      </c>
      <c r="B14" s="16">
        <f t="shared" si="0"/>
        <v>3371</v>
      </c>
      <c r="C14" s="16">
        <f t="shared" si="3"/>
        <v>2297</v>
      </c>
      <c r="D14" s="16">
        <f t="shared" si="1"/>
        <v>1074</v>
      </c>
      <c r="E14" s="17">
        <f t="shared" si="2"/>
        <v>2725</v>
      </c>
      <c r="F14" s="17">
        <v>1828</v>
      </c>
      <c r="G14" s="17">
        <v>897</v>
      </c>
      <c r="H14" s="17">
        <f t="shared" si="5"/>
        <v>0</v>
      </c>
      <c r="I14" s="17">
        <v>0</v>
      </c>
      <c r="J14" s="17">
        <v>0</v>
      </c>
      <c r="K14" s="29">
        <f t="shared" si="6"/>
        <v>646</v>
      </c>
      <c r="L14" s="35">
        <v>469</v>
      </c>
      <c r="M14" s="35">
        <v>177</v>
      </c>
    </row>
    <row r="15" spans="1:13" x14ac:dyDescent="0.2">
      <c r="A15" s="38" t="s">
        <v>25</v>
      </c>
      <c r="B15" s="16">
        <f t="shared" si="0"/>
        <v>1774</v>
      </c>
      <c r="C15" s="16">
        <f t="shared" si="3"/>
        <v>1033</v>
      </c>
      <c r="D15" s="16">
        <f t="shared" si="1"/>
        <v>741</v>
      </c>
      <c r="E15" s="17">
        <f t="shared" si="2"/>
        <v>1774</v>
      </c>
      <c r="F15" s="17">
        <v>1033</v>
      </c>
      <c r="G15" s="17">
        <v>741</v>
      </c>
      <c r="H15" s="17">
        <f t="shared" si="5"/>
        <v>0</v>
      </c>
      <c r="I15" s="17">
        <v>0</v>
      </c>
      <c r="J15" s="17">
        <v>0</v>
      </c>
      <c r="K15" s="16">
        <f t="shared" si="6"/>
        <v>0</v>
      </c>
      <c r="L15" s="17">
        <v>0</v>
      </c>
      <c r="M15" s="17">
        <v>0</v>
      </c>
    </row>
    <row r="16" spans="1:13" x14ac:dyDescent="0.2">
      <c r="A16" s="20" t="s">
        <v>26</v>
      </c>
      <c r="B16" s="16">
        <f t="shared" si="0"/>
        <v>2886</v>
      </c>
      <c r="C16" s="16">
        <f t="shared" si="3"/>
        <v>1962</v>
      </c>
      <c r="D16" s="16">
        <f t="shared" si="1"/>
        <v>924</v>
      </c>
      <c r="E16" s="16">
        <f t="shared" si="2"/>
        <v>2886</v>
      </c>
      <c r="F16" s="16">
        <f t="shared" ref="F16:M16" si="9">SUM(F17:F18)</f>
        <v>1962</v>
      </c>
      <c r="G16" s="16">
        <f>SUM(G17:G18)</f>
        <v>924</v>
      </c>
      <c r="H16" s="16">
        <f t="shared" si="5"/>
        <v>0</v>
      </c>
      <c r="I16" s="16">
        <f t="shared" si="9"/>
        <v>0</v>
      </c>
      <c r="J16" s="16">
        <f t="shared" si="9"/>
        <v>0</v>
      </c>
      <c r="K16" s="16">
        <f t="shared" si="6"/>
        <v>0</v>
      </c>
      <c r="L16" s="16">
        <f t="shared" si="9"/>
        <v>0</v>
      </c>
      <c r="M16" s="16">
        <f t="shared" si="9"/>
        <v>0</v>
      </c>
    </row>
    <row r="17" spans="1:13" x14ac:dyDescent="0.2">
      <c r="A17" s="38" t="s">
        <v>27</v>
      </c>
      <c r="B17" s="16">
        <f t="shared" si="0"/>
        <v>643</v>
      </c>
      <c r="C17" s="16">
        <f t="shared" si="3"/>
        <v>530</v>
      </c>
      <c r="D17" s="16">
        <f t="shared" si="1"/>
        <v>113</v>
      </c>
      <c r="E17" s="17">
        <f t="shared" si="2"/>
        <v>643</v>
      </c>
      <c r="F17" s="17">
        <v>530</v>
      </c>
      <c r="G17" s="17">
        <v>113</v>
      </c>
      <c r="H17" s="17">
        <f t="shared" si="5"/>
        <v>0</v>
      </c>
      <c r="I17" s="17">
        <v>0</v>
      </c>
      <c r="J17" s="17">
        <v>0</v>
      </c>
      <c r="K17" s="16">
        <f t="shared" si="6"/>
        <v>0</v>
      </c>
      <c r="L17" s="17">
        <v>0</v>
      </c>
      <c r="M17" s="17">
        <v>0</v>
      </c>
    </row>
    <row r="18" spans="1:13" x14ac:dyDescent="0.2">
      <c r="A18" s="38" t="s">
        <v>28</v>
      </c>
      <c r="B18" s="16">
        <f t="shared" si="0"/>
        <v>2243</v>
      </c>
      <c r="C18" s="16">
        <f t="shared" si="3"/>
        <v>1432</v>
      </c>
      <c r="D18" s="16">
        <f t="shared" si="1"/>
        <v>811</v>
      </c>
      <c r="E18" s="17">
        <f t="shared" si="2"/>
        <v>2243</v>
      </c>
      <c r="F18" s="17">
        <v>1432</v>
      </c>
      <c r="G18" s="17">
        <v>811</v>
      </c>
      <c r="H18" s="17">
        <f t="shared" si="5"/>
        <v>0</v>
      </c>
      <c r="I18" s="17">
        <v>0</v>
      </c>
      <c r="J18" s="17">
        <v>0</v>
      </c>
      <c r="K18" s="16">
        <f t="shared" si="6"/>
        <v>0</v>
      </c>
      <c r="L18" s="17">
        <v>0</v>
      </c>
      <c r="M18" s="17">
        <v>0</v>
      </c>
    </row>
    <row r="19" spans="1:13" x14ac:dyDescent="0.2">
      <c r="A19" s="20" t="s">
        <v>29</v>
      </c>
      <c r="B19" s="16">
        <f t="shared" si="0"/>
        <v>6396</v>
      </c>
      <c r="C19" s="16">
        <f t="shared" si="3"/>
        <v>1046</v>
      </c>
      <c r="D19" s="16">
        <f t="shared" si="1"/>
        <v>5350</v>
      </c>
      <c r="E19" s="16">
        <f t="shared" si="2"/>
        <v>3151</v>
      </c>
      <c r="F19" s="16">
        <f t="shared" ref="F19:M19" si="10">SUM(F20:F23)</f>
        <v>767</v>
      </c>
      <c r="G19" s="16">
        <f t="shared" si="10"/>
        <v>2384</v>
      </c>
      <c r="H19" s="16">
        <f>SUM(I19:J19)</f>
        <v>3166</v>
      </c>
      <c r="I19" s="16">
        <f t="shared" si="10"/>
        <v>253</v>
      </c>
      <c r="J19" s="16">
        <f t="shared" si="10"/>
        <v>2913</v>
      </c>
      <c r="K19" s="16">
        <f t="shared" si="6"/>
        <v>79</v>
      </c>
      <c r="L19" s="16">
        <f t="shared" si="10"/>
        <v>26</v>
      </c>
      <c r="M19" s="16">
        <f t="shared" si="10"/>
        <v>53</v>
      </c>
    </row>
    <row r="20" spans="1:13" x14ac:dyDescent="0.2">
      <c r="A20" s="38" t="s">
        <v>30</v>
      </c>
      <c r="B20" s="16">
        <f t="shared" si="0"/>
        <v>3151</v>
      </c>
      <c r="C20" s="16">
        <f t="shared" si="3"/>
        <v>767</v>
      </c>
      <c r="D20" s="16">
        <f t="shared" si="1"/>
        <v>2384</v>
      </c>
      <c r="E20" s="17">
        <f t="shared" si="2"/>
        <v>3151</v>
      </c>
      <c r="F20" s="17">
        <v>767</v>
      </c>
      <c r="G20" s="17">
        <v>2384</v>
      </c>
      <c r="H20" s="17">
        <f t="shared" si="5"/>
        <v>0</v>
      </c>
      <c r="I20" s="17">
        <v>0</v>
      </c>
      <c r="J20" s="17">
        <v>0</v>
      </c>
      <c r="K20" s="16">
        <f t="shared" si="6"/>
        <v>0</v>
      </c>
      <c r="L20" s="17">
        <v>0</v>
      </c>
      <c r="M20" s="17">
        <v>0</v>
      </c>
    </row>
    <row r="21" spans="1:13" x14ac:dyDescent="0.2">
      <c r="A21" s="38" t="s">
        <v>59</v>
      </c>
      <c r="B21" s="16">
        <f t="shared" si="0"/>
        <v>79</v>
      </c>
      <c r="C21" s="16">
        <f t="shared" si="3"/>
        <v>26</v>
      </c>
      <c r="D21" s="16">
        <f t="shared" si="1"/>
        <v>53</v>
      </c>
      <c r="E21" s="17">
        <f t="shared" si="2"/>
        <v>0</v>
      </c>
      <c r="F21" s="17">
        <v>0</v>
      </c>
      <c r="G21" s="17">
        <v>0</v>
      </c>
      <c r="H21" s="17">
        <f t="shared" si="5"/>
        <v>0</v>
      </c>
      <c r="I21" s="17">
        <v>0</v>
      </c>
      <c r="J21" s="17">
        <v>0</v>
      </c>
      <c r="K21" s="16">
        <f t="shared" si="6"/>
        <v>79</v>
      </c>
      <c r="L21" s="17">
        <v>26</v>
      </c>
      <c r="M21" s="17">
        <v>53</v>
      </c>
    </row>
    <row r="22" spans="1:13" x14ac:dyDescent="0.2">
      <c r="A22" s="38" t="s">
        <v>58</v>
      </c>
      <c r="B22" s="16">
        <f t="shared" si="0"/>
        <v>210</v>
      </c>
      <c r="C22" s="16">
        <f t="shared" si="3"/>
        <v>19</v>
      </c>
      <c r="D22" s="16">
        <f t="shared" si="1"/>
        <v>191</v>
      </c>
      <c r="E22" s="17">
        <f t="shared" si="2"/>
        <v>0</v>
      </c>
      <c r="F22" s="17">
        <v>0</v>
      </c>
      <c r="G22" s="17">
        <v>0</v>
      </c>
      <c r="H22" s="17">
        <f t="shared" si="5"/>
        <v>210</v>
      </c>
      <c r="I22" s="17">
        <v>19</v>
      </c>
      <c r="J22" s="17">
        <v>191</v>
      </c>
      <c r="K22" s="16">
        <f t="shared" si="6"/>
        <v>0</v>
      </c>
      <c r="L22" s="17">
        <v>0</v>
      </c>
      <c r="M22" s="17">
        <v>0</v>
      </c>
    </row>
    <row r="23" spans="1:13" x14ac:dyDescent="0.2">
      <c r="A23" s="38" t="s">
        <v>57</v>
      </c>
      <c r="B23" s="16">
        <f t="shared" si="0"/>
        <v>2956</v>
      </c>
      <c r="C23" s="16">
        <f t="shared" si="3"/>
        <v>234</v>
      </c>
      <c r="D23" s="16">
        <f t="shared" si="1"/>
        <v>2722</v>
      </c>
      <c r="E23" s="17">
        <f t="shared" si="2"/>
        <v>0</v>
      </c>
      <c r="F23" s="17">
        <v>0</v>
      </c>
      <c r="G23" s="17">
        <v>0</v>
      </c>
      <c r="H23" s="17">
        <f t="shared" si="5"/>
        <v>2956</v>
      </c>
      <c r="I23" s="17">
        <v>234</v>
      </c>
      <c r="J23" s="17">
        <v>2722</v>
      </c>
      <c r="K23" s="16">
        <f t="shared" si="6"/>
        <v>0</v>
      </c>
      <c r="L23" s="17">
        <v>0</v>
      </c>
      <c r="M23" s="17">
        <v>0</v>
      </c>
    </row>
    <row r="24" spans="1:13" x14ac:dyDescent="0.2">
      <c r="A24" s="20" t="s">
        <v>70</v>
      </c>
      <c r="B24" s="16">
        <f t="shared" si="0"/>
        <v>3105</v>
      </c>
      <c r="C24" s="16">
        <f t="shared" si="3"/>
        <v>1903</v>
      </c>
      <c r="D24" s="16">
        <f t="shared" si="1"/>
        <v>1202</v>
      </c>
      <c r="E24" s="16">
        <f t="shared" si="2"/>
        <v>112</v>
      </c>
      <c r="F24" s="16">
        <f t="shared" ref="F24:M24" si="11">SUM(F25:F26)</f>
        <v>68</v>
      </c>
      <c r="G24" s="16">
        <f t="shared" si="11"/>
        <v>44</v>
      </c>
      <c r="H24" s="16">
        <f t="shared" si="5"/>
        <v>460</v>
      </c>
      <c r="I24" s="16">
        <f t="shared" si="11"/>
        <v>181</v>
      </c>
      <c r="J24" s="16">
        <f t="shared" si="11"/>
        <v>279</v>
      </c>
      <c r="K24" s="16">
        <f t="shared" si="6"/>
        <v>2533</v>
      </c>
      <c r="L24" s="16">
        <f t="shared" si="11"/>
        <v>1654</v>
      </c>
      <c r="M24" s="16">
        <f t="shared" si="11"/>
        <v>879</v>
      </c>
    </row>
    <row r="25" spans="1:13" x14ac:dyDescent="0.2">
      <c r="A25" s="38" t="s">
        <v>31</v>
      </c>
      <c r="B25" s="16">
        <f t="shared" si="0"/>
        <v>460</v>
      </c>
      <c r="C25" s="16">
        <f t="shared" si="3"/>
        <v>181</v>
      </c>
      <c r="D25" s="16">
        <f t="shared" si="1"/>
        <v>279</v>
      </c>
      <c r="E25" s="17">
        <f t="shared" si="2"/>
        <v>0</v>
      </c>
      <c r="F25" s="17">
        <v>0</v>
      </c>
      <c r="G25" s="17">
        <v>0</v>
      </c>
      <c r="H25" s="17">
        <f t="shared" si="5"/>
        <v>460</v>
      </c>
      <c r="I25" s="17">
        <v>181</v>
      </c>
      <c r="J25" s="17">
        <v>279</v>
      </c>
      <c r="K25" s="16">
        <f t="shared" si="6"/>
        <v>0</v>
      </c>
      <c r="L25" s="17"/>
      <c r="M25" s="17"/>
    </row>
    <row r="26" spans="1:13" x14ac:dyDescent="0.2">
      <c r="A26" s="38" t="s">
        <v>32</v>
      </c>
      <c r="B26" s="16">
        <f t="shared" si="0"/>
        <v>2645</v>
      </c>
      <c r="C26" s="16">
        <f t="shared" si="3"/>
        <v>1722</v>
      </c>
      <c r="D26" s="16">
        <f t="shared" si="1"/>
        <v>923</v>
      </c>
      <c r="E26" s="17">
        <f t="shared" si="2"/>
        <v>112</v>
      </c>
      <c r="F26" s="17">
        <v>68</v>
      </c>
      <c r="G26" s="17">
        <v>44</v>
      </c>
      <c r="H26" s="17">
        <f t="shared" si="5"/>
        <v>0</v>
      </c>
      <c r="I26" s="17">
        <v>0</v>
      </c>
      <c r="J26" s="17">
        <v>0</v>
      </c>
      <c r="K26" s="16">
        <f t="shared" si="6"/>
        <v>2533</v>
      </c>
      <c r="L26" s="17">
        <v>1654</v>
      </c>
      <c r="M26" s="17">
        <v>879</v>
      </c>
    </row>
    <row r="27" spans="1:13" x14ac:dyDescent="0.2">
      <c r="A27" s="20" t="s">
        <v>33</v>
      </c>
      <c r="B27" s="16">
        <f t="shared" si="0"/>
        <v>6141</v>
      </c>
      <c r="C27" s="16">
        <f t="shared" si="3"/>
        <v>2020</v>
      </c>
      <c r="D27" s="16">
        <f t="shared" si="1"/>
        <v>4121</v>
      </c>
      <c r="E27" s="16">
        <f t="shared" si="2"/>
        <v>4829</v>
      </c>
      <c r="F27" s="16">
        <f t="shared" ref="F27:M27" si="12">SUM(F28:F33)</f>
        <v>1692</v>
      </c>
      <c r="G27" s="16">
        <f t="shared" si="12"/>
        <v>3137</v>
      </c>
      <c r="H27" s="16">
        <f t="shared" si="5"/>
        <v>1307</v>
      </c>
      <c r="I27" s="16">
        <f t="shared" si="12"/>
        <v>323</v>
      </c>
      <c r="J27" s="16">
        <f t="shared" si="12"/>
        <v>984</v>
      </c>
      <c r="K27" s="16">
        <f t="shared" si="6"/>
        <v>5</v>
      </c>
      <c r="L27" s="16">
        <f t="shared" si="12"/>
        <v>5</v>
      </c>
      <c r="M27" s="16">
        <f t="shared" si="12"/>
        <v>0</v>
      </c>
    </row>
    <row r="28" spans="1:13" x14ac:dyDescent="0.2">
      <c r="A28" s="38" t="s">
        <v>60</v>
      </c>
      <c r="B28" s="16">
        <f t="shared" si="0"/>
        <v>837</v>
      </c>
      <c r="C28" s="16">
        <f t="shared" si="3"/>
        <v>229</v>
      </c>
      <c r="D28" s="16">
        <f t="shared" si="1"/>
        <v>608</v>
      </c>
      <c r="E28" s="17">
        <f t="shared" si="2"/>
        <v>837</v>
      </c>
      <c r="F28" s="17">
        <v>229</v>
      </c>
      <c r="G28" s="17">
        <v>608</v>
      </c>
      <c r="H28" s="17">
        <f t="shared" si="5"/>
        <v>0</v>
      </c>
      <c r="I28" s="17">
        <v>0</v>
      </c>
      <c r="J28" s="17">
        <v>0</v>
      </c>
      <c r="K28" s="16">
        <f t="shared" si="6"/>
        <v>0</v>
      </c>
      <c r="L28" s="17">
        <v>0</v>
      </c>
      <c r="M28" s="17">
        <v>0</v>
      </c>
    </row>
    <row r="29" spans="1:13" x14ac:dyDescent="0.2">
      <c r="A29" s="38" t="s">
        <v>34</v>
      </c>
      <c r="B29" s="16">
        <f t="shared" si="0"/>
        <v>1020</v>
      </c>
      <c r="C29" s="16">
        <f t="shared" si="3"/>
        <v>405</v>
      </c>
      <c r="D29" s="16">
        <f t="shared" si="1"/>
        <v>615</v>
      </c>
      <c r="E29" s="17">
        <f t="shared" si="2"/>
        <v>1020</v>
      </c>
      <c r="F29" s="17">
        <v>405</v>
      </c>
      <c r="G29" s="17">
        <v>615</v>
      </c>
      <c r="H29" s="17">
        <f t="shared" si="5"/>
        <v>0</v>
      </c>
      <c r="I29" s="17">
        <v>0</v>
      </c>
      <c r="J29" s="17">
        <v>0</v>
      </c>
      <c r="K29" s="16">
        <f t="shared" si="6"/>
        <v>0</v>
      </c>
      <c r="L29" s="17">
        <v>0</v>
      </c>
      <c r="M29" s="17">
        <v>0</v>
      </c>
    </row>
    <row r="30" spans="1:13" x14ac:dyDescent="0.2">
      <c r="A30" s="38" t="s">
        <v>61</v>
      </c>
      <c r="B30" s="16">
        <f t="shared" si="0"/>
        <v>2972</v>
      </c>
      <c r="C30" s="16">
        <f t="shared" si="3"/>
        <v>1058</v>
      </c>
      <c r="D30" s="16">
        <f t="shared" si="1"/>
        <v>1914</v>
      </c>
      <c r="E30" s="17">
        <f t="shared" si="2"/>
        <v>2972</v>
      </c>
      <c r="F30" s="17">
        <v>1058</v>
      </c>
      <c r="G30" s="17">
        <v>1914</v>
      </c>
      <c r="H30" s="17">
        <f t="shared" si="5"/>
        <v>0</v>
      </c>
      <c r="I30" s="17">
        <v>0</v>
      </c>
      <c r="J30" s="17">
        <v>0</v>
      </c>
      <c r="K30" s="16">
        <f t="shared" si="6"/>
        <v>0</v>
      </c>
      <c r="L30" s="17">
        <v>0</v>
      </c>
      <c r="M30" s="17">
        <v>0</v>
      </c>
    </row>
    <row r="31" spans="1:13" x14ac:dyDescent="0.2">
      <c r="A31" s="38" t="s">
        <v>63</v>
      </c>
      <c r="B31" s="16">
        <f t="shared" si="0"/>
        <v>5</v>
      </c>
      <c r="C31" s="16">
        <f t="shared" si="3"/>
        <v>5</v>
      </c>
      <c r="D31" s="16">
        <f t="shared" si="1"/>
        <v>0</v>
      </c>
      <c r="E31" s="17">
        <f t="shared" si="2"/>
        <v>0</v>
      </c>
      <c r="F31" s="17">
        <v>0</v>
      </c>
      <c r="G31" s="17">
        <v>0</v>
      </c>
      <c r="H31" s="17">
        <f t="shared" si="5"/>
        <v>0</v>
      </c>
      <c r="I31" s="17">
        <v>0</v>
      </c>
      <c r="J31" s="17">
        <v>0</v>
      </c>
      <c r="K31" s="16">
        <f t="shared" si="6"/>
        <v>5</v>
      </c>
      <c r="L31" s="17">
        <v>5</v>
      </c>
      <c r="M31" s="17">
        <v>0</v>
      </c>
    </row>
    <row r="32" spans="1:13" x14ac:dyDescent="0.2">
      <c r="A32" s="38" t="s">
        <v>35</v>
      </c>
      <c r="B32" s="16">
        <f t="shared" si="0"/>
        <v>146</v>
      </c>
      <c r="C32" s="16">
        <f t="shared" si="3"/>
        <v>42</v>
      </c>
      <c r="D32" s="16">
        <f t="shared" si="1"/>
        <v>104</v>
      </c>
      <c r="E32" s="17">
        <f t="shared" si="2"/>
        <v>0</v>
      </c>
      <c r="F32" s="17">
        <v>0</v>
      </c>
      <c r="G32" s="17">
        <v>0</v>
      </c>
      <c r="H32" s="17">
        <f t="shared" si="5"/>
        <v>146</v>
      </c>
      <c r="I32" s="17">
        <v>42</v>
      </c>
      <c r="J32" s="17">
        <v>104</v>
      </c>
      <c r="K32" s="16">
        <f t="shared" si="6"/>
        <v>0</v>
      </c>
      <c r="L32" s="17">
        <v>0</v>
      </c>
      <c r="M32" s="17">
        <v>0</v>
      </c>
    </row>
    <row r="33" spans="1:13" x14ac:dyDescent="0.2">
      <c r="A33" s="38" t="s">
        <v>62</v>
      </c>
      <c r="B33" s="16">
        <f t="shared" si="0"/>
        <v>1161</v>
      </c>
      <c r="C33" s="16">
        <f t="shared" si="3"/>
        <v>281</v>
      </c>
      <c r="D33" s="16">
        <f t="shared" si="1"/>
        <v>880</v>
      </c>
      <c r="E33" s="17">
        <f t="shared" si="2"/>
        <v>0</v>
      </c>
      <c r="F33" s="17">
        <v>0</v>
      </c>
      <c r="G33" s="17">
        <v>0</v>
      </c>
      <c r="H33" s="17">
        <f t="shared" si="5"/>
        <v>1161</v>
      </c>
      <c r="I33" s="17">
        <v>281</v>
      </c>
      <c r="J33" s="17">
        <v>880</v>
      </c>
      <c r="K33" s="16">
        <f t="shared" si="6"/>
        <v>0</v>
      </c>
      <c r="L33" s="17">
        <v>0</v>
      </c>
      <c r="M33" s="17">
        <v>0</v>
      </c>
    </row>
    <row r="34" spans="1:13" x14ac:dyDescent="0.2">
      <c r="A34" s="20" t="s">
        <v>64</v>
      </c>
      <c r="B34" s="16">
        <f t="shared" si="0"/>
        <v>39827</v>
      </c>
      <c r="C34" s="16">
        <f t="shared" si="3"/>
        <v>19958</v>
      </c>
      <c r="D34" s="16">
        <f t="shared" si="1"/>
        <v>19869</v>
      </c>
      <c r="E34" s="16">
        <f t="shared" ref="E34:E44" si="13">SUM(F34:G34)</f>
        <v>37398</v>
      </c>
      <c r="F34" s="16">
        <f t="shared" ref="F34:M34" si="14">SUM(F35:F39)</f>
        <v>19115</v>
      </c>
      <c r="G34" s="16">
        <f t="shared" si="14"/>
        <v>18283</v>
      </c>
      <c r="H34" s="16">
        <f t="shared" si="5"/>
        <v>2035</v>
      </c>
      <c r="I34" s="16">
        <f t="shared" si="14"/>
        <v>642</v>
      </c>
      <c r="J34" s="16">
        <f t="shared" si="14"/>
        <v>1393</v>
      </c>
      <c r="K34" s="16">
        <f t="shared" si="6"/>
        <v>394</v>
      </c>
      <c r="L34" s="16">
        <f t="shared" si="14"/>
        <v>201</v>
      </c>
      <c r="M34" s="16">
        <f t="shared" si="14"/>
        <v>193</v>
      </c>
    </row>
    <row r="35" spans="1:13" x14ac:dyDescent="0.2">
      <c r="A35" s="38" t="s">
        <v>36</v>
      </c>
      <c r="B35" s="16">
        <f t="shared" si="0"/>
        <v>12493</v>
      </c>
      <c r="C35" s="16">
        <f t="shared" si="3"/>
        <v>5795</v>
      </c>
      <c r="D35" s="16">
        <f t="shared" si="1"/>
        <v>6698</v>
      </c>
      <c r="E35" s="17">
        <f>SUM(F35:G35)</f>
        <v>12099</v>
      </c>
      <c r="F35" s="17">
        <v>5594</v>
      </c>
      <c r="G35" s="17">
        <v>6505</v>
      </c>
      <c r="H35" s="17">
        <f t="shared" si="5"/>
        <v>0</v>
      </c>
      <c r="I35" s="17">
        <v>0</v>
      </c>
      <c r="J35" s="17">
        <v>0</v>
      </c>
      <c r="K35" s="16">
        <f t="shared" si="6"/>
        <v>394</v>
      </c>
      <c r="L35" s="17">
        <v>201</v>
      </c>
      <c r="M35" s="17">
        <v>193</v>
      </c>
    </row>
    <row r="36" spans="1:13" x14ac:dyDescent="0.2">
      <c r="A36" s="38" t="s">
        <v>50</v>
      </c>
      <c r="B36" s="16">
        <f t="shared" si="0"/>
        <v>2035</v>
      </c>
      <c r="C36" s="16">
        <f t="shared" si="3"/>
        <v>642</v>
      </c>
      <c r="D36" s="16">
        <f t="shared" si="1"/>
        <v>1393</v>
      </c>
      <c r="E36" s="17">
        <f>SUM(F36:G36)</f>
        <v>0</v>
      </c>
      <c r="F36" s="17">
        <v>0</v>
      </c>
      <c r="G36" s="17">
        <v>0</v>
      </c>
      <c r="H36" s="17">
        <f t="shared" si="5"/>
        <v>2035</v>
      </c>
      <c r="I36" s="17">
        <v>642</v>
      </c>
      <c r="J36" s="17">
        <v>1393</v>
      </c>
      <c r="K36" s="16">
        <f t="shared" si="6"/>
        <v>0</v>
      </c>
      <c r="L36" s="17">
        <v>0</v>
      </c>
      <c r="M36" s="17">
        <v>0</v>
      </c>
    </row>
    <row r="37" spans="1:13" x14ac:dyDescent="0.2">
      <c r="A37" s="38" t="s">
        <v>37</v>
      </c>
      <c r="B37" s="16">
        <f t="shared" si="0"/>
        <v>19111</v>
      </c>
      <c r="C37" s="16">
        <f t="shared" si="3"/>
        <v>11018</v>
      </c>
      <c r="D37" s="16">
        <f t="shared" si="1"/>
        <v>8093</v>
      </c>
      <c r="E37" s="17">
        <f>SUM(F37:G37)</f>
        <v>19111</v>
      </c>
      <c r="F37" s="17">
        <v>11018</v>
      </c>
      <c r="G37" s="17">
        <v>8093</v>
      </c>
      <c r="H37" s="17">
        <f t="shared" si="5"/>
        <v>0</v>
      </c>
      <c r="I37" s="17">
        <v>0</v>
      </c>
      <c r="J37" s="17">
        <v>0</v>
      </c>
      <c r="K37" s="16">
        <f t="shared" si="6"/>
        <v>0</v>
      </c>
      <c r="L37" s="17">
        <v>0</v>
      </c>
      <c r="M37" s="17">
        <v>0</v>
      </c>
    </row>
    <row r="38" spans="1:13" x14ac:dyDescent="0.2">
      <c r="A38" s="38" t="s">
        <v>38</v>
      </c>
      <c r="B38" s="16">
        <f t="shared" si="0"/>
        <v>5372</v>
      </c>
      <c r="C38" s="16">
        <f t="shared" si="3"/>
        <v>2287</v>
      </c>
      <c r="D38" s="16">
        <f t="shared" si="1"/>
        <v>3085</v>
      </c>
      <c r="E38" s="17">
        <f t="shared" si="13"/>
        <v>5372</v>
      </c>
      <c r="F38" s="17">
        <v>2287</v>
      </c>
      <c r="G38" s="17">
        <v>3085</v>
      </c>
      <c r="H38" s="17">
        <f t="shared" si="5"/>
        <v>0</v>
      </c>
      <c r="I38" s="17">
        <v>0</v>
      </c>
      <c r="J38" s="17">
        <v>0</v>
      </c>
      <c r="K38" s="16">
        <f t="shared" si="6"/>
        <v>0</v>
      </c>
      <c r="L38" s="17">
        <v>0</v>
      </c>
      <c r="M38" s="17">
        <v>0</v>
      </c>
    </row>
    <row r="39" spans="1:13" x14ac:dyDescent="0.2">
      <c r="A39" s="38" t="s">
        <v>39</v>
      </c>
      <c r="B39" s="16">
        <f t="shared" si="0"/>
        <v>816</v>
      </c>
      <c r="C39" s="16">
        <f t="shared" si="3"/>
        <v>216</v>
      </c>
      <c r="D39" s="16">
        <f t="shared" si="1"/>
        <v>600</v>
      </c>
      <c r="E39" s="17">
        <f>SUM(F39:G39)</f>
        <v>816</v>
      </c>
      <c r="F39" s="17">
        <v>216</v>
      </c>
      <c r="G39" s="17">
        <v>600</v>
      </c>
      <c r="H39" s="17">
        <f t="shared" si="5"/>
        <v>0</v>
      </c>
      <c r="I39" s="17">
        <v>0</v>
      </c>
      <c r="J39" s="17">
        <v>0</v>
      </c>
      <c r="K39" s="16">
        <f t="shared" si="6"/>
        <v>0</v>
      </c>
      <c r="L39" s="17">
        <v>0</v>
      </c>
      <c r="M39" s="17">
        <v>0</v>
      </c>
    </row>
    <row r="40" spans="1:13" x14ac:dyDescent="0.2">
      <c r="A40" s="20" t="s">
        <v>65</v>
      </c>
      <c r="B40" s="16">
        <f t="shared" si="0"/>
        <v>688</v>
      </c>
      <c r="C40" s="16">
        <f t="shared" si="3"/>
        <v>442</v>
      </c>
      <c r="D40" s="16">
        <f t="shared" si="1"/>
        <v>246</v>
      </c>
      <c r="E40" s="16">
        <f>SUM(F40:G40)</f>
        <v>0</v>
      </c>
      <c r="F40" s="16">
        <f t="shared" ref="F40:M40" si="15">SUM(F41:F42)</f>
        <v>0</v>
      </c>
      <c r="G40" s="16">
        <f t="shared" si="15"/>
        <v>0</v>
      </c>
      <c r="H40" s="16">
        <f t="shared" si="5"/>
        <v>288</v>
      </c>
      <c r="I40" s="16">
        <f t="shared" si="15"/>
        <v>192</v>
      </c>
      <c r="J40" s="16">
        <f t="shared" si="15"/>
        <v>96</v>
      </c>
      <c r="K40" s="16">
        <f t="shared" si="6"/>
        <v>400</v>
      </c>
      <c r="L40" s="16">
        <f t="shared" si="15"/>
        <v>250</v>
      </c>
      <c r="M40" s="16">
        <f t="shared" si="15"/>
        <v>150</v>
      </c>
    </row>
    <row r="41" spans="1:13" x14ac:dyDescent="0.2">
      <c r="A41" s="38" t="s">
        <v>67</v>
      </c>
      <c r="B41" s="16">
        <f t="shared" si="0"/>
        <v>400</v>
      </c>
      <c r="C41" s="16">
        <f t="shared" si="3"/>
        <v>250</v>
      </c>
      <c r="D41" s="16">
        <f t="shared" si="1"/>
        <v>150</v>
      </c>
      <c r="E41" s="17">
        <f>SUM(F41:G41)</f>
        <v>0</v>
      </c>
      <c r="F41" s="17">
        <v>0</v>
      </c>
      <c r="G41" s="17">
        <v>0</v>
      </c>
      <c r="H41" s="17">
        <f t="shared" si="5"/>
        <v>0</v>
      </c>
      <c r="I41" s="17">
        <v>0</v>
      </c>
      <c r="J41" s="17">
        <v>0</v>
      </c>
      <c r="K41" s="16">
        <f t="shared" si="6"/>
        <v>400</v>
      </c>
      <c r="L41" s="17">
        <v>250</v>
      </c>
      <c r="M41" s="17">
        <v>150</v>
      </c>
    </row>
    <row r="42" spans="1:13" x14ac:dyDescent="0.2">
      <c r="A42" s="38" t="s">
        <v>66</v>
      </c>
      <c r="B42" s="16">
        <f t="shared" si="0"/>
        <v>288</v>
      </c>
      <c r="C42" s="16">
        <f t="shared" si="3"/>
        <v>192</v>
      </c>
      <c r="D42" s="16">
        <f t="shared" si="1"/>
        <v>96</v>
      </c>
      <c r="E42" s="17">
        <f>SUM(F42:G42)</f>
        <v>0</v>
      </c>
      <c r="F42" s="17">
        <v>0</v>
      </c>
      <c r="G42" s="17">
        <v>0</v>
      </c>
      <c r="H42" s="17">
        <f t="shared" si="5"/>
        <v>288</v>
      </c>
      <c r="I42" s="17">
        <v>192</v>
      </c>
      <c r="J42" s="17">
        <v>96</v>
      </c>
      <c r="K42" s="16">
        <f t="shared" si="6"/>
        <v>0</v>
      </c>
      <c r="L42" s="17">
        <v>0</v>
      </c>
      <c r="M42" s="17">
        <v>0</v>
      </c>
    </row>
    <row r="43" spans="1:13" x14ac:dyDescent="0.2">
      <c r="A43" s="20" t="s">
        <v>40</v>
      </c>
      <c r="B43" s="16">
        <f t="shared" si="0"/>
        <v>3600</v>
      </c>
      <c r="C43" s="16">
        <f t="shared" si="3"/>
        <v>1666</v>
      </c>
      <c r="D43" s="16">
        <f t="shared" si="1"/>
        <v>1934</v>
      </c>
      <c r="E43" s="16">
        <f>SUM(F43:G43)</f>
        <v>0</v>
      </c>
      <c r="F43" s="16">
        <f t="shared" ref="F43:M43" si="16">SUM(F44)</f>
        <v>0</v>
      </c>
      <c r="G43" s="16">
        <f t="shared" si="16"/>
        <v>0</v>
      </c>
      <c r="H43" s="16">
        <f t="shared" si="5"/>
        <v>3600</v>
      </c>
      <c r="I43" s="16">
        <f t="shared" si="16"/>
        <v>1666</v>
      </c>
      <c r="J43" s="16">
        <f t="shared" si="16"/>
        <v>1934</v>
      </c>
      <c r="K43" s="16">
        <f t="shared" si="6"/>
        <v>0</v>
      </c>
      <c r="L43" s="16">
        <f t="shared" si="16"/>
        <v>0</v>
      </c>
      <c r="M43" s="16">
        <f t="shared" si="16"/>
        <v>0</v>
      </c>
    </row>
    <row r="44" spans="1:13" x14ac:dyDescent="0.2">
      <c r="A44" s="38" t="s">
        <v>71</v>
      </c>
      <c r="B44" s="16">
        <f t="shared" si="0"/>
        <v>3600</v>
      </c>
      <c r="C44" s="16">
        <f t="shared" si="3"/>
        <v>1666</v>
      </c>
      <c r="D44" s="16">
        <f t="shared" si="1"/>
        <v>1934</v>
      </c>
      <c r="E44" s="17">
        <f t="shared" si="13"/>
        <v>0</v>
      </c>
      <c r="F44" s="17">
        <v>0</v>
      </c>
      <c r="G44" s="17">
        <v>0</v>
      </c>
      <c r="H44" s="17">
        <f t="shared" si="5"/>
        <v>3600</v>
      </c>
      <c r="I44" s="17">
        <v>1666</v>
      </c>
      <c r="J44" s="17">
        <v>1934</v>
      </c>
      <c r="K44" s="16">
        <f t="shared" si="6"/>
        <v>0</v>
      </c>
      <c r="L44" s="17">
        <v>0</v>
      </c>
      <c r="M44" s="17">
        <v>0</v>
      </c>
    </row>
    <row r="45" spans="1:13" x14ac:dyDescent="0.2">
      <c r="A45" s="20" t="s">
        <v>68</v>
      </c>
      <c r="B45" s="16">
        <f t="shared" si="0"/>
        <v>30646</v>
      </c>
      <c r="C45" s="16">
        <f t="shared" si="3"/>
        <v>3759</v>
      </c>
      <c r="D45" s="16">
        <f t="shared" si="1"/>
        <v>26887</v>
      </c>
      <c r="E45" s="16">
        <f>SUM(F45:G45)</f>
        <v>0</v>
      </c>
      <c r="F45" s="16">
        <f t="shared" ref="F45:M45" si="17">SUM(F46)</f>
        <v>0</v>
      </c>
      <c r="G45" s="16">
        <f t="shared" si="17"/>
        <v>0</v>
      </c>
      <c r="H45" s="16">
        <f t="shared" si="5"/>
        <v>30646</v>
      </c>
      <c r="I45" s="16">
        <f t="shared" si="17"/>
        <v>3759</v>
      </c>
      <c r="J45" s="16">
        <f t="shared" si="17"/>
        <v>26887</v>
      </c>
      <c r="K45" s="16">
        <f t="shared" si="6"/>
        <v>0</v>
      </c>
      <c r="L45" s="16">
        <f t="shared" si="17"/>
        <v>0</v>
      </c>
      <c r="M45" s="16">
        <f t="shared" si="17"/>
        <v>0</v>
      </c>
    </row>
    <row r="46" spans="1:13" x14ac:dyDescent="0.2">
      <c r="A46" s="38" t="s">
        <v>41</v>
      </c>
      <c r="B46" s="16">
        <f t="shared" si="0"/>
        <v>30646</v>
      </c>
      <c r="C46" s="16">
        <f t="shared" si="3"/>
        <v>3759</v>
      </c>
      <c r="D46" s="16">
        <f t="shared" si="1"/>
        <v>26887</v>
      </c>
      <c r="E46" s="17">
        <f>SUM(F46:G46)</f>
        <v>0</v>
      </c>
      <c r="F46" s="17">
        <v>0</v>
      </c>
      <c r="G46" s="17">
        <v>0</v>
      </c>
      <c r="H46" s="17">
        <f t="shared" si="5"/>
        <v>30646</v>
      </c>
      <c r="I46" s="17">
        <v>3759</v>
      </c>
      <c r="J46" s="17">
        <v>26887</v>
      </c>
      <c r="K46" s="16">
        <f t="shared" si="6"/>
        <v>0</v>
      </c>
      <c r="L46" s="17">
        <v>0</v>
      </c>
      <c r="M46" s="17">
        <v>0</v>
      </c>
    </row>
    <row r="47" spans="1:13" x14ac:dyDescent="0.2">
      <c r="A47" s="20"/>
      <c r="B47" s="20"/>
      <c r="C47" s="20"/>
      <c r="D47" s="20"/>
      <c r="E47" s="20"/>
      <c r="F47" s="21"/>
      <c r="G47" s="21"/>
      <c r="H47" s="21"/>
      <c r="I47" s="21"/>
      <c r="J47" s="21"/>
      <c r="K47" s="21"/>
      <c r="L47" s="21"/>
      <c r="M47" s="21"/>
    </row>
    <row r="48" spans="1:13" x14ac:dyDescent="0.2">
      <c r="A48" s="61" t="s">
        <v>52</v>
      </c>
      <c r="B48" s="61"/>
      <c r="C48" s="61"/>
      <c r="D48" s="61"/>
      <c r="E48" s="61"/>
      <c r="F48" s="61"/>
      <c r="G48" s="61"/>
      <c r="H48" s="61"/>
      <c r="I48" s="21"/>
      <c r="J48" s="21"/>
      <c r="K48" s="21"/>
      <c r="L48" s="21"/>
      <c r="M48" s="21"/>
    </row>
    <row r="49" spans="1:17" x14ac:dyDescent="0.2">
      <c r="A49" s="54" t="s">
        <v>19</v>
      </c>
      <c r="B49" s="54"/>
      <c r="C49" s="54"/>
      <c r="D49" s="54"/>
      <c r="E49" s="54"/>
      <c r="F49" s="54"/>
      <c r="G49" s="54"/>
      <c r="H49" s="54"/>
      <c r="I49" s="54"/>
      <c r="J49" s="54"/>
      <c r="K49" s="54"/>
      <c r="L49" s="54"/>
      <c r="M49" s="54"/>
      <c r="N49" s="54"/>
      <c r="O49" s="54"/>
      <c r="P49" s="54"/>
      <c r="Q49" s="54"/>
    </row>
    <row r="50" spans="1:17" ht="10.5" customHeight="1" x14ac:dyDescent="0.2">
      <c r="A50" s="36" t="s">
        <v>79</v>
      </c>
      <c r="B50" s="36"/>
      <c r="C50" s="36"/>
      <c r="D50" s="36"/>
      <c r="E50" s="36"/>
    </row>
  </sheetData>
  <mergeCells count="8">
    <mergeCell ref="A2:J2"/>
    <mergeCell ref="A49:Q49"/>
    <mergeCell ref="A4:A5"/>
    <mergeCell ref="B4:D4"/>
    <mergeCell ref="E4:G4"/>
    <mergeCell ref="H4:J4"/>
    <mergeCell ref="K4:M4"/>
    <mergeCell ref="A48:H48"/>
  </mergeCells>
  <pageMargins left="0.31496062992125984" right="0.35433070866141736" top="0.74803149606299213" bottom="0.74803149606299213" header="0.31496062992125984" footer="0.31496062992125984"/>
  <pageSetup paperSize="14" scale="70" orientation="landscape" r:id="rId1"/>
  <colBreaks count="1" manualBreakCount="1">
    <brk id="13" max="10485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D765F-33A6-4AFE-9A0A-49FCE5EF5DA4}">
  <sheetPr codeName="Hoja40"/>
  <dimension ref="A2:D33"/>
  <sheetViews>
    <sheetView workbookViewId="0">
      <selection activeCell="C24" sqref="C24"/>
    </sheetView>
  </sheetViews>
  <sheetFormatPr baseColWidth="10" defaultColWidth="11.44140625" defaultRowHeight="13.2" x14ac:dyDescent="0.25"/>
  <cols>
    <col min="1" max="1" width="41.88671875" style="79" customWidth="1"/>
    <col min="2" max="2" width="56.5546875" style="79" customWidth="1"/>
    <col min="3" max="3" width="32.6640625" style="79" customWidth="1"/>
    <col min="4" max="16384" width="11.44140625" style="79"/>
  </cols>
  <sheetData>
    <row r="2" spans="1:4" ht="26.25" customHeight="1" x14ac:dyDescent="0.25">
      <c r="A2" s="405" t="s">
        <v>633</v>
      </c>
      <c r="B2" s="405"/>
      <c r="C2" s="405"/>
      <c r="D2" s="62"/>
    </row>
    <row r="3" spans="1:4" x14ac:dyDescent="0.25">
      <c r="A3" s="62"/>
      <c r="B3" s="62"/>
      <c r="C3" s="62"/>
      <c r="D3" s="62"/>
    </row>
    <row r="4" spans="1:4" x14ac:dyDescent="0.25">
      <c r="A4" s="353" t="s">
        <v>636</v>
      </c>
      <c r="B4" s="353"/>
      <c r="C4" s="354" t="s">
        <v>637</v>
      </c>
      <c r="D4" s="62"/>
    </row>
    <row r="5" spans="1:4" ht="22.5" customHeight="1" x14ac:dyDescent="0.25">
      <c r="A5" s="355" t="s">
        <v>772</v>
      </c>
      <c r="B5" s="355"/>
      <c r="C5" s="356">
        <v>32461931361</v>
      </c>
      <c r="D5" s="62"/>
    </row>
    <row r="6" spans="1:4" ht="25.5" customHeight="1" x14ac:dyDescent="0.25">
      <c r="A6" s="358" t="s">
        <v>773</v>
      </c>
      <c r="B6" s="358"/>
      <c r="C6" s="359">
        <f>C10</f>
        <v>58070772</v>
      </c>
      <c r="D6" s="62"/>
    </row>
    <row r="7" spans="1:4" ht="31.5" customHeight="1" x14ac:dyDescent="0.25">
      <c r="A7" s="355" t="s">
        <v>721</v>
      </c>
      <c r="B7" s="360"/>
      <c r="C7" s="361">
        <f>C6/C5</f>
        <v>1.7888883860362865E-3</v>
      </c>
      <c r="D7" s="62"/>
    </row>
    <row r="8" spans="1:4" x14ac:dyDescent="0.25">
      <c r="A8" s="62"/>
      <c r="B8" s="62"/>
      <c r="C8" s="62"/>
      <c r="D8" s="62"/>
    </row>
    <row r="9" spans="1:4" s="62" customFormat="1" ht="21" customHeight="1" x14ac:dyDescent="0.2">
      <c r="A9" s="170" t="s">
        <v>141</v>
      </c>
      <c r="B9" s="170" t="s">
        <v>722</v>
      </c>
      <c r="C9" s="170" t="s">
        <v>700</v>
      </c>
    </row>
    <row r="10" spans="1:4" s="62" customFormat="1" ht="21" customHeight="1" x14ac:dyDescent="0.2">
      <c r="A10" s="406" t="s">
        <v>774</v>
      </c>
      <c r="B10" s="407"/>
      <c r="C10" s="408">
        <f>SUM(C11+C17+C20+C21+C23)</f>
        <v>58070772</v>
      </c>
    </row>
    <row r="11" spans="1:4" s="62" customFormat="1" ht="12" x14ac:dyDescent="0.2">
      <c r="A11" s="431" t="s">
        <v>775</v>
      </c>
      <c r="B11" s="370" t="s">
        <v>776</v>
      </c>
      <c r="C11" s="408">
        <f>SUM(C12:C16)</f>
        <v>669465</v>
      </c>
    </row>
    <row r="12" spans="1:4" s="62" customFormat="1" ht="10.199999999999999" x14ac:dyDescent="0.2">
      <c r="A12" s="431"/>
      <c r="B12" s="432" t="s">
        <v>777</v>
      </c>
      <c r="C12" s="433">
        <v>187328</v>
      </c>
    </row>
    <row r="13" spans="1:4" s="62" customFormat="1" ht="10.199999999999999" x14ac:dyDescent="0.2">
      <c r="A13" s="431"/>
      <c r="B13" s="62" t="s">
        <v>778</v>
      </c>
      <c r="C13" s="433">
        <v>14169</v>
      </c>
    </row>
    <row r="14" spans="1:4" s="62" customFormat="1" ht="10.199999999999999" x14ac:dyDescent="0.2">
      <c r="A14" s="431"/>
      <c r="B14" s="432" t="s">
        <v>779</v>
      </c>
      <c r="C14" s="433">
        <v>49531</v>
      </c>
    </row>
    <row r="15" spans="1:4" s="62" customFormat="1" ht="10.199999999999999" x14ac:dyDescent="0.2">
      <c r="A15" s="431"/>
      <c r="B15" s="432" t="s">
        <v>780</v>
      </c>
      <c r="C15" s="433">
        <v>120558</v>
      </c>
    </row>
    <row r="16" spans="1:4" s="62" customFormat="1" ht="10.199999999999999" x14ac:dyDescent="0.2">
      <c r="A16" s="431"/>
      <c r="B16" s="432" t="s">
        <v>781</v>
      </c>
      <c r="C16" s="433">
        <v>297879</v>
      </c>
    </row>
    <row r="17" spans="1:4" s="62" customFormat="1" ht="12" x14ac:dyDescent="0.2">
      <c r="A17" s="369" t="s">
        <v>782</v>
      </c>
      <c r="B17" s="370" t="s">
        <v>783</v>
      </c>
      <c r="C17" s="408">
        <f>SUM(C18:C19)</f>
        <v>1942951</v>
      </c>
    </row>
    <row r="18" spans="1:4" x14ac:dyDescent="0.25">
      <c r="A18" s="369"/>
      <c r="B18" s="434" t="s">
        <v>784</v>
      </c>
      <c r="C18" s="433">
        <v>959978</v>
      </c>
      <c r="D18" s="62"/>
    </row>
    <row r="19" spans="1:4" ht="20.399999999999999" x14ac:dyDescent="0.25">
      <c r="A19" s="369"/>
      <c r="B19" s="434" t="s">
        <v>785</v>
      </c>
      <c r="C19" s="433">
        <v>982973</v>
      </c>
      <c r="D19" s="62"/>
    </row>
    <row r="20" spans="1:4" ht="22.2" x14ac:dyDescent="0.25">
      <c r="A20" s="435" t="s">
        <v>786</v>
      </c>
      <c r="B20" s="436" t="s">
        <v>787</v>
      </c>
      <c r="C20" s="437">
        <v>41768882</v>
      </c>
      <c r="D20" s="62"/>
    </row>
    <row r="21" spans="1:4" x14ac:dyDescent="0.25">
      <c r="A21" s="369" t="s">
        <v>788</v>
      </c>
      <c r="B21" s="370" t="s">
        <v>789</v>
      </c>
      <c r="C21" s="408">
        <f>SUM(C22)</f>
        <v>12797274</v>
      </c>
      <c r="D21" s="62"/>
    </row>
    <row r="22" spans="1:4" x14ac:dyDescent="0.25">
      <c r="A22" s="431"/>
      <c r="B22" s="432" t="s">
        <v>790</v>
      </c>
      <c r="C22" s="433">
        <v>12797274</v>
      </c>
      <c r="D22" s="62"/>
    </row>
    <row r="23" spans="1:4" s="62" customFormat="1" ht="12" x14ac:dyDescent="0.2">
      <c r="A23" s="438" t="s">
        <v>714</v>
      </c>
      <c r="B23" s="370" t="s">
        <v>791</v>
      </c>
      <c r="C23" s="371">
        <f>SUM(C24:C26)</f>
        <v>892200</v>
      </c>
    </row>
    <row r="24" spans="1:4" x14ac:dyDescent="0.25">
      <c r="A24" s="439"/>
      <c r="B24" s="432" t="s">
        <v>792</v>
      </c>
      <c r="C24" s="374">
        <v>516126</v>
      </c>
      <c r="D24" s="62"/>
    </row>
    <row r="25" spans="1:4" s="62" customFormat="1" ht="20.399999999999999" x14ac:dyDescent="0.2">
      <c r="A25" s="439"/>
      <c r="B25" s="432" t="s">
        <v>793</v>
      </c>
      <c r="C25" s="374">
        <v>187102</v>
      </c>
    </row>
    <row r="26" spans="1:4" x14ac:dyDescent="0.25">
      <c r="A26" s="440"/>
      <c r="B26" s="432" t="s">
        <v>794</v>
      </c>
      <c r="C26" s="374">
        <v>188972</v>
      </c>
      <c r="D26" s="62"/>
    </row>
    <row r="27" spans="1:4" x14ac:dyDescent="0.25">
      <c r="A27" s="62"/>
      <c r="B27" s="62"/>
      <c r="C27" s="62"/>
      <c r="D27" s="62"/>
    </row>
    <row r="28" spans="1:4" x14ac:dyDescent="0.25">
      <c r="A28" s="430" t="s">
        <v>795</v>
      </c>
      <c r="B28" s="430"/>
      <c r="C28" s="430"/>
      <c r="D28" s="62"/>
    </row>
    <row r="29" spans="1:4" ht="49.5" customHeight="1" x14ac:dyDescent="0.25">
      <c r="A29" s="430" t="s">
        <v>796</v>
      </c>
      <c r="B29" s="430"/>
      <c r="C29" s="430"/>
      <c r="D29" s="62"/>
    </row>
    <row r="30" spans="1:4" ht="51" customHeight="1" x14ac:dyDescent="0.25">
      <c r="A30" s="430" t="s">
        <v>797</v>
      </c>
      <c r="B30" s="430"/>
      <c r="C30" s="430"/>
      <c r="D30" s="62"/>
    </row>
    <row r="31" spans="1:4" ht="14.25" customHeight="1" x14ac:dyDescent="0.25">
      <c r="A31" s="430" t="s">
        <v>798</v>
      </c>
      <c r="B31" s="430"/>
      <c r="C31" s="430"/>
      <c r="D31" s="62"/>
    </row>
    <row r="32" spans="1:4" ht="39.75" customHeight="1" x14ac:dyDescent="0.25">
      <c r="A32" s="174" t="s">
        <v>799</v>
      </c>
      <c r="B32" s="174"/>
      <c r="C32" s="174"/>
      <c r="D32" s="62"/>
    </row>
    <row r="33" spans="1:4" x14ac:dyDescent="0.25">
      <c r="A33" s="62"/>
      <c r="B33" s="62"/>
      <c r="C33" s="62"/>
      <c r="D33" s="62"/>
    </row>
  </sheetData>
  <mergeCells count="15">
    <mergeCell ref="A30:C30"/>
    <mergeCell ref="A31:C31"/>
    <mergeCell ref="A32:C32"/>
    <mergeCell ref="A11:A16"/>
    <mergeCell ref="A17:A19"/>
    <mergeCell ref="A21:A22"/>
    <mergeCell ref="A23:A26"/>
    <mergeCell ref="A28:C28"/>
    <mergeCell ref="A29:C29"/>
    <mergeCell ref="A2:C2"/>
    <mergeCell ref="A4:B4"/>
    <mergeCell ref="A5:B5"/>
    <mergeCell ref="A6:B6"/>
    <mergeCell ref="A7:B7"/>
    <mergeCell ref="A10:B10"/>
  </mergeCells>
  <pageMargins left="0.7" right="0.7" top="0.75" bottom="0.75" header="0.3" footer="0.3"/>
  <pageSetup paperSize="14" scale="70" orientation="portrait" verticalDpi="599"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78C9B7-A633-436A-8FE6-BA3CECFEA59D}">
  <sheetPr codeName="Hoja41"/>
  <dimension ref="A2:F13"/>
  <sheetViews>
    <sheetView zoomScaleNormal="100" workbookViewId="0"/>
  </sheetViews>
  <sheetFormatPr baseColWidth="10" defaultColWidth="11.44140625" defaultRowHeight="10.199999999999999" x14ac:dyDescent="0.2"/>
  <cols>
    <col min="1" max="1" width="67.109375" style="442" customWidth="1"/>
    <col min="2" max="2" width="14.5546875" style="442" customWidth="1"/>
    <col min="3" max="16384" width="11.44140625" style="442"/>
  </cols>
  <sheetData>
    <row r="2" spans="1:6" s="235" customFormat="1" ht="34.5" customHeight="1" x14ac:dyDescent="0.2">
      <c r="A2" s="297" t="s">
        <v>634</v>
      </c>
      <c r="B2" s="297"/>
      <c r="C2" s="250"/>
      <c r="D2" s="250"/>
      <c r="E2" s="250"/>
      <c r="F2" s="250"/>
    </row>
    <row r="3" spans="1:6" s="235" customFormat="1" x14ac:dyDescent="0.2">
      <c r="A3" s="388"/>
      <c r="B3" s="388"/>
      <c r="C3" s="388"/>
      <c r="D3" s="388"/>
      <c r="E3" s="250"/>
      <c r="F3" s="250"/>
    </row>
    <row r="4" spans="1:6" ht="24" customHeight="1" x14ac:dyDescent="0.2">
      <c r="A4" s="441" t="s">
        <v>800</v>
      </c>
      <c r="B4" s="441" t="s">
        <v>801</v>
      </c>
    </row>
    <row r="5" spans="1:6" x14ac:dyDescent="0.2">
      <c r="A5" s="443" t="s">
        <v>3</v>
      </c>
      <c r="B5" s="444">
        <f>B6+B7+B8</f>
        <v>1</v>
      </c>
    </row>
    <row r="6" spans="1:6" x14ac:dyDescent="0.2">
      <c r="A6" s="351" t="s">
        <v>640</v>
      </c>
      <c r="B6" s="445">
        <v>0.34</v>
      </c>
    </row>
    <row r="7" spans="1:6" ht="21.75" customHeight="1" x14ac:dyDescent="0.2">
      <c r="A7" s="351" t="s">
        <v>698</v>
      </c>
      <c r="B7" s="446">
        <v>0.12</v>
      </c>
    </row>
    <row r="8" spans="1:6" ht="22.5" customHeight="1" x14ac:dyDescent="0.2">
      <c r="A8" s="351" t="s">
        <v>721</v>
      </c>
      <c r="B8" s="446">
        <v>0.54</v>
      </c>
    </row>
    <row r="9" spans="1:6" x14ac:dyDescent="0.2">
      <c r="C9" s="447"/>
    </row>
    <row r="10" spans="1:6" ht="25.5" customHeight="1" x14ac:dyDescent="0.2">
      <c r="A10" s="430" t="s">
        <v>802</v>
      </c>
      <c r="B10" s="430"/>
      <c r="C10" s="447"/>
      <c r="D10" s="447"/>
    </row>
    <row r="11" spans="1:6" x14ac:dyDescent="0.2">
      <c r="A11" s="378"/>
      <c r="B11" s="378"/>
      <c r="C11" s="447"/>
      <c r="D11" s="447"/>
    </row>
    <row r="12" spans="1:6" ht="10.5" customHeight="1" x14ac:dyDescent="0.2">
      <c r="A12" s="443" t="s">
        <v>803</v>
      </c>
      <c r="C12" s="448"/>
      <c r="D12" s="449"/>
    </row>
    <row r="13" spans="1:6" x14ac:dyDescent="0.2">
      <c r="B13" s="450"/>
      <c r="C13" s="451"/>
      <c r="D13" s="451"/>
    </row>
  </sheetData>
  <mergeCells count="2">
    <mergeCell ref="A2:B2"/>
    <mergeCell ref="A10:B10"/>
  </mergeCells>
  <pageMargins left="0.39370078740157483" right="0.39370078740157483" top="0.59055118110236227" bottom="0.39370078740157483" header="0" footer="0"/>
  <pageSetup paperSize="14" scale="97"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8DD03-59CA-4541-88A1-10CD087813A6}">
  <sheetPr codeName="Hoja42">
    <tabColor theme="8"/>
  </sheetPr>
  <dimension ref="A2:A22"/>
  <sheetViews>
    <sheetView workbookViewId="0">
      <selection activeCell="A22" sqref="A22"/>
    </sheetView>
  </sheetViews>
  <sheetFormatPr baseColWidth="10" defaultColWidth="11.44140625" defaultRowHeight="10.199999999999999" x14ac:dyDescent="0.2"/>
  <cols>
    <col min="1" max="16384" width="11.44140625" style="62"/>
  </cols>
  <sheetData>
    <row r="2" spans="1:1" x14ac:dyDescent="0.2">
      <c r="A2" s="63" t="s">
        <v>804</v>
      </c>
    </row>
    <row r="4" spans="1:1" x14ac:dyDescent="0.2">
      <c r="A4" s="182" t="s">
        <v>805</v>
      </c>
    </row>
    <row r="5" spans="1:1" x14ac:dyDescent="0.2">
      <c r="A5" s="182" t="s">
        <v>806</v>
      </c>
    </row>
    <row r="6" spans="1:1" x14ac:dyDescent="0.2">
      <c r="A6" s="182" t="s">
        <v>807</v>
      </c>
    </row>
    <row r="7" spans="1:1" x14ac:dyDescent="0.2">
      <c r="A7" s="182" t="s">
        <v>808</v>
      </c>
    </row>
    <row r="8" spans="1:1" x14ac:dyDescent="0.2">
      <c r="A8" s="182" t="s">
        <v>809</v>
      </c>
    </row>
    <row r="9" spans="1:1" x14ac:dyDescent="0.2">
      <c r="A9" s="182" t="s">
        <v>810</v>
      </c>
    </row>
    <row r="10" spans="1:1" x14ac:dyDescent="0.2">
      <c r="A10" s="452" t="s">
        <v>811</v>
      </c>
    </row>
    <row r="11" spans="1:1" x14ac:dyDescent="0.2">
      <c r="A11" s="182" t="s">
        <v>812</v>
      </c>
    </row>
    <row r="12" spans="1:1" x14ac:dyDescent="0.2">
      <c r="A12" s="182" t="s">
        <v>813</v>
      </c>
    </row>
    <row r="13" spans="1:1" x14ac:dyDescent="0.2">
      <c r="A13" s="182" t="s">
        <v>814</v>
      </c>
    </row>
    <row r="14" spans="1:1" x14ac:dyDescent="0.2">
      <c r="A14" s="182" t="s">
        <v>815</v>
      </c>
    </row>
    <row r="15" spans="1:1" x14ac:dyDescent="0.2">
      <c r="A15" s="182" t="s">
        <v>816</v>
      </c>
    </row>
    <row r="16" spans="1:1" x14ac:dyDescent="0.2">
      <c r="A16" s="182" t="s">
        <v>817</v>
      </c>
    </row>
    <row r="17" spans="1:1" x14ac:dyDescent="0.2">
      <c r="A17" s="182" t="s">
        <v>818</v>
      </c>
    </row>
    <row r="18" spans="1:1" x14ac:dyDescent="0.2">
      <c r="A18" s="182" t="s">
        <v>819</v>
      </c>
    </row>
    <row r="19" spans="1:1" x14ac:dyDescent="0.2">
      <c r="A19" s="182" t="s">
        <v>820</v>
      </c>
    </row>
    <row r="20" spans="1:1" x14ac:dyDescent="0.2">
      <c r="A20" s="182" t="s">
        <v>821</v>
      </c>
    </row>
    <row r="21" spans="1:1" x14ac:dyDescent="0.2">
      <c r="A21" s="182" t="s">
        <v>822</v>
      </c>
    </row>
    <row r="22" spans="1:1" x14ac:dyDescent="0.2">
      <c r="A22" s="182" t="s">
        <v>823</v>
      </c>
    </row>
  </sheetData>
  <hyperlinks>
    <hyperlink ref="A4" location="'2.7-01'!A1" display="CUADRO 2.7-01: TASA DE PIRATERÍA EN LA INDUSTRIA DEL SOFTWARE EN CHILE POR VALORIZACIÓN DE PÉRDIDAS REPORTADAS EN LICENCIAS. 2008-2013/1" xr:uid="{44BF9925-6EF5-442C-8DEE-1890ACDA1ADE}"/>
    <hyperlink ref="A5" location="'2.7-02'!A1" display="CUADRO 2.7-02: TASA DE PIRATERÍA EN LA INDUSTRIA DEL SOFTWARE EN CHILE, AMÉRICA LATINA Y A NIVEL MUNDIAL. 2009-2013/1" xr:uid="{6CFB6ADC-8160-4CFE-91B9-AECA2299E210}"/>
    <hyperlink ref="A6" location="'2.7-03'!A1" display="CUADRO 2.7-03: NÚMERO DE DETENCIONES POR LEY DE PROPIEDAD INTELECTUAL (CÓDIGO N° 09099 &quot;OTROS DELITOS CONTRA LA LEY DE PROPIEDAD INTELECTUAL&quot;) POR SEXO, EDAD, SEGÚN REGIÓN. 2013" xr:uid="{6A2579B1-2E90-48E1-AC1E-ADF402D0C91E}"/>
    <hyperlink ref="A7" location="'2.7-04'!A1" display="CUADRO 2.7-04: NÚMERO DE DENUNCIAS POR &quot;FALSIFICACIÓN DE OBRAS PROTEGIDAS&quot;, SEGÚN REGIÓN. 2013" xr:uid="{272E2811-FD73-4DC7-AB95-5D790F9CDB7B}"/>
    <hyperlink ref="A8" location="'2.7-05'!A1" display="CUADRO 2.7-05: NÚMERO DE DETENCIONES POR LEY 17.336, SEGÚN CÓDIGO N° 09002 ¨FALSIFICACIÓN DE OBRAS PROTEGIDAS¨ Y CÓDIGO N° 09003 ASOCIADO A LA GLOSA &quot;VENTA ILÍCITA DE OBRAS PROTEGIDAS&quot;, POR SEXO, SEGÚN REGIÓN. 2013" xr:uid="{B3A021DC-F59E-48FF-941D-36F68B580569}"/>
    <hyperlink ref="A9" location="'2.7-06'!A1" display="CUADRO 2.7-06: NÚMERO DE DELITOS INVESTIGADOS POR LA POLICÍA DE INVESTIGACIONES DE CHILE (PDI), DE LA LEY DE PROPIEDAD INTELECTUAL Y LEY DE TRÁFICO ILÍCITO DE BIENES CULTURALES, SEGÚN REGIÓN POLICIAL EN QUE SE HIZO LA DENUNCIA. 2013" xr:uid="{6BFBD1E9-8ED6-478B-A091-61CC4DB49815}"/>
    <hyperlink ref="A10" location="'2.7-07'!A1" display="CUADRO 2.7-07: NÚMERO DE DELITOS INVESTIGADOS POR LA POLICÍA DE INVESTIGACIONES DE CHILE (PDI), DE LA LEY DE PROPIEDAD INTELECTUAL Y LEY DE TRÁFICO ILÍCITO DE BIENES CULTURALES, SEGÚN REGIÓN POLICIAL EN QUE SE HIZO LA DENUNCIA Y COMUNA DE OCURRENCIA DEL D" xr:uid="{C0A352B2-3657-48DD-B57A-1093C55C713A}"/>
    <hyperlink ref="A11" location="'2.7-08'!A1" display="CUADRO 2.7-08: NÚMERO DE DELITOS INVESTIGADOS POR LA POLICÍA DE INVESTIGACIONES DE CHILE (PDI) DE LA LEY DE PROPIEDAD INTELECTUAL Y LEY DE TRÁFICO ILÍCITO DE BIENES CULTURALES, SEGÚN REGIÓN POLICIAL Y BIEN AFECTADO. 2013" xr:uid="{467214ED-7296-4F02-8F65-EB918519EACF}"/>
    <hyperlink ref="A12" location="'2.7-09'!A1" display="CUADRO 2.7-09: NÚMERO DE DETENIDOS POR LA POLICÍA DE INVESTIGACIONES DE CHILE (PDI) DE LA LEY DE PROPIEDAD INTELECTUAL Y LEY DE TRÁFICO ILÍCITO DE BIENES CULTURALES POR DELITO, SEGÚN REGIÓN POLICIAL. 2013" xr:uid="{390D5E4C-B510-4CFD-9991-99D1ED51786B}"/>
    <hyperlink ref="A13" location="'2.7-10'!A1" display="CUADRO 2.7-10: NÚMERO DE DETENIDOS POR LA POLICÍA DE INVESTIGACIONES DE CHILE (PDI) DE LEY DE PROPIEDAD INTELECTUAL Y LEY DE TRÁFICO ILÍCITO DE BIENES CULTURALES POR DELITO, SEGÚN REGIÓN POLICIAL Y SEXO. 2013" xr:uid="{6E37FBD2-DD82-48BC-9181-566AC0B63D5C}"/>
    <hyperlink ref="A14" location="'2-7-11'!A1" display="CUADRO 2.7-11: NÚMERO DE DETENIDOS POR LA LA POLICÍA DE INVESTIGACIONES DE CHILE (PDI) DE LA LEY DE PROPIEDAD INTELECTUAL Y LEY DE TRÁFICO ILÍCITO DE BIENES CULTURALES POR DELITO, SEGÚN REGIÓN POLICIAL Y NACIONALIDAD. 2013" xr:uid="{36F89208-D77A-4F05-A649-7EFE8D877235}"/>
    <hyperlink ref="A15" location="'2.7-12'!A1" display="CUADRO 2.7-12: NÚMERO DE DETENIDOS POR LA POLICÍA DE INVESTIGACIONES DE CHILE (PDI) DE LA LEY DE PROPIEDAD INTELECTUAL Y LEY DE TRÁFICO ILÍCITO DE BIENES CULTURALES POR DELITO, SEGÚN REGIÓN POLICIAL Y GRUPOS DE EDAD. 2013" xr:uid="{1509545F-B8B4-41EE-B7C8-F9AA4424EE77}"/>
    <hyperlink ref="A16" location="'2.7-13'!A1" display="CUADRO 2.7-13: ARTÍCULOS INCAUTADOS POR LA POLICÍA DE INVESTIGACIONES DE CHILE (PDI) POR INFRACCIÓN A LEY DE PROPIEDAD INTELECTUAL, SEGÚN UNIDAD POLICIAL. 2013" xr:uid="{3A937B3D-06C6-4F9D-9819-399F5CCD026A}"/>
    <hyperlink ref="A17" location="'2.7-14'!A1" display="CUADRO 2.7-14: CAUSAS INGRESADAS Y TERMINADAS EN JUZGADOS DE GARANTÍA Y DE LETRAS Y GARANTÍA POR INFRACCIÓN A LA LEY DE DAÑOS O APROPIACIÓN SOBRE MONUMENTOS NACIONALES, SEGÚN CORTE DE APELACIÓN. 2013" xr:uid="{6DFAC14D-397B-44E0-BCCC-6C5F6379FDEB}"/>
    <hyperlink ref="A18" location="'2.7-15'!A1" display="CUADRO 2.7-15: IMPUTADOS POR INFRACCIÓN A LA LEY 17.336, SEGÚN CORTE DE APELACIÓN. 2013" xr:uid="{62DE8A36-F174-416C-B201-200F0234E036}"/>
    <hyperlink ref="A19" location="'2.7-16'!A1" display="CUADRO 2.7-16: CONDENADOS POR INFRACCIÓN A LA LEY 17.336, SEGÚN CORTE DE APELACIÓN. 2013" xr:uid="{2C4C8755-BB44-478C-AE7E-2661476EFEFD}"/>
    <hyperlink ref="A20" location="'2.7-17'!A1" display="CUADRO 2.7-17: DELITOS INGRESADOS AL MINISTERIO PÚBLICO EN RELACIÓN A LA LEY DE PROPIEDAD INTELECTUAL, SEGÚN REGIÓN Y FISCALÍA. 2009-2013" xr:uid="{476E096A-96FE-47EB-8C0D-6A372397F065}"/>
    <hyperlink ref="A21" location="'2.7-18'!A1" display="CUADRO 2.7-18: DELITOS TERMINADOS EN EL MINISTERIO PÚBLICO EN RELACIÓN A LA LEY DE PROPIEDAD INTELECTUAL, SEGÚN REGIÓN Y FISCALÍA. 2009-2013" xr:uid="{C2B32D35-D9DD-4066-AC8A-7DA2F64218EC}"/>
    <hyperlink ref="A22" location="'2.7-19'!A1" display="CUADRO 2.7-19: SENTENCIAS DEFINITIVAS CONDENATORIAS EN RELACIÓN A LA LEY DE PROPIEDAD INTELECTUAL, SEGÚN REGIÓN Y FISCALÍA. 2009-2013" xr:uid="{85C7657F-E19C-4641-B079-0832939E855F}"/>
  </hyperlinks>
  <pageMargins left="0.7" right="0.7" top="0.75" bottom="0.75" header="0.3" footer="0.3"/>
  <pageSetup paperSize="14"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B333C1-6218-4E09-B1EB-C31C40E0D3B8}">
  <sheetPr codeName="Hoja43"/>
  <dimension ref="A2:F15"/>
  <sheetViews>
    <sheetView workbookViewId="0"/>
  </sheetViews>
  <sheetFormatPr baseColWidth="10" defaultRowHeight="13.2" x14ac:dyDescent="0.25"/>
  <cols>
    <col min="1" max="1" width="20" style="79" customWidth="1"/>
    <col min="2" max="2" width="13.44140625" style="79" customWidth="1"/>
    <col min="3" max="3" width="22.33203125" style="79" customWidth="1"/>
    <col min="4" max="5" width="11.5546875" style="79"/>
    <col min="6" max="6" width="10.33203125" style="79" customWidth="1"/>
    <col min="7" max="16384" width="11.5546875" style="79"/>
  </cols>
  <sheetData>
    <row r="2" spans="1:6" ht="36" customHeight="1" x14ac:dyDescent="0.25">
      <c r="A2" s="223" t="s">
        <v>824</v>
      </c>
      <c r="B2" s="223"/>
      <c r="C2" s="223"/>
      <c r="D2" s="97"/>
      <c r="E2" s="97"/>
      <c r="F2" s="97"/>
    </row>
    <row r="3" spans="1:6" x14ac:dyDescent="0.25">
      <c r="A3" s="97"/>
      <c r="B3" s="97"/>
      <c r="C3" s="97"/>
      <c r="D3" s="97"/>
      <c r="E3" s="97"/>
      <c r="F3" s="97"/>
    </row>
    <row r="4" spans="1:6" ht="57" customHeight="1" x14ac:dyDescent="0.25">
      <c r="A4" s="453" t="s">
        <v>825</v>
      </c>
      <c r="B4" s="454" t="s">
        <v>826</v>
      </c>
      <c r="C4" s="454" t="s">
        <v>827</v>
      </c>
    </row>
    <row r="5" spans="1:6" x14ac:dyDescent="0.25">
      <c r="A5" s="455">
        <v>2008</v>
      </c>
      <c r="B5" s="456">
        <v>0.67</v>
      </c>
      <c r="C5" s="457" t="s">
        <v>828</v>
      </c>
    </row>
    <row r="6" spans="1:6" x14ac:dyDescent="0.25">
      <c r="A6" s="455">
        <v>2009</v>
      </c>
      <c r="B6" s="456">
        <v>0.64</v>
      </c>
      <c r="C6" s="457" t="s">
        <v>829</v>
      </c>
    </row>
    <row r="7" spans="1:6" x14ac:dyDescent="0.25">
      <c r="A7" s="455">
        <v>2010</v>
      </c>
      <c r="B7" s="456">
        <v>0.62</v>
      </c>
      <c r="C7" s="457" t="s">
        <v>830</v>
      </c>
    </row>
    <row r="8" spans="1:6" x14ac:dyDescent="0.25">
      <c r="A8" s="455">
        <v>2011</v>
      </c>
      <c r="B8" s="456">
        <v>0.61</v>
      </c>
      <c r="C8" s="457" t="s">
        <v>831</v>
      </c>
    </row>
    <row r="9" spans="1:6" x14ac:dyDescent="0.25">
      <c r="A9" s="455" t="s">
        <v>832</v>
      </c>
      <c r="B9" s="456" t="s">
        <v>193</v>
      </c>
      <c r="C9" s="456" t="s">
        <v>193</v>
      </c>
    </row>
    <row r="10" spans="1:6" x14ac:dyDescent="0.25">
      <c r="A10" s="455">
        <v>2013</v>
      </c>
      <c r="B10" s="456">
        <v>0.59</v>
      </c>
      <c r="C10" s="457" t="s">
        <v>833</v>
      </c>
    </row>
    <row r="11" spans="1:6" x14ac:dyDescent="0.25">
      <c r="A11" s="141"/>
      <c r="B11" s="458"/>
      <c r="C11" s="459"/>
    </row>
    <row r="12" spans="1:6" ht="159.75" customHeight="1" x14ac:dyDescent="0.25">
      <c r="A12" s="460" t="s">
        <v>834</v>
      </c>
      <c r="B12" s="460"/>
      <c r="C12" s="460"/>
    </row>
    <row r="13" spans="1:6" ht="28.5" customHeight="1" x14ac:dyDescent="0.25">
      <c r="A13" s="461" t="s">
        <v>835</v>
      </c>
      <c r="B13" s="461"/>
      <c r="C13" s="461"/>
    </row>
    <row r="14" spans="1:6" x14ac:dyDescent="0.25">
      <c r="A14" s="141" t="s">
        <v>198</v>
      </c>
      <c r="B14" s="458"/>
      <c r="C14" s="459"/>
    </row>
    <row r="15" spans="1:6" ht="36.75" customHeight="1" x14ac:dyDescent="0.25">
      <c r="A15" s="462" t="s">
        <v>836</v>
      </c>
      <c r="B15" s="462"/>
      <c r="C15" s="462"/>
    </row>
  </sheetData>
  <mergeCells count="4">
    <mergeCell ref="A2:C2"/>
    <mergeCell ref="A12:C12"/>
    <mergeCell ref="A13:C13"/>
    <mergeCell ref="A15:C15"/>
  </mergeCells>
  <pageMargins left="0.70866141732283472" right="0.70866141732283472" top="0.74803149606299213" bottom="0.74803149606299213" header="0.31496062992125984" footer="0.31496062992125984"/>
  <pageSetup paperSize="14" orientation="portrait" verticalDpi="599"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0F2EB-7E3C-4E47-BB98-AC6398EED233}">
  <sheetPr codeName="Hoja44"/>
  <dimension ref="A2:D15"/>
  <sheetViews>
    <sheetView workbookViewId="0">
      <selection activeCell="B31" sqref="B31"/>
    </sheetView>
  </sheetViews>
  <sheetFormatPr baseColWidth="10" defaultRowHeight="13.2" x14ac:dyDescent="0.25"/>
  <cols>
    <col min="1" max="1" width="14.44140625" style="79" customWidth="1"/>
    <col min="2" max="4" width="15.44140625" style="79" customWidth="1"/>
    <col min="5" max="16384" width="11.5546875" style="79"/>
  </cols>
  <sheetData>
    <row r="2" spans="1:4" ht="39" customHeight="1" x14ac:dyDescent="0.25">
      <c r="A2" s="463" t="s">
        <v>837</v>
      </c>
      <c r="B2" s="463"/>
      <c r="C2" s="463"/>
      <c r="D2" s="463"/>
    </row>
    <row r="3" spans="1:4" ht="13.8" x14ac:dyDescent="0.25">
      <c r="A3" s="464"/>
      <c r="B3" s="464"/>
      <c r="C3" s="464"/>
      <c r="D3" s="464"/>
    </row>
    <row r="4" spans="1:4" ht="30.6" x14ac:dyDescent="0.25">
      <c r="A4" s="453" t="s">
        <v>825</v>
      </c>
      <c r="B4" s="454" t="s">
        <v>826</v>
      </c>
      <c r="C4" s="454" t="s">
        <v>838</v>
      </c>
      <c r="D4" s="454" t="s">
        <v>839</v>
      </c>
    </row>
    <row r="5" spans="1:4" x14ac:dyDescent="0.25">
      <c r="A5" s="455">
        <v>2008</v>
      </c>
      <c r="B5" s="456">
        <v>0.67</v>
      </c>
      <c r="C5" s="456">
        <v>0.65</v>
      </c>
      <c r="D5" s="456">
        <v>0.41</v>
      </c>
    </row>
    <row r="6" spans="1:4" x14ac:dyDescent="0.25">
      <c r="A6" s="455">
        <v>2009</v>
      </c>
      <c r="B6" s="456">
        <v>0.64</v>
      </c>
      <c r="C6" s="456">
        <v>0.63</v>
      </c>
      <c r="D6" s="456">
        <v>0.43</v>
      </c>
    </row>
    <row r="7" spans="1:4" x14ac:dyDescent="0.25">
      <c r="A7" s="455">
        <v>2010</v>
      </c>
      <c r="B7" s="456">
        <v>0.62</v>
      </c>
      <c r="C7" s="456">
        <v>0.64</v>
      </c>
      <c r="D7" s="456">
        <v>0.42</v>
      </c>
    </row>
    <row r="8" spans="1:4" x14ac:dyDescent="0.25">
      <c r="A8" s="455">
        <v>2011</v>
      </c>
      <c r="B8" s="456">
        <v>0.61</v>
      </c>
      <c r="C8" s="456">
        <v>0.61</v>
      </c>
      <c r="D8" s="456">
        <v>0.42</v>
      </c>
    </row>
    <row r="9" spans="1:4" x14ac:dyDescent="0.25">
      <c r="A9" s="455" t="s">
        <v>832</v>
      </c>
      <c r="B9" s="456" t="s">
        <v>193</v>
      </c>
      <c r="C9" s="456" t="s">
        <v>193</v>
      </c>
      <c r="D9" s="456" t="s">
        <v>193</v>
      </c>
    </row>
    <row r="10" spans="1:4" x14ac:dyDescent="0.25">
      <c r="A10" s="455">
        <v>2013</v>
      </c>
      <c r="B10" s="456">
        <v>0.59</v>
      </c>
      <c r="C10" s="456">
        <v>0.59</v>
      </c>
      <c r="D10" s="456">
        <v>0.43</v>
      </c>
    </row>
    <row r="11" spans="1:4" x14ac:dyDescent="0.25">
      <c r="A11" s="141"/>
      <c r="B11" s="458"/>
      <c r="C11" s="465"/>
      <c r="D11" s="465"/>
    </row>
    <row r="12" spans="1:4" ht="140.25" customHeight="1" x14ac:dyDescent="0.25">
      <c r="A12" s="460" t="s">
        <v>834</v>
      </c>
      <c r="B12" s="460"/>
      <c r="C12" s="460"/>
      <c r="D12" s="460"/>
    </row>
    <row r="13" spans="1:4" ht="23.25" customHeight="1" x14ac:dyDescent="0.25">
      <c r="A13" s="466" t="s">
        <v>840</v>
      </c>
      <c r="B13" s="466"/>
      <c r="C13" s="466"/>
      <c r="D13" s="466"/>
    </row>
    <row r="14" spans="1:4" x14ac:dyDescent="0.25">
      <c r="A14" s="466" t="s">
        <v>198</v>
      </c>
      <c r="B14" s="466"/>
      <c r="C14" s="466"/>
      <c r="D14" s="466"/>
    </row>
    <row r="15" spans="1:4" ht="37.5" customHeight="1" x14ac:dyDescent="0.25">
      <c r="A15" s="462" t="s">
        <v>841</v>
      </c>
      <c r="B15" s="462"/>
      <c r="C15" s="462"/>
      <c r="D15" s="462"/>
    </row>
  </sheetData>
  <mergeCells count="5">
    <mergeCell ref="A2:D2"/>
    <mergeCell ref="A12:D12"/>
    <mergeCell ref="A13:D13"/>
    <mergeCell ref="A14:D14"/>
    <mergeCell ref="A15:D15"/>
  </mergeCells>
  <pageMargins left="0.7" right="0.7" top="0.75" bottom="0.75" header="0.3" footer="0.3"/>
  <pageSetup paperSize="14" orientation="portrait" verticalDpi="599"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097CD-18AB-4E27-90BC-5FAD4750808F}">
  <sheetPr codeName="Hoja45"/>
  <dimension ref="A1:L160"/>
  <sheetViews>
    <sheetView workbookViewId="0">
      <selection activeCell="B31" sqref="B31"/>
    </sheetView>
  </sheetViews>
  <sheetFormatPr baseColWidth="10" defaultColWidth="11.44140625" defaultRowHeight="10.199999999999999" x14ac:dyDescent="0.2"/>
  <cols>
    <col min="1" max="1" width="16.33203125" style="62" customWidth="1"/>
    <col min="2" max="2" width="13.5546875" style="62" customWidth="1"/>
    <col min="3" max="10" width="10.33203125" style="62" customWidth="1"/>
    <col min="11" max="16384" width="11.44140625" style="62"/>
  </cols>
  <sheetData>
    <row r="1" spans="1:12" x14ac:dyDescent="0.2">
      <c r="A1" s="467"/>
    </row>
    <row r="2" spans="1:12" ht="30" customHeight="1" x14ac:dyDescent="0.2">
      <c r="A2" s="405" t="s">
        <v>807</v>
      </c>
      <c r="B2" s="405"/>
      <c r="C2" s="405"/>
      <c r="D2" s="405"/>
      <c r="E2" s="405"/>
      <c r="F2" s="405"/>
      <c r="G2" s="405"/>
      <c r="H2" s="405"/>
      <c r="I2" s="405"/>
      <c r="J2" s="405"/>
    </row>
    <row r="3" spans="1:12" x14ac:dyDescent="0.2">
      <c r="A3" s="98"/>
      <c r="B3" s="98"/>
      <c r="C3" s="98"/>
      <c r="D3" s="98"/>
      <c r="E3" s="98"/>
      <c r="G3" s="468"/>
      <c r="H3" s="468"/>
      <c r="I3" s="468"/>
      <c r="J3" s="468"/>
      <c r="K3" s="468"/>
      <c r="L3" s="468"/>
    </row>
    <row r="4" spans="1:12" x14ac:dyDescent="0.2">
      <c r="A4" s="469" t="s">
        <v>0</v>
      </c>
      <c r="B4" s="469" t="s">
        <v>842</v>
      </c>
      <c r="C4" s="470" t="s">
        <v>843</v>
      </c>
      <c r="D4" s="470"/>
      <c r="E4" s="470"/>
      <c r="F4" s="470"/>
      <c r="G4" s="470"/>
      <c r="H4" s="470"/>
      <c r="I4" s="470"/>
      <c r="J4" s="470"/>
      <c r="K4" s="471"/>
      <c r="L4" s="471"/>
    </row>
    <row r="5" spans="1:12" x14ac:dyDescent="0.2">
      <c r="A5" s="469"/>
      <c r="B5" s="469"/>
      <c r="C5" s="469" t="s">
        <v>844</v>
      </c>
      <c r="D5" s="472" t="s">
        <v>122</v>
      </c>
      <c r="E5" s="472"/>
      <c r="F5" s="472"/>
      <c r="G5" s="469" t="s">
        <v>845</v>
      </c>
      <c r="H5" s="472" t="s">
        <v>123</v>
      </c>
      <c r="I5" s="472"/>
      <c r="J5" s="472"/>
      <c r="K5" s="104"/>
      <c r="L5" s="104"/>
    </row>
    <row r="6" spans="1:12" ht="29.25" customHeight="1" x14ac:dyDescent="0.2">
      <c r="A6" s="469"/>
      <c r="B6" s="469"/>
      <c r="C6" s="469"/>
      <c r="D6" s="473" t="s">
        <v>846</v>
      </c>
      <c r="E6" s="473" t="s">
        <v>847</v>
      </c>
      <c r="F6" s="473" t="s">
        <v>848</v>
      </c>
      <c r="G6" s="469"/>
      <c r="H6" s="473" t="s">
        <v>846</v>
      </c>
      <c r="I6" s="473" t="s">
        <v>847</v>
      </c>
      <c r="J6" s="473" t="s">
        <v>848</v>
      </c>
    </row>
    <row r="7" spans="1:12" x14ac:dyDescent="0.2">
      <c r="A7" s="474" t="s">
        <v>3</v>
      </c>
      <c r="B7" s="475">
        <f t="shared" ref="B7:B21" si="0">SUM(C7+G7)</f>
        <v>1417</v>
      </c>
      <c r="C7" s="475">
        <f t="shared" ref="C7:J7" si="1">SUM(C8:C22)</f>
        <v>1120</v>
      </c>
      <c r="D7" s="475">
        <f t="shared" si="1"/>
        <v>107</v>
      </c>
      <c r="E7" s="475">
        <f t="shared" si="1"/>
        <v>429</v>
      </c>
      <c r="F7" s="475">
        <f t="shared" si="1"/>
        <v>584</v>
      </c>
      <c r="G7" s="475">
        <f t="shared" si="1"/>
        <v>297</v>
      </c>
      <c r="H7" s="475">
        <f t="shared" si="1"/>
        <v>10</v>
      </c>
      <c r="I7" s="475">
        <f t="shared" si="1"/>
        <v>132</v>
      </c>
      <c r="J7" s="475">
        <f t="shared" si="1"/>
        <v>155</v>
      </c>
    </row>
    <row r="8" spans="1:12" x14ac:dyDescent="0.2">
      <c r="A8" s="476" t="s">
        <v>4</v>
      </c>
      <c r="B8" s="475">
        <f t="shared" si="0"/>
        <v>17</v>
      </c>
      <c r="C8" s="477">
        <f t="shared" ref="C8:C22" si="2">SUM(D8:F8)</f>
        <v>13</v>
      </c>
      <c r="D8" s="477">
        <v>0</v>
      </c>
      <c r="E8" s="477">
        <v>2</v>
      </c>
      <c r="F8" s="477">
        <v>11</v>
      </c>
      <c r="G8" s="477">
        <f t="shared" ref="G8:G22" si="3">SUM(H8:J8)</f>
        <v>4</v>
      </c>
      <c r="H8" s="477">
        <v>0</v>
      </c>
      <c r="I8" s="477">
        <v>2</v>
      </c>
      <c r="J8" s="477">
        <v>2</v>
      </c>
    </row>
    <row r="9" spans="1:12" x14ac:dyDescent="0.2">
      <c r="A9" s="476" t="s">
        <v>5</v>
      </c>
      <c r="B9" s="475">
        <f t="shared" si="0"/>
        <v>45</v>
      </c>
      <c r="C9" s="477">
        <f t="shared" si="2"/>
        <v>27</v>
      </c>
      <c r="D9" s="477">
        <v>3</v>
      </c>
      <c r="E9" s="477">
        <v>10</v>
      </c>
      <c r="F9" s="477">
        <v>14</v>
      </c>
      <c r="G9" s="477">
        <f t="shared" si="3"/>
        <v>18</v>
      </c>
      <c r="H9" s="477">
        <v>0</v>
      </c>
      <c r="I9" s="477">
        <v>9</v>
      </c>
      <c r="J9" s="477">
        <v>9</v>
      </c>
    </row>
    <row r="10" spans="1:12" x14ac:dyDescent="0.2">
      <c r="A10" s="476" t="s">
        <v>6</v>
      </c>
      <c r="B10" s="475">
        <f t="shared" si="0"/>
        <v>33</v>
      </c>
      <c r="C10" s="477">
        <f t="shared" si="2"/>
        <v>24</v>
      </c>
      <c r="D10" s="477">
        <v>6</v>
      </c>
      <c r="E10" s="477">
        <v>8</v>
      </c>
      <c r="F10" s="477">
        <v>10</v>
      </c>
      <c r="G10" s="477">
        <f t="shared" si="3"/>
        <v>9</v>
      </c>
      <c r="H10" s="477">
        <v>0</v>
      </c>
      <c r="I10" s="477">
        <v>6</v>
      </c>
      <c r="J10" s="477">
        <v>3</v>
      </c>
    </row>
    <row r="11" spans="1:12" x14ac:dyDescent="0.2">
      <c r="A11" s="476" t="s">
        <v>7</v>
      </c>
      <c r="B11" s="475">
        <f t="shared" si="0"/>
        <v>21</v>
      </c>
      <c r="C11" s="477">
        <f t="shared" si="2"/>
        <v>19</v>
      </c>
      <c r="D11" s="477">
        <v>0</v>
      </c>
      <c r="E11" s="477">
        <v>9</v>
      </c>
      <c r="F11" s="477">
        <v>10</v>
      </c>
      <c r="G11" s="477">
        <f t="shared" si="3"/>
        <v>2</v>
      </c>
      <c r="H11" s="477">
        <v>0</v>
      </c>
      <c r="I11" s="477">
        <v>0</v>
      </c>
      <c r="J11" s="477">
        <v>2</v>
      </c>
    </row>
    <row r="12" spans="1:12" x14ac:dyDescent="0.2">
      <c r="A12" s="476" t="s">
        <v>8</v>
      </c>
      <c r="B12" s="475">
        <f t="shared" si="0"/>
        <v>31</v>
      </c>
      <c r="C12" s="477">
        <f t="shared" si="2"/>
        <v>28</v>
      </c>
      <c r="D12" s="477">
        <v>4</v>
      </c>
      <c r="E12" s="477">
        <v>14</v>
      </c>
      <c r="F12" s="477">
        <v>10</v>
      </c>
      <c r="G12" s="477">
        <f t="shared" si="3"/>
        <v>3</v>
      </c>
      <c r="H12" s="477">
        <v>0</v>
      </c>
      <c r="I12" s="477">
        <v>0</v>
      </c>
      <c r="J12" s="477">
        <v>3</v>
      </c>
    </row>
    <row r="13" spans="1:12" x14ac:dyDescent="0.2">
      <c r="A13" s="476" t="s">
        <v>9</v>
      </c>
      <c r="B13" s="475">
        <f t="shared" si="0"/>
        <v>152</v>
      </c>
      <c r="C13" s="477">
        <f t="shared" si="2"/>
        <v>119</v>
      </c>
      <c r="D13" s="477">
        <v>9</v>
      </c>
      <c r="E13" s="477">
        <v>56</v>
      </c>
      <c r="F13" s="477">
        <v>54</v>
      </c>
      <c r="G13" s="477">
        <f t="shared" si="3"/>
        <v>33</v>
      </c>
      <c r="H13" s="477">
        <v>2</v>
      </c>
      <c r="I13" s="477">
        <v>19</v>
      </c>
      <c r="J13" s="477">
        <v>12</v>
      </c>
    </row>
    <row r="14" spans="1:12" x14ac:dyDescent="0.2">
      <c r="A14" s="476" t="s">
        <v>10</v>
      </c>
      <c r="B14" s="475">
        <f t="shared" si="0"/>
        <v>796</v>
      </c>
      <c r="C14" s="477">
        <f t="shared" si="2"/>
        <v>636</v>
      </c>
      <c r="D14" s="477">
        <v>58</v>
      </c>
      <c r="E14" s="477">
        <v>222</v>
      </c>
      <c r="F14" s="477">
        <v>356</v>
      </c>
      <c r="G14" s="477">
        <f t="shared" si="3"/>
        <v>160</v>
      </c>
      <c r="H14" s="477">
        <v>4</v>
      </c>
      <c r="I14" s="477">
        <v>69</v>
      </c>
      <c r="J14" s="477">
        <v>87</v>
      </c>
    </row>
    <row r="15" spans="1:12" x14ac:dyDescent="0.2">
      <c r="A15" s="476" t="s">
        <v>134</v>
      </c>
      <c r="B15" s="475">
        <f t="shared" si="0"/>
        <v>75</v>
      </c>
      <c r="C15" s="477">
        <f t="shared" si="2"/>
        <v>54</v>
      </c>
      <c r="D15" s="477">
        <v>5</v>
      </c>
      <c r="E15" s="477">
        <v>23</v>
      </c>
      <c r="F15" s="477">
        <v>26</v>
      </c>
      <c r="G15" s="477">
        <f t="shared" si="3"/>
        <v>21</v>
      </c>
      <c r="H15" s="477">
        <v>2</v>
      </c>
      <c r="I15" s="477">
        <v>7</v>
      </c>
      <c r="J15" s="477">
        <v>12</v>
      </c>
    </row>
    <row r="16" spans="1:12" x14ac:dyDescent="0.2">
      <c r="A16" s="476" t="s">
        <v>12</v>
      </c>
      <c r="B16" s="475">
        <f t="shared" si="0"/>
        <v>52</v>
      </c>
      <c r="C16" s="477">
        <f t="shared" si="2"/>
        <v>40</v>
      </c>
      <c r="D16" s="477">
        <v>1</v>
      </c>
      <c r="E16" s="477">
        <v>19</v>
      </c>
      <c r="F16" s="477">
        <v>20</v>
      </c>
      <c r="G16" s="477">
        <f t="shared" si="3"/>
        <v>12</v>
      </c>
      <c r="H16" s="477">
        <v>0</v>
      </c>
      <c r="I16" s="477">
        <v>5</v>
      </c>
      <c r="J16" s="477">
        <v>7</v>
      </c>
    </row>
    <row r="17" spans="1:10" x14ac:dyDescent="0.2">
      <c r="A17" s="476" t="s">
        <v>13</v>
      </c>
      <c r="B17" s="475">
        <f t="shared" si="0"/>
        <v>94</v>
      </c>
      <c r="C17" s="477">
        <f t="shared" si="2"/>
        <v>75</v>
      </c>
      <c r="D17" s="477">
        <v>13</v>
      </c>
      <c r="E17" s="477">
        <v>15</v>
      </c>
      <c r="F17" s="477">
        <v>47</v>
      </c>
      <c r="G17" s="477">
        <f t="shared" si="3"/>
        <v>19</v>
      </c>
      <c r="H17" s="477">
        <v>2</v>
      </c>
      <c r="I17" s="477">
        <v>6</v>
      </c>
      <c r="J17" s="477">
        <v>11</v>
      </c>
    </row>
    <row r="18" spans="1:10" x14ac:dyDescent="0.2">
      <c r="A18" s="476" t="s">
        <v>47</v>
      </c>
      <c r="B18" s="475">
        <f t="shared" si="0"/>
        <v>31</v>
      </c>
      <c r="C18" s="477">
        <f t="shared" si="2"/>
        <v>22</v>
      </c>
      <c r="D18" s="477">
        <v>1</v>
      </c>
      <c r="E18" s="477">
        <v>15</v>
      </c>
      <c r="F18" s="477">
        <v>6</v>
      </c>
      <c r="G18" s="477">
        <f t="shared" si="3"/>
        <v>9</v>
      </c>
      <c r="H18" s="477">
        <v>0</v>
      </c>
      <c r="I18" s="477">
        <v>5</v>
      </c>
      <c r="J18" s="477">
        <v>4</v>
      </c>
    </row>
    <row r="19" spans="1:10" x14ac:dyDescent="0.2">
      <c r="A19" s="476" t="s">
        <v>135</v>
      </c>
      <c r="B19" s="475">
        <f t="shared" si="0"/>
        <v>9</v>
      </c>
      <c r="C19" s="477">
        <f t="shared" si="2"/>
        <v>9</v>
      </c>
      <c r="D19" s="477">
        <v>1</v>
      </c>
      <c r="E19" s="477">
        <v>4</v>
      </c>
      <c r="F19" s="477">
        <v>4</v>
      </c>
      <c r="G19" s="477">
        <f t="shared" si="3"/>
        <v>0</v>
      </c>
      <c r="H19" s="477">
        <v>0</v>
      </c>
      <c r="I19" s="477">
        <v>0</v>
      </c>
      <c r="J19" s="477">
        <v>0</v>
      </c>
    </row>
    <row r="20" spans="1:10" x14ac:dyDescent="0.2">
      <c r="A20" s="476" t="s">
        <v>136</v>
      </c>
      <c r="B20" s="475">
        <f t="shared" si="0"/>
        <v>60</v>
      </c>
      <c r="C20" s="477">
        <f t="shared" si="2"/>
        <v>53</v>
      </c>
      <c r="D20" s="477">
        <v>6</v>
      </c>
      <c r="E20" s="477">
        <v>32</v>
      </c>
      <c r="F20" s="477">
        <v>15</v>
      </c>
      <c r="G20" s="477">
        <f t="shared" si="3"/>
        <v>7</v>
      </c>
      <c r="H20" s="477">
        <v>0</v>
      </c>
      <c r="I20" s="477">
        <v>4</v>
      </c>
      <c r="J20" s="477">
        <v>3</v>
      </c>
    </row>
    <row r="21" spans="1:10" x14ac:dyDescent="0.2">
      <c r="A21" s="476" t="s">
        <v>17</v>
      </c>
      <c r="B21" s="475">
        <f t="shared" si="0"/>
        <v>1</v>
      </c>
      <c r="C21" s="477">
        <f t="shared" si="2"/>
        <v>1</v>
      </c>
      <c r="D21" s="477">
        <v>0</v>
      </c>
      <c r="E21" s="477">
        <v>0</v>
      </c>
      <c r="F21" s="477">
        <v>1</v>
      </c>
      <c r="G21" s="477">
        <f t="shared" si="3"/>
        <v>0</v>
      </c>
      <c r="H21" s="477">
        <v>0</v>
      </c>
      <c r="I21" s="477">
        <v>0</v>
      </c>
      <c r="J21" s="477">
        <v>0</v>
      </c>
    </row>
    <row r="22" spans="1:10" x14ac:dyDescent="0.2">
      <c r="A22" s="476" t="s">
        <v>18</v>
      </c>
      <c r="B22" s="475">
        <v>0</v>
      </c>
      <c r="C22" s="477">
        <f t="shared" si="2"/>
        <v>0</v>
      </c>
      <c r="D22" s="477">
        <v>0</v>
      </c>
      <c r="E22" s="477">
        <v>0</v>
      </c>
      <c r="F22" s="477">
        <v>0</v>
      </c>
      <c r="G22" s="477">
        <f t="shared" si="3"/>
        <v>0</v>
      </c>
      <c r="H22" s="477">
        <v>0</v>
      </c>
      <c r="I22" s="477">
        <v>0</v>
      </c>
      <c r="J22" s="477">
        <v>0</v>
      </c>
    </row>
    <row r="24" spans="1:10" x14ac:dyDescent="0.2">
      <c r="A24" s="478" t="s">
        <v>19</v>
      </c>
      <c r="F24" s="479"/>
      <c r="G24" s="479"/>
      <c r="H24" s="479"/>
      <c r="I24" s="479"/>
      <c r="J24" s="479"/>
    </row>
    <row r="25" spans="1:10" x14ac:dyDescent="0.2">
      <c r="A25" s="384" t="s">
        <v>849</v>
      </c>
      <c r="B25" s="384"/>
      <c r="C25" s="384"/>
      <c r="D25" s="384"/>
      <c r="E25" s="384"/>
      <c r="F25" s="384"/>
      <c r="G25" s="384"/>
      <c r="H25" s="384"/>
      <c r="I25" s="480"/>
      <c r="J25" s="480"/>
    </row>
    <row r="26" spans="1:10" x14ac:dyDescent="0.2">
      <c r="A26" s="481"/>
      <c r="B26" s="482"/>
      <c r="C26" s="483"/>
      <c r="D26" s="483"/>
      <c r="E26" s="482"/>
      <c r="H26" s="481"/>
    </row>
    <row r="27" spans="1:10" x14ac:dyDescent="0.2">
      <c r="A27" s="443"/>
      <c r="B27" s="482"/>
      <c r="C27" s="482"/>
      <c r="D27" s="482"/>
      <c r="E27" s="482"/>
      <c r="H27" s="442"/>
    </row>
    <row r="28" spans="1:10" x14ac:dyDescent="0.2">
      <c r="A28" s="481"/>
      <c r="B28" s="482"/>
      <c r="C28" s="483"/>
      <c r="D28" s="483"/>
      <c r="E28" s="482"/>
      <c r="H28" s="481"/>
    </row>
    <row r="29" spans="1:10" x14ac:dyDescent="0.2">
      <c r="A29" s="481"/>
      <c r="B29" s="482"/>
      <c r="C29" s="483"/>
      <c r="D29" s="483"/>
      <c r="E29" s="482"/>
    </row>
    <row r="30" spans="1:10" x14ac:dyDescent="0.2">
      <c r="A30" s="481"/>
      <c r="B30" s="482"/>
      <c r="C30" s="483"/>
      <c r="D30" s="483"/>
      <c r="E30" s="482"/>
    </row>
    <row r="31" spans="1:10" x14ac:dyDescent="0.2">
      <c r="A31" s="443"/>
      <c r="B31" s="482"/>
      <c r="C31" s="482"/>
      <c r="D31" s="482"/>
      <c r="E31" s="482"/>
      <c r="H31" s="481"/>
    </row>
    <row r="32" spans="1:10" x14ac:dyDescent="0.2">
      <c r="A32" s="481"/>
      <c r="B32" s="482"/>
      <c r="C32" s="483"/>
      <c r="D32" s="483"/>
      <c r="E32" s="482"/>
      <c r="H32" s="481"/>
    </row>
    <row r="33" spans="1:8" x14ac:dyDescent="0.2">
      <c r="A33" s="481"/>
      <c r="B33" s="482"/>
      <c r="C33" s="483"/>
      <c r="D33" s="483"/>
      <c r="E33" s="482"/>
      <c r="H33" s="442"/>
    </row>
    <row r="34" spans="1:8" x14ac:dyDescent="0.2">
      <c r="A34" s="443"/>
      <c r="B34" s="482"/>
      <c r="C34" s="482"/>
      <c r="D34" s="482"/>
      <c r="E34" s="482"/>
      <c r="H34" s="481"/>
    </row>
    <row r="35" spans="1:8" x14ac:dyDescent="0.2">
      <c r="A35" s="443"/>
      <c r="B35" s="482"/>
      <c r="C35" s="482"/>
      <c r="D35" s="482"/>
      <c r="E35" s="482"/>
      <c r="H35" s="481"/>
    </row>
    <row r="36" spans="1:8" x14ac:dyDescent="0.2">
      <c r="A36" s="481"/>
      <c r="B36" s="482"/>
      <c r="C36" s="483"/>
      <c r="D36" s="483"/>
      <c r="E36" s="482"/>
      <c r="H36" s="481"/>
    </row>
    <row r="37" spans="1:8" x14ac:dyDescent="0.2">
      <c r="A37" s="481"/>
      <c r="B37" s="482"/>
      <c r="C37" s="483"/>
      <c r="D37" s="483"/>
      <c r="E37" s="482"/>
      <c r="H37" s="442"/>
    </row>
    <row r="38" spans="1:8" x14ac:dyDescent="0.2">
      <c r="A38" s="481"/>
      <c r="B38" s="482"/>
      <c r="C38" s="483"/>
      <c r="D38" s="483"/>
      <c r="E38" s="482"/>
      <c r="H38" s="481"/>
    </row>
    <row r="39" spans="1:8" x14ac:dyDescent="0.2">
      <c r="A39" s="481"/>
      <c r="B39" s="482"/>
      <c r="C39" s="483"/>
      <c r="D39" s="483"/>
      <c r="E39" s="482"/>
      <c r="H39" s="481"/>
    </row>
    <row r="40" spans="1:8" x14ac:dyDescent="0.2">
      <c r="A40" s="481"/>
      <c r="B40" s="482"/>
      <c r="C40" s="483"/>
      <c r="D40" s="483"/>
      <c r="E40" s="482"/>
      <c r="H40" s="481"/>
    </row>
    <row r="41" spans="1:8" x14ac:dyDescent="0.2">
      <c r="A41" s="481"/>
      <c r="B41" s="482"/>
      <c r="C41" s="483"/>
      <c r="D41" s="483"/>
      <c r="E41" s="482"/>
      <c r="H41" s="442"/>
    </row>
    <row r="42" spans="1:8" x14ac:dyDescent="0.2">
      <c r="A42" s="481"/>
      <c r="B42" s="482"/>
      <c r="C42" s="483"/>
      <c r="D42" s="483"/>
      <c r="E42" s="482"/>
      <c r="H42" s="442"/>
    </row>
    <row r="43" spans="1:8" x14ac:dyDescent="0.2">
      <c r="A43" s="443"/>
      <c r="B43" s="482"/>
      <c r="C43" s="482"/>
      <c r="D43" s="482"/>
      <c r="E43" s="482"/>
      <c r="H43" s="481"/>
    </row>
    <row r="44" spans="1:8" x14ac:dyDescent="0.2">
      <c r="A44" s="481"/>
      <c r="B44" s="482"/>
      <c r="C44" s="483"/>
      <c r="D44" s="483"/>
      <c r="E44" s="482"/>
      <c r="H44" s="481"/>
    </row>
    <row r="45" spans="1:8" x14ac:dyDescent="0.2">
      <c r="A45" s="474"/>
      <c r="B45" s="482"/>
      <c r="C45" s="482"/>
      <c r="D45" s="482"/>
      <c r="E45" s="482"/>
      <c r="H45" s="481"/>
    </row>
    <row r="46" spans="1:8" x14ac:dyDescent="0.2">
      <c r="A46" s="481"/>
      <c r="B46" s="482"/>
      <c r="C46" s="483"/>
      <c r="D46" s="483"/>
      <c r="E46" s="482"/>
      <c r="H46" s="481"/>
    </row>
    <row r="47" spans="1:8" x14ac:dyDescent="0.2">
      <c r="A47" s="443"/>
      <c r="B47" s="482"/>
      <c r="C47" s="482"/>
      <c r="D47" s="482"/>
      <c r="E47" s="482"/>
      <c r="H47" s="481"/>
    </row>
    <row r="48" spans="1:8" x14ac:dyDescent="0.2">
      <c r="A48" s="481"/>
      <c r="B48" s="482"/>
      <c r="C48" s="483"/>
      <c r="D48" s="483"/>
      <c r="E48" s="482"/>
      <c r="H48" s="481"/>
    </row>
    <row r="49" spans="1:8" x14ac:dyDescent="0.2">
      <c r="A49" s="481"/>
      <c r="B49" s="482"/>
      <c r="C49" s="483"/>
      <c r="D49" s="483"/>
      <c r="E49" s="482"/>
      <c r="H49" s="442"/>
    </row>
    <row r="50" spans="1:8" x14ac:dyDescent="0.2">
      <c r="A50" s="481"/>
      <c r="B50" s="482"/>
      <c r="C50" s="483"/>
      <c r="D50" s="483"/>
      <c r="E50" s="482"/>
      <c r="H50" s="481"/>
    </row>
    <row r="51" spans="1:8" x14ac:dyDescent="0.2">
      <c r="A51" s="443"/>
      <c r="B51" s="482"/>
      <c r="C51" s="482"/>
      <c r="D51" s="482"/>
      <c r="E51" s="482"/>
      <c r="H51" s="442"/>
    </row>
    <row r="52" spans="1:8" x14ac:dyDescent="0.2">
      <c r="A52" s="481"/>
      <c r="B52" s="482"/>
      <c r="C52" s="483"/>
      <c r="D52" s="483"/>
      <c r="E52" s="482"/>
      <c r="H52" s="481"/>
    </row>
    <row r="53" spans="1:8" x14ac:dyDescent="0.2">
      <c r="A53" s="481"/>
      <c r="B53" s="482"/>
      <c r="C53" s="483"/>
      <c r="D53" s="483"/>
      <c r="E53" s="482"/>
      <c r="H53" s="481"/>
    </row>
    <row r="54" spans="1:8" x14ac:dyDescent="0.2">
      <c r="A54" s="484"/>
      <c r="B54" s="482"/>
      <c r="C54" s="482"/>
      <c r="D54" s="482"/>
      <c r="E54" s="482"/>
      <c r="H54" s="481"/>
    </row>
    <row r="55" spans="1:8" x14ac:dyDescent="0.2">
      <c r="A55" s="443"/>
      <c r="B55" s="482"/>
      <c r="C55" s="482"/>
      <c r="D55" s="482"/>
      <c r="E55" s="482"/>
      <c r="H55" s="442"/>
    </row>
    <row r="56" spans="1:8" x14ac:dyDescent="0.2">
      <c r="A56" s="481"/>
      <c r="B56" s="482"/>
      <c r="C56" s="483"/>
      <c r="D56" s="483"/>
      <c r="E56" s="482"/>
      <c r="H56" s="481"/>
    </row>
    <row r="57" spans="1:8" x14ac:dyDescent="0.2">
      <c r="A57" s="481"/>
      <c r="B57" s="482"/>
      <c r="C57" s="483"/>
      <c r="D57" s="483"/>
      <c r="E57" s="482"/>
      <c r="H57" s="481"/>
    </row>
    <row r="58" spans="1:8" x14ac:dyDescent="0.2">
      <c r="A58" s="481"/>
      <c r="B58" s="482"/>
      <c r="C58" s="483"/>
      <c r="D58" s="483"/>
      <c r="E58" s="482"/>
      <c r="H58" s="481"/>
    </row>
    <row r="59" spans="1:8" x14ac:dyDescent="0.2">
      <c r="A59" s="481"/>
      <c r="B59" s="482"/>
      <c r="C59" s="483"/>
      <c r="D59" s="483"/>
      <c r="E59" s="482"/>
      <c r="H59" s="442"/>
    </row>
    <row r="60" spans="1:8" x14ac:dyDescent="0.2">
      <c r="A60" s="443"/>
      <c r="B60" s="482"/>
      <c r="C60" s="482"/>
      <c r="D60" s="482"/>
      <c r="E60" s="482"/>
      <c r="H60" s="481"/>
    </row>
    <row r="61" spans="1:8" x14ac:dyDescent="0.2">
      <c r="A61" s="481"/>
      <c r="B61" s="482"/>
      <c r="C61" s="483"/>
      <c r="D61" s="483"/>
      <c r="E61" s="482"/>
      <c r="H61" s="481"/>
    </row>
    <row r="62" spans="1:8" x14ac:dyDescent="0.2">
      <c r="A62" s="481"/>
      <c r="B62" s="482"/>
      <c r="C62" s="483"/>
      <c r="D62" s="483"/>
      <c r="E62" s="482"/>
      <c r="H62" s="485"/>
    </row>
    <row r="63" spans="1:8" x14ac:dyDescent="0.2">
      <c r="A63" s="481"/>
      <c r="B63" s="482"/>
      <c r="C63" s="483"/>
      <c r="D63" s="483"/>
      <c r="E63" s="482"/>
      <c r="H63" s="442"/>
    </row>
    <row r="64" spans="1:8" x14ac:dyDescent="0.2">
      <c r="A64" s="481"/>
      <c r="B64" s="482"/>
      <c r="C64" s="483"/>
      <c r="D64" s="483"/>
      <c r="E64" s="482"/>
      <c r="H64" s="481"/>
    </row>
    <row r="65" spans="1:8" x14ac:dyDescent="0.2">
      <c r="A65" s="443"/>
      <c r="B65" s="482"/>
      <c r="C65" s="482"/>
      <c r="D65" s="482"/>
      <c r="E65" s="482"/>
      <c r="H65" s="481"/>
    </row>
    <row r="66" spans="1:8" x14ac:dyDescent="0.2">
      <c r="A66" s="443"/>
      <c r="B66" s="482"/>
      <c r="C66" s="482"/>
      <c r="D66" s="482"/>
      <c r="E66" s="482"/>
      <c r="H66" s="481"/>
    </row>
    <row r="67" spans="1:8" x14ac:dyDescent="0.2">
      <c r="A67" s="481"/>
      <c r="B67" s="482"/>
      <c r="C67" s="483"/>
      <c r="D67" s="483"/>
      <c r="E67" s="482"/>
      <c r="H67" s="481"/>
    </row>
    <row r="68" spans="1:8" x14ac:dyDescent="0.2">
      <c r="A68" s="481"/>
      <c r="B68" s="482"/>
      <c r="C68" s="483"/>
      <c r="D68" s="483"/>
      <c r="E68" s="482"/>
      <c r="H68" s="481"/>
    </row>
    <row r="69" spans="1:8" x14ac:dyDescent="0.2">
      <c r="A69" s="443"/>
      <c r="B69" s="482"/>
      <c r="C69" s="482"/>
      <c r="D69" s="482"/>
      <c r="E69" s="482"/>
      <c r="H69" s="481"/>
    </row>
    <row r="70" spans="1:8" x14ac:dyDescent="0.2">
      <c r="A70" s="481"/>
      <c r="B70" s="482"/>
      <c r="C70" s="483"/>
      <c r="D70" s="483"/>
      <c r="E70" s="482"/>
      <c r="H70" s="481"/>
    </row>
    <row r="71" spans="1:8" x14ac:dyDescent="0.2">
      <c r="A71" s="443"/>
      <c r="B71" s="482"/>
      <c r="C71" s="482"/>
      <c r="D71" s="482"/>
      <c r="E71" s="482"/>
      <c r="H71" s="481"/>
    </row>
    <row r="72" spans="1:8" x14ac:dyDescent="0.2">
      <c r="A72" s="481"/>
      <c r="B72" s="482"/>
      <c r="C72" s="483"/>
      <c r="D72" s="483"/>
      <c r="E72" s="482"/>
      <c r="H72" s="481"/>
    </row>
    <row r="73" spans="1:8" x14ac:dyDescent="0.2">
      <c r="A73" s="481"/>
      <c r="B73" s="482"/>
      <c r="C73" s="483"/>
      <c r="D73" s="483"/>
      <c r="E73" s="482"/>
      <c r="H73" s="442"/>
    </row>
    <row r="74" spans="1:8" x14ac:dyDescent="0.2">
      <c r="A74" s="443"/>
      <c r="B74" s="482"/>
      <c r="C74" s="482"/>
      <c r="D74" s="482"/>
      <c r="E74" s="482"/>
      <c r="H74" s="481"/>
    </row>
    <row r="75" spans="1:8" x14ac:dyDescent="0.2">
      <c r="A75" s="443"/>
      <c r="B75" s="482"/>
      <c r="C75" s="482"/>
      <c r="D75" s="482"/>
      <c r="E75" s="482"/>
      <c r="H75" s="481"/>
    </row>
    <row r="76" spans="1:8" x14ac:dyDescent="0.2">
      <c r="A76" s="481"/>
      <c r="B76" s="482"/>
      <c r="C76" s="483"/>
      <c r="D76" s="483"/>
      <c r="E76" s="482"/>
      <c r="H76" s="481"/>
    </row>
    <row r="77" spans="1:8" x14ac:dyDescent="0.2">
      <c r="A77" s="481"/>
      <c r="B77" s="482"/>
      <c r="C77" s="483"/>
      <c r="D77" s="483"/>
      <c r="E77" s="482"/>
      <c r="H77" s="442"/>
    </row>
    <row r="78" spans="1:8" x14ac:dyDescent="0.2">
      <c r="A78" s="481"/>
      <c r="B78" s="482"/>
      <c r="C78" s="483"/>
      <c r="D78" s="483"/>
      <c r="E78" s="482"/>
      <c r="H78" s="481"/>
    </row>
    <row r="79" spans="1:8" x14ac:dyDescent="0.2">
      <c r="A79" s="481"/>
      <c r="B79" s="482"/>
      <c r="C79" s="483"/>
      <c r="D79" s="483"/>
      <c r="E79" s="482"/>
      <c r="H79" s="481"/>
    </row>
    <row r="80" spans="1:8" x14ac:dyDescent="0.2">
      <c r="A80" s="481"/>
      <c r="B80" s="482"/>
      <c r="C80" s="483"/>
      <c r="D80" s="483"/>
      <c r="E80" s="482"/>
      <c r="H80" s="481"/>
    </row>
    <row r="81" spans="1:8" x14ac:dyDescent="0.2">
      <c r="A81" s="481"/>
      <c r="B81" s="482"/>
      <c r="C81" s="483"/>
      <c r="D81" s="483"/>
      <c r="E81" s="482"/>
      <c r="H81" s="481"/>
    </row>
    <row r="82" spans="1:8" x14ac:dyDescent="0.2">
      <c r="A82" s="481"/>
      <c r="B82" s="482"/>
      <c r="C82" s="483"/>
      <c r="D82" s="483"/>
      <c r="E82" s="482"/>
      <c r="H82" s="442"/>
    </row>
    <row r="83" spans="1:8" x14ac:dyDescent="0.2">
      <c r="A83" s="443"/>
      <c r="B83" s="482"/>
      <c r="C83" s="482"/>
      <c r="D83" s="482"/>
      <c r="E83" s="482"/>
      <c r="H83" s="442"/>
    </row>
    <row r="84" spans="1:8" x14ac:dyDescent="0.2">
      <c r="A84" s="481"/>
      <c r="B84" s="482"/>
      <c r="C84" s="483"/>
      <c r="D84" s="483"/>
      <c r="E84" s="482"/>
      <c r="H84" s="481"/>
    </row>
    <row r="85" spans="1:8" x14ac:dyDescent="0.2">
      <c r="A85" s="481"/>
      <c r="B85" s="482"/>
      <c r="C85" s="483"/>
      <c r="D85" s="483"/>
      <c r="E85" s="482"/>
      <c r="H85" s="481"/>
    </row>
    <row r="86" spans="1:8" x14ac:dyDescent="0.2">
      <c r="A86" s="481"/>
      <c r="B86" s="482"/>
      <c r="C86" s="483"/>
      <c r="D86" s="483"/>
      <c r="E86" s="482"/>
      <c r="H86" s="481"/>
    </row>
    <row r="87" spans="1:8" x14ac:dyDescent="0.2">
      <c r="A87" s="443"/>
      <c r="B87" s="482"/>
      <c r="C87" s="482"/>
      <c r="D87" s="482"/>
      <c r="E87" s="482"/>
      <c r="H87" s="442"/>
    </row>
    <row r="88" spans="1:8" x14ac:dyDescent="0.2">
      <c r="A88" s="481"/>
      <c r="B88" s="482"/>
      <c r="C88" s="483"/>
      <c r="D88" s="483"/>
      <c r="E88" s="482"/>
      <c r="H88" s="481"/>
    </row>
    <row r="89" spans="1:8" x14ac:dyDescent="0.2">
      <c r="A89" s="481"/>
      <c r="B89" s="482"/>
      <c r="C89" s="483"/>
      <c r="D89" s="483"/>
      <c r="E89" s="482"/>
      <c r="H89" s="481"/>
    </row>
    <row r="90" spans="1:8" x14ac:dyDescent="0.2">
      <c r="A90" s="481"/>
      <c r="B90" s="482"/>
      <c r="C90" s="483"/>
      <c r="D90" s="483"/>
      <c r="E90" s="482"/>
      <c r="H90" s="442"/>
    </row>
    <row r="91" spans="1:8" x14ac:dyDescent="0.2">
      <c r="A91" s="481"/>
      <c r="B91" s="482"/>
      <c r="C91" s="483"/>
      <c r="D91" s="483"/>
      <c r="E91" s="482"/>
      <c r="H91" s="481"/>
    </row>
    <row r="92" spans="1:8" x14ac:dyDescent="0.2">
      <c r="A92" s="481"/>
      <c r="B92" s="482"/>
      <c r="C92" s="483"/>
      <c r="D92" s="483"/>
      <c r="E92" s="482"/>
      <c r="H92" s="481"/>
    </row>
    <row r="93" spans="1:8" x14ac:dyDescent="0.2">
      <c r="A93" s="443"/>
      <c r="B93" s="482"/>
      <c r="C93" s="482"/>
      <c r="D93" s="482"/>
      <c r="E93" s="482"/>
      <c r="H93" s="481"/>
    </row>
    <row r="94" spans="1:8" x14ac:dyDescent="0.2">
      <c r="A94" s="481"/>
      <c r="B94" s="482"/>
      <c r="C94" s="483"/>
      <c r="D94" s="483"/>
      <c r="E94" s="482"/>
      <c r="H94" s="442"/>
    </row>
    <row r="95" spans="1:8" x14ac:dyDescent="0.2">
      <c r="A95" s="481"/>
      <c r="B95" s="482"/>
      <c r="C95" s="483"/>
      <c r="D95" s="483"/>
      <c r="E95" s="482"/>
      <c r="H95" s="442"/>
    </row>
    <row r="96" spans="1:8" x14ac:dyDescent="0.2">
      <c r="A96" s="481"/>
      <c r="B96" s="482"/>
      <c r="C96" s="483"/>
      <c r="D96" s="483"/>
      <c r="E96" s="482"/>
      <c r="H96" s="481"/>
    </row>
    <row r="97" spans="1:8" x14ac:dyDescent="0.2">
      <c r="A97" s="481"/>
      <c r="B97" s="482"/>
      <c r="C97" s="483"/>
      <c r="D97" s="483"/>
      <c r="E97" s="482"/>
      <c r="H97" s="481"/>
    </row>
    <row r="98" spans="1:8" x14ac:dyDescent="0.2">
      <c r="A98" s="443"/>
      <c r="B98" s="482"/>
      <c r="C98" s="482"/>
      <c r="D98" s="482"/>
      <c r="E98" s="482"/>
      <c r="H98" s="481"/>
    </row>
    <row r="99" spans="1:8" x14ac:dyDescent="0.2">
      <c r="A99" s="443"/>
      <c r="B99" s="482"/>
      <c r="C99" s="482"/>
      <c r="D99" s="482"/>
      <c r="E99" s="482"/>
      <c r="H99" s="481"/>
    </row>
    <row r="100" spans="1:8" x14ac:dyDescent="0.2">
      <c r="A100" s="481"/>
      <c r="B100" s="482"/>
      <c r="C100" s="483"/>
      <c r="D100" s="483"/>
      <c r="E100" s="482"/>
      <c r="H100" s="481"/>
    </row>
    <row r="101" spans="1:8" x14ac:dyDescent="0.2">
      <c r="A101" s="481"/>
      <c r="B101" s="482"/>
      <c r="C101" s="483"/>
      <c r="D101" s="483"/>
      <c r="E101" s="482"/>
      <c r="H101" s="481"/>
    </row>
    <row r="102" spans="1:8" x14ac:dyDescent="0.2">
      <c r="A102" s="63"/>
      <c r="B102" s="482"/>
      <c r="C102" s="482"/>
      <c r="D102" s="482"/>
      <c r="E102" s="482"/>
      <c r="H102" s="481"/>
    </row>
    <row r="103" spans="1:8" x14ac:dyDescent="0.2">
      <c r="A103" s="481"/>
      <c r="B103" s="482"/>
      <c r="C103" s="483"/>
      <c r="D103" s="483"/>
      <c r="E103" s="482"/>
      <c r="H103" s="442"/>
    </row>
    <row r="104" spans="1:8" x14ac:dyDescent="0.2">
      <c r="A104" s="443"/>
      <c r="B104" s="482"/>
      <c r="C104" s="482"/>
      <c r="D104" s="482"/>
      <c r="E104" s="482"/>
      <c r="H104" s="481"/>
    </row>
    <row r="105" spans="1:8" x14ac:dyDescent="0.2">
      <c r="A105" s="443"/>
      <c r="B105" s="482"/>
      <c r="C105" s="482"/>
      <c r="D105" s="482"/>
      <c r="E105" s="482"/>
      <c r="H105" s="481"/>
    </row>
    <row r="106" spans="1:8" x14ac:dyDescent="0.2">
      <c r="A106" s="481"/>
      <c r="B106" s="482"/>
      <c r="C106" s="483"/>
      <c r="D106" s="483"/>
      <c r="E106" s="482"/>
      <c r="H106" s="481"/>
    </row>
    <row r="107" spans="1:8" x14ac:dyDescent="0.2">
      <c r="A107" s="481"/>
      <c r="B107" s="482"/>
      <c r="C107" s="483"/>
      <c r="D107" s="483"/>
      <c r="E107" s="482"/>
    </row>
    <row r="108" spans="1:8" x14ac:dyDescent="0.2">
      <c r="A108" s="481"/>
      <c r="B108" s="482"/>
      <c r="C108" s="483"/>
      <c r="D108" s="483"/>
      <c r="E108" s="482"/>
      <c r="H108" s="481"/>
    </row>
    <row r="109" spans="1:8" x14ac:dyDescent="0.2">
      <c r="A109" s="443"/>
      <c r="B109" s="482"/>
      <c r="C109" s="482"/>
      <c r="D109" s="482"/>
      <c r="E109" s="482"/>
      <c r="H109" s="481"/>
    </row>
    <row r="110" spans="1:8" x14ac:dyDescent="0.2">
      <c r="A110" s="443"/>
      <c r="B110" s="482"/>
      <c r="C110" s="482"/>
      <c r="D110" s="482"/>
      <c r="E110" s="482"/>
      <c r="H110" s="481"/>
    </row>
    <row r="111" spans="1:8" x14ac:dyDescent="0.2">
      <c r="A111" s="481"/>
      <c r="B111" s="482"/>
      <c r="C111" s="483"/>
      <c r="D111" s="483"/>
      <c r="E111" s="482"/>
      <c r="H111" s="481"/>
    </row>
    <row r="112" spans="1:8" x14ac:dyDescent="0.2">
      <c r="A112" s="481"/>
      <c r="B112" s="482"/>
      <c r="C112" s="483"/>
      <c r="D112" s="483"/>
      <c r="E112" s="482"/>
      <c r="H112" s="442"/>
    </row>
    <row r="113" spans="1:8" x14ac:dyDescent="0.2">
      <c r="A113" s="481"/>
      <c r="B113" s="482"/>
      <c r="C113" s="483"/>
      <c r="D113" s="483"/>
      <c r="E113" s="482"/>
      <c r="H113" s="481"/>
    </row>
    <row r="114" spans="1:8" x14ac:dyDescent="0.2">
      <c r="A114" s="481"/>
      <c r="B114" s="482"/>
      <c r="C114" s="483"/>
      <c r="D114" s="483"/>
      <c r="E114" s="482"/>
      <c r="H114" s="481"/>
    </row>
    <row r="115" spans="1:8" x14ac:dyDescent="0.2">
      <c r="A115" s="481"/>
      <c r="B115" s="482"/>
      <c r="C115" s="483"/>
      <c r="D115" s="483"/>
      <c r="E115" s="482"/>
      <c r="H115" s="442"/>
    </row>
    <row r="116" spans="1:8" x14ac:dyDescent="0.2">
      <c r="A116" s="443"/>
      <c r="B116" s="482"/>
      <c r="C116" s="482"/>
      <c r="D116" s="482"/>
      <c r="E116" s="482"/>
      <c r="H116" s="481"/>
    </row>
    <row r="117" spans="1:8" x14ac:dyDescent="0.2">
      <c r="A117" s="481"/>
      <c r="B117" s="482"/>
      <c r="C117" s="483"/>
      <c r="D117" s="483"/>
      <c r="E117" s="482"/>
      <c r="H117" s="481"/>
    </row>
    <row r="118" spans="1:8" x14ac:dyDescent="0.2">
      <c r="A118" s="481"/>
      <c r="B118" s="482"/>
      <c r="C118" s="483"/>
      <c r="D118" s="483"/>
      <c r="E118" s="482"/>
      <c r="H118" s="481"/>
    </row>
    <row r="119" spans="1:8" x14ac:dyDescent="0.2">
      <c r="A119" s="443"/>
      <c r="B119" s="482"/>
      <c r="C119" s="482"/>
      <c r="D119" s="482"/>
      <c r="E119" s="482"/>
      <c r="H119" s="481"/>
    </row>
    <row r="120" spans="1:8" x14ac:dyDescent="0.2">
      <c r="A120" s="481"/>
      <c r="B120" s="482"/>
      <c r="C120" s="483"/>
      <c r="D120" s="483"/>
      <c r="E120" s="482"/>
      <c r="H120" s="442"/>
    </row>
    <row r="121" spans="1:8" x14ac:dyDescent="0.2">
      <c r="A121" s="443"/>
      <c r="B121" s="482"/>
      <c r="C121" s="482"/>
      <c r="D121" s="482"/>
      <c r="E121" s="482"/>
      <c r="H121" s="442"/>
    </row>
    <row r="122" spans="1:8" x14ac:dyDescent="0.2">
      <c r="A122" s="481"/>
      <c r="B122" s="482"/>
      <c r="C122" s="483"/>
      <c r="D122" s="483"/>
      <c r="E122" s="482"/>
      <c r="H122" s="481"/>
    </row>
    <row r="123" spans="1:8" x14ac:dyDescent="0.2">
      <c r="A123" s="97"/>
      <c r="B123" s="482"/>
      <c r="C123" s="482"/>
      <c r="D123" s="482"/>
      <c r="E123" s="482"/>
      <c r="H123" s="481"/>
    </row>
    <row r="124" spans="1:8" x14ac:dyDescent="0.2">
      <c r="A124" s="63"/>
      <c r="B124" s="482"/>
      <c r="C124" s="482"/>
      <c r="D124" s="482"/>
      <c r="E124" s="482"/>
      <c r="H124" s="481"/>
    </row>
    <row r="125" spans="1:8" x14ac:dyDescent="0.2">
      <c r="A125" s="481"/>
      <c r="B125" s="482"/>
      <c r="C125" s="483"/>
      <c r="D125" s="483"/>
      <c r="E125" s="482"/>
      <c r="H125" s="481"/>
    </row>
    <row r="126" spans="1:8" x14ac:dyDescent="0.2">
      <c r="A126" s="63"/>
      <c r="B126" s="482"/>
      <c r="C126" s="482"/>
      <c r="D126" s="482"/>
      <c r="E126" s="482"/>
      <c r="H126" s="481"/>
    </row>
    <row r="127" spans="1:8" x14ac:dyDescent="0.2">
      <c r="A127" s="63"/>
      <c r="B127" s="482"/>
      <c r="C127" s="482"/>
      <c r="D127" s="482"/>
      <c r="E127" s="482"/>
      <c r="H127" s="442"/>
    </row>
    <row r="128" spans="1:8" x14ac:dyDescent="0.2">
      <c r="A128" s="481"/>
      <c r="B128" s="482"/>
      <c r="C128" s="483"/>
      <c r="D128" s="483"/>
      <c r="E128" s="482"/>
      <c r="H128" s="442"/>
    </row>
    <row r="129" spans="1:8" x14ac:dyDescent="0.2">
      <c r="A129" s="481"/>
      <c r="B129" s="482"/>
      <c r="C129" s="483"/>
      <c r="D129" s="483"/>
      <c r="E129" s="482"/>
      <c r="H129" s="481"/>
    </row>
    <row r="130" spans="1:8" x14ac:dyDescent="0.2">
      <c r="A130" s="481"/>
      <c r="B130" s="482"/>
      <c r="C130" s="483"/>
      <c r="D130" s="483"/>
      <c r="E130" s="482"/>
      <c r="H130" s="481"/>
    </row>
    <row r="131" spans="1:8" x14ac:dyDescent="0.2">
      <c r="A131" s="481"/>
      <c r="B131" s="482"/>
      <c r="C131" s="483"/>
      <c r="D131" s="483"/>
      <c r="E131" s="482"/>
      <c r="H131" s="481"/>
    </row>
    <row r="132" spans="1:8" x14ac:dyDescent="0.2">
      <c r="A132" s="481"/>
      <c r="B132" s="482"/>
      <c r="C132" s="483"/>
      <c r="D132" s="483"/>
      <c r="E132" s="482"/>
      <c r="H132" s="481"/>
    </row>
    <row r="133" spans="1:8" x14ac:dyDescent="0.2">
      <c r="A133" s="481"/>
      <c r="B133" s="482"/>
      <c r="C133" s="483"/>
      <c r="D133" s="483"/>
      <c r="E133" s="482"/>
      <c r="H133" s="481"/>
    </row>
    <row r="134" spans="1:8" x14ac:dyDescent="0.2">
      <c r="A134" s="481"/>
      <c r="B134" s="482"/>
      <c r="C134" s="483"/>
      <c r="D134" s="483"/>
      <c r="E134" s="482"/>
      <c r="H134" s="442"/>
    </row>
    <row r="135" spans="1:8" x14ac:dyDescent="0.2">
      <c r="A135" s="481"/>
      <c r="B135" s="482"/>
      <c r="C135" s="483"/>
      <c r="D135" s="483"/>
      <c r="E135" s="482"/>
      <c r="H135" s="442"/>
    </row>
    <row r="136" spans="1:8" x14ac:dyDescent="0.2">
      <c r="A136" s="481"/>
      <c r="B136" s="482"/>
      <c r="C136" s="483"/>
      <c r="D136" s="483"/>
      <c r="E136" s="482"/>
      <c r="H136" s="481"/>
    </row>
    <row r="137" spans="1:8" x14ac:dyDescent="0.2">
      <c r="A137" s="481"/>
      <c r="B137" s="482"/>
      <c r="C137" s="483"/>
      <c r="D137" s="483"/>
      <c r="E137" s="482"/>
      <c r="H137" s="481"/>
    </row>
    <row r="138" spans="1:8" x14ac:dyDescent="0.2">
      <c r="A138" s="481"/>
      <c r="B138" s="482"/>
      <c r="C138" s="483"/>
      <c r="D138" s="483"/>
      <c r="E138" s="482"/>
      <c r="H138" s="442"/>
    </row>
    <row r="139" spans="1:8" x14ac:dyDescent="0.2">
      <c r="A139" s="443"/>
      <c r="B139" s="482"/>
      <c r="C139" s="482"/>
      <c r="D139" s="482"/>
      <c r="E139" s="482"/>
      <c r="H139" s="481"/>
    </row>
    <row r="140" spans="1:8" x14ac:dyDescent="0.2">
      <c r="A140" s="481"/>
      <c r="B140" s="482"/>
      <c r="C140" s="483"/>
      <c r="D140" s="483"/>
      <c r="E140" s="482"/>
      <c r="H140" s="481"/>
    </row>
    <row r="141" spans="1:8" x14ac:dyDescent="0.2">
      <c r="A141" s="443"/>
      <c r="B141" s="482"/>
      <c r="C141" s="482"/>
      <c r="D141" s="482"/>
      <c r="E141" s="482"/>
      <c r="H141" s="481"/>
    </row>
    <row r="142" spans="1:8" x14ac:dyDescent="0.2">
      <c r="A142" s="481"/>
      <c r="B142" s="482"/>
      <c r="C142" s="483"/>
      <c r="D142" s="483"/>
      <c r="E142" s="482"/>
      <c r="H142" s="442"/>
    </row>
    <row r="143" spans="1:8" x14ac:dyDescent="0.2">
      <c r="A143" s="481"/>
      <c r="B143" s="482"/>
      <c r="C143" s="483"/>
      <c r="D143" s="483"/>
      <c r="E143" s="482"/>
      <c r="H143" s="481"/>
    </row>
    <row r="144" spans="1:8" x14ac:dyDescent="0.2">
      <c r="A144" s="443"/>
      <c r="B144" s="482"/>
      <c r="C144" s="482"/>
      <c r="D144" s="482"/>
      <c r="E144" s="482"/>
      <c r="H144" s="481"/>
    </row>
    <row r="145" spans="1:8" x14ac:dyDescent="0.2">
      <c r="A145" s="481"/>
      <c r="B145" s="482"/>
      <c r="C145" s="483"/>
      <c r="D145" s="483"/>
      <c r="E145" s="482"/>
      <c r="H145" s="442"/>
    </row>
    <row r="146" spans="1:8" x14ac:dyDescent="0.2">
      <c r="A146" s="443"/>
      <c r="B146" s="482"/>
      <c r="C146" s="482"/>
      <c r="D146" s="482"/>
      <c r="E146" s="482"/>
      <c r="H146" s="481"/>
    </row>
    <row r="147" spans="1:8" x14ac:dyDescent="0.2">
      <c r="A147" s="481"/>
      <c r="B147" s="482"/>
      <c r="C147" s="483"/>
      <c r="D147" s="483"/>
      <c r="E147" s="482"/>
      <c r="H147" s="107"/>
    </row>
    <row r="148" spans="1:8" x14ac:dyDescent="0.2">
      <c r="A148" s="443"/>
      <c r="B148" s="482"/>
      <c r="C148" s="482"/>
      <c r="D148" s="482"/>
      <c r="E148" s="482"/>
      <c r="H148" s="481"/>
    </row>
    <row r="149" spans="1:8" x14ac:dyDescent="0.2">
      <c r="A149" s="481"/>
      <c r="B149" s="482"/>
      <c r="C149" s="483"/>
      <c r="D149" s="483"/>
      <c r="E149" s="482"/>
      <c r="H149" s="481"/>
    </row>
    <row r="150" spans="1:8" x14ac:dyDescent="0.2">
      <c r="A150" s="481"/>
      <c r="B150" s="482"/>
      <c r="C150" s="483"/>
      <c r="D150" s="483"/>
      <c r="E150" s="482"/>
    </row>
    <row r="151" spans="1:8" x14ac:dyDescent="0.2">
      <c r="A151" s="481"/>
      <c r="B151" s="482"/>
      <c r="C151" s="483"/>
      <c r="D151" s="483"/>
      <c r="E151" s="482"/>
    </row>
    <row r="152" spans="1:8" x14ac:dyDescent="0.2">
      <c r="A152" s="184"/>
      <c r="H152" s="481"/>
    </row>
    <row r="153" spans="1:8" x14ac:dyDescent="0.2">
      <c r="H153" s="481"/>
    </row>
    <row r="154" spans="1:8" x14ac:dyDescent="0.2">
      <c r="H154" s="481"/>
    </row>
    <row r="155" spans="1:8" x14ac:dyDescent="0.2">
      <c r="H155" s="481"/>
    </row>
    <row r="156" spans="1:8" x14ac:dyDescent="0.2">
      <c r="H156" s="481"/>
    </row>
    <row r="157" spans="1:8" x14ac:dyDescent="0.2">
      <c r="A157" s="442"/>
      <c r="H157" s="481"/>
    </row>
    <row r="158" spans="1:8" x14ac:dyDescent="0.2">
      <c r="A158" s="442"/>
      <c r="H158" s="481"/>
    </row>
    <row r="159" spans="1:8" x14ac:dyDescent="0.2">
      <c r="A159" s="442"/>
      <c r="H159" s="481"/>
    </row>
    <row r="160" spans="1:8" x14ac:dyDescent="0.2">
      <c r="A160" s="442"/>
      <c r="H160" s="481"/>
    </row>
  </sheetData>
  <mergeCells count="9">
    <mergeCell ref="A25:H25"/>
    <mergeCell ref="A2:J2"/>
    <mergeCell ref="A4:A6"/>
    <mergeCell ref="B4:B6"/>
    <mergeCell ref="C4:J4"/>
    <mergeCell ref="C5:C6"/>
    <mergeCell ref="D5:F5"/>
    <mergeCell ref="G5:G6"/>
    <mergeCell ref="H5:J5"/>
  </mergeCells>
  <pageMargins left="0.70866141732283472" right="0.70866141732283472" top="0.74803149606299213" bottom="0.74803149606299213" header="0.31496062992125984" footer="0.31496062992125984"/>
  <pageSetup paperSize="14"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FBF1D-291B-4E07-A03D-63326B0A2029}">
  <sheetPr codeName="Hoja46"/>
  <dimension ref="A2:J23"/>
  <sheetViews>
    <sheetView workbookViewId="0">
      <selection activeCell="B31" sqref="B31"/>
    </sheetView>
  </sheetViews>
  <sheetFormatPr baseColWidth="10" defaultColWidth="11.44140625" defaultRowHeight="10.199999999999999" x14ac:dyDescent="0.2"/>
  <cols>
    <col min="1" max="1" width="29.6640625" style="62" customWidth="1"/>
    <col min="2" max="2" width="11.44140625" style="62"/>
    <col min="3" max="5" width="13.44140625" style="62" customWidth="1"/>
    <col min="6" max="16384" width="11.44140625" style="62"/>
  </cols>
  <sheetData>
    <row r="2" spans="1:5" ht="28.5" customHeight="1" x14ac:dyDescent="0.2">
      <c r="A2" s="405" t="s">
        <v>808</v>
      </c>
      <c r="B2" s="405"/>
      <c r="C2" s="405"/>
      <c r="D2" s="405"/>
      <c r="E2" s="405"/>
    </row>
    <row r="3" spans="1:5" x14ac:dyDescent="0.2">
      <c r="A3" s="486"/>
      <c r="B3" s="487"/>
      <c r="C3" s="487"/>
      <c r="D3" s="487"/>
      <c r="E3" s="487"/>
    </row>
    <row r="4" spans="1:5" ht="10.5" customHeight="1" x14ac:dyDescent="0.2">
      <c r="A4" s="469" t="s">
        <v>0</v>
      </c>
      <c r="B4" s="469" t="s">
        <v>850</v>
      </c>
      <c r="C4" s="472" t="s">
        <v>851</v>
      </c>
      <c r="D4" s="472"/>
      <c r="E4" s="469" t="s">
        <v>843</v>
      </c>
    </row>
    <row r="5" spans="1:5" ht="20.399999999999999" x14ac:dyDescent="0.2">
      <c r="A5" s="469"/>
      <c r="B5" s="469"/>
      <c r="C5" s="473" t="s">
        <v>852</v>
      </c>
      <c r="D5" s="473" t="s">
        <v>853</v>
      </c>
      <c r="E5" s="469"/>
    </row>
    <row r="6" spans="1:5" x14ac:dyDescent="0.2">
      <c r="A6" s="443" t="s">
        <v>3</v>
      </c>
      <c r="B6" s="475">
        <f>SUM(B7:B20)</f>
        <v>104</v>
      </c>
      <c r="C6" s="475">
        <f>SUM(C7:C20)</f>
        <v>20</v>
      </c>
      <c r="D6" s="475">
        <f>SUM(D7:D20)</f>
        <v>84</v>
      </c>
      <c r="E6" s="475">
        <f>SUM(E7:E20)</f>
        <v>99</v>
      </c>
    </row>
    <row r="7" spans="1:5" x14ac:dyDescent="0.2">
      <c r="A7" s="485" t="s">
        <v>4</v>
      </c>
      <c r="B7" s="475">
        <f t="shared" ref="B7:B20" si="0">SUM(C7:D7)</f>
        <v>2</v>
      </c>
      <c r="C7" s="477">
        <v>0</v>
      </c>
      <c r="D7" s="477">
        <v>2</v>
      </c>
      <c r="E7" s="477">
        <v>2</v>
      </c>
    </row>
    <row r="8" spans="1:5" x14ac:dyDescent="0.2">
      <c r="A8" s="442" t="s">
        <v>5</v>
      </c>
      <c r="B8" s="475">
        <f t="shared" si="0"/>
        <v>8</v>
      </c>
      <c r="C8" s="477">
        <v>2</v>
      </c>
      <c r="D8" s="477">
        <v>6</v>
      </c>
      <c r="E8" s="477">
        <v>6</v>
      </c>
    </row>
    <row r="9" spans="1:5" x14ac:dyDescent="0.2">
      <c r="A9" s="442" t="s">
        <v>6</v>
      </c>
      <c r="B9" s="475">
        <f t="shared" si="0"/>
        <v>11</v>
      </c>
      <c r="C9" s="477">
        <v>1</v>
      </c>
      <c r="D9" s="477">
        <v>10</v>
      </c>
      <c r="E9" s="477">
        <v>11</v>
      </c>
    </row>
    <row r="10" spans="1:5" x14ac:dyDescent="0.2">
      <c r="A10" s="442" t="s">
        <v>7</v>
      </c>
      <c r="B10" s="475">
        <f t="shared" si="0"/>
        <v>3</v>
      </c>
      <c r="C10" s="477">
        <v>0</v>
      </c>
      <c r="D10" s="477">
        <v>3</v>
      </c>
      <c r="E10" s="477">
        <v>4</v>
      </c>
    </row>
    <row r="11" spans="1:5" x14ac:dyDescent="0.2">
      <c r="A11" s="442" t="s">
        <v>8</v>
      </c>
      <c r="B11" s="475">
        <f t="shared" si="0"/>
        <v>6</v>
      </c>
      <c r="C11" s="477">
        <v>0</v>
      </c>
      <c r="D11" s="477">
        <v>6</v>
      </c>
      <c r="E11" s="477">
        <v>8</v>
      </c>
    </row>
    <row r="12" spans="1:5" x14ac:dyDescent="0.2">
      <c r="A12" s="442" t="s">
        <v>9</v>
      </c>
      <c r="B12" s="475">
        <f t="shared" si="0"/>
        <v>28</v>
      </c>
      <c r="C12" s="477">
        <v>3</v>
      </c>
      <c r="D12" s="477">
        <v>25</v>
      </c>
      <c r="E12" s="477">
        <v>28</v>
      </c>
    </row>
    <row r="13" spans="1:5" x14ac:dyDescent="0.2">
      <c r="A13" s="442" t="s">
        <v>10</v>
      </c>
      <c r="B13" s="475">
        <f t="shared" si="0"/>
        <v>12</v>
      </c>
      <c r="C13" s="477">
        <v>4</v>
      </c>
      <c r="D13" s="477">
        <v>8</v>
      </c>
      <c r="E13" s="477">
        <v>9</v>
      </c>
    </row>
    <row r="14" spans="1:5" x14ac:dyDescent="0.2">
      <c r="A14" s="485" t="s">
        <v>134</v>
      </c>
      <c r="B14" s="475">
        <f t="shared" si="0"/>
        <v>8</v>
      </c>
      <c r="C14" s="477">
        <v>2</v>
      </c>
      <c r="D14" s="477">
        <v>6</v>
      </c>
      <c r="E14" s="477">
        <v>12</v>
      </c>
    </row>
    <row r="15" spans="1:5" x14ac:dyDescent="0.2">
      <c r="A15" s="442" t="s">
        <v>12</v>
      </c>
      <c r="B15" s="475">
        <f t="shared" si="0"/>
        <v>5</v>
      </c>
      <c r="C15" s="477">
        <v>0</v>
      </c>
      <c r="D15" s="477">
        <v>5</v>
      </c>
      <c r="E15" s="477">
        <v>5</v>
      </c>
    </row>
    <row r="16" spans="1:5" x14ac:dyDescent="0.2">
      <c r="A16" s="442" t="s">
        <v>13</v>
      </c>
      <c r="B16" s="475">
        <f t="shared" si="0"/>
        <v>12</v>
      </c>
      <c r="C16" s="477">
        <v>8</v>
      </c>
      <c r="D16" s="477">
        <v>4</v>
      </c>
      <c r="E16" s="477">
        <v>4</v>
      </c>
    </row>
    <row r="17" spans="1:10" x14ac:dyDescent="0.2">
      <c r="A17" s="442" t="s">
        <v>135</v>
      </c>
      <c r="B17" s="475">
        <f t="shared" si="0"/>
        <v>1</v>
      </c>
      <c r="C17" s="477">
        <v>0</v>
      </c>
      <c r="D17" s="477">
        <v>1</v>
      </c>
      <c r="E17" s="477">
        <v>1</v>
      </c>
    </row>
    <row r="18" spans="1:10" x14ac:dyDescent="0.2">
      <c r="A18" s="442" t="s">
        <v>136</v>
      </c>
      <c r="B18" s="475">
        <f t="shared" si="0"/>
        <v>8</v>
      </c>
      <c r="C18" s="477">
        <v>0</v>
      </c>
      <c r="D18" s="477">
        <v>8</v>
      </c>
      <c r="E18" s="477">
        <v>9</v>
      </c>
    </row>
    <row r="19" spans="1:10" x14ac:dyDescent="0.2">
      <c r="A19" s="488" t="s">
        <v>17</v>
      </c>
      <c r="B19" s="475">
        <f t="shared" si="0"/>
        <v>0</v>
      </c>
      <c r="C19" s="477">
        <v>0</v>
      </c>
      <c r="D19" s="477">
        <v>0</v>
      </c>
      <c r="E19" s="477">
        <v>0</v>
      </c>
    </row>
    <row r="20" spans="1:10" x14ac:dyDescent="0.2">
      <c r="A20" s="488" t="s">
        <v>18</v>
      </c>
      <c r="B20" s="475">
        <f t="shared" si="0"/>
        <v>0</v>
      </c>
      <c r="C20" s="477">
        <v>0</v>
      </c>
      <c r="D20" s="477">
        <v>0</v>
      </c>
      <c r="E20" s="477">
        <v>0</v>
      </c>
      <c r="F20" s="489"/>
      <c r="G20" s="489"/>
      <c r="H20" s="489"/>
      <c r="I20" s="489"/>
      <c r="J20" s="489"/>
    </row>
    <row r="21" spans="1:10" x14ac:dyDescent="0.2">
      <c r="A21" s="481"/>
      <c r="B21" s="475"/>
      <c r="C21" s="477"/>
      <c r="D21" s="477"/>
      <c r="E21" s="475"/>
      <c r="F21" s="490"/>
      <c r="G21" s="490"/>
      <c r="H21" s="490"/>
      <c r="I21" s="490"/>
      <c r="J21" s="490"/>
    </row>
    <row r="22" spans="1:10" x14ac:dyDescent="0.2">
      <c r="A22" s="491" t="s">
        <v>19</v>
      </c>
      <c r="B22" s="491"/>
      <c r="C22" s="491"/>
      <c r="D22" s="491"/>
      <c r="E22" s="491"/>
    </row>
    <row r="23" spans="1:10" x14ac:dyDescent="0.2">
      <c r="A23" s="384" t="s">
        <v>849</v>
      </c>
      <c r="B23" s="384"/>
      <c r="C23" s="384"/>
      <c r="D23" s="384"/>
      <c r="E23" s="384"/>
    </row>
  </sheetData>
  <mergeCells count="7">
    <mergeCell ref="A23:E23"/>
    <mergeCell ref="A2:E2"/>
    <mergeCell ref="A4:A5"/>
    <mergeCell ref="B4:B5"/>
    <mergeCell ref="C4:D4"/>
    <mergeCell ref="E4:E5"/>
    <mergeCell ref="A22:E22"/>
  </mergeCells>
  <pageMargins left="0.70866141732283472" right="0.70866141732283472" top="0.74803149606299213" bottom="0.74803149606299213" header="0.31496062992125984" footer="0.31496062992125984"/>
  <pageSetup paperSize="14" orientation="portrait" verticalDpi="599"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B66BCB-3F0A-49F5-9723-C0AC9D203F12}">
  <sheetPr codeName="Hoja47"/>
  <dimension ref="A2:J172"/>
  <sheetViews>
    <sheetView zoomScale="110" zoomScaleNormal="110" workbookViewId="0">
      <selection activeCell="B31" sqref="B31"/>
    </sheetView>
  </sheetViews>
  <sheetFormatPr baseColWidth="10" defaultColWidth="11.44140625" defaultRowHeight="10.199999999999999" x14ac:dyDescent="0.2"/>
  <cols>
    <col min="1" max="1" width="15.109375" style="62" customWidth="1"/>
    <col min="2" max="2" width="15.33203125" style="62" customWidth="1"/>
    <col min="3" max="3" width="13.109375" style="62" customWidth="1"/>
    <col min="4" max="10" width="9.88671875" style="62" customWidth="1"/>
    <col min="11" max="16384" width="11.44140625" style="62"/>
  </cols>
  <sheetData>
    <row r="2" spans="1:10" ht="33.75" customHeight="1" x14ac:dyDescent="0.2">
      <c r="A2" s="492" t="s">
        <v>809</v>
      </c>
      <c r="B2" s="492"/>
      <c r="C2" s="492"/>
      <c r="D2" s="492"/>
      <c r="E2" s="492"/>
      <c r="F2" s="492"/>
      <c r="G2" s="492"/>
      <c r="H2" s="492"/>
      <c r="I2" s="492"/>
      <c r="J2" s="492"/>
    </row>
    <row r="3" spans="1:10" x14ac:dyDescent="0.2">
      <c r="A3" s="493"/>
      <c r="B3" s="493"/>
      <c r="C3" s="493"/>
      <c r="D3" s="493"/>
      <c r="E3" s="493"/>
      <c r="F3" s="493"/>
      <c r="G3" s="493"/>
      <c r="H3" s="493"/>
      <c r="I3" s="493"/>
      <c r="J3" s="493"/>
    </row>
    <row r="4" spans="1:10" s="104" customFormat="1" ht="18" customHeight="1" x14ac:dyDescent="0.25">
      <c r="A4" s="66" t="s">
        <v>0</v>
      </c>
      <c r="B4" s="96" t="s">
        <v>854</v>
      </c>
      <c r="C4" s="96"/>
      <c r="D4" s="96"/>
      <c r="E4" s="67" t="s">
        <v>855</v>
      </c>
      <c r="F4" s="68"/>
      <c r="G4" s="69"/>
      <c r="H4" s="67" t="s">
        <v>856</v>
      </c>
      <c r="I4" s="68"/>
      <c r="J4" s="69"/>
    </row>
    <row r="5" spans="1:10" s="104" customFormat="1" ht="18" customHeight="1" x14ac:dyDescent="0.25">
      <c r="A5" s="71"/>
      <c r="B5" s="170" t="s">
        <v>42</v>
      </c>
      <c r="C5" s="170" t="s">
        <v>122</v>
      </c>
      <c r="D5" s="72" t="s">
        <v>123</v>
      </c>
      <c r="E5" s="170" t="s">
        <v>42</v>
      </c>
      <c r="F5" s="170" t="s">
        <v>122</v>
      </c>
      <c r="G5" s="72" t="s">
        <v>123</v>
      </c>
      <c r="H5" s="170" t="s">
        <v>42</v>
      </c>
      <c r="I5" s="170" t="s">
        <v>122</v>
      </c>
      <c r="J5" s="72" t="s">
        <v>123</v>
      </c>
    </row>
    <row r="6" spans="1:10" x14ac:dyDescent="0.2">
      <c r="A6" s="474" t="s">
        <v>3</v>
      </c>
      <c r="B6" s="196">
        <f>SUM(C6:D6)</f>
        <v>472</v>
      </c>
      <c r="C6" s="196">
        <f>SUM(F6+I6)</f>
        <v>379</v>
      </c>
      <c r="D6" s="196">
        <f>SUM(G6+J6)</f>
        <v>93</v>
      </c>
      <c r="E6" s="196">
        <f t="shared" ref="E6:J6" si="0">SUM(E7:E21)</f>
        <v>99</v>
      </c>
      <c r="F6" s="196">
        <f t="shared" si="0"/>
        <v>78</v>
      </c>
      <c r="G6" s="196">
        <f t="shared" si="0"/>
        <v>21</v>
      </c>
      <c r="H6" s="196">
        <f t="shared" si="0"/>
        <v>373</v>
      </c>
      <c r="I6" s="196">
        <f t="shared" si="0"/>
        <v>301</v>
      </c>
      <c r="J6" s="196">
        <f t="shared" si="0"/>
        <v>72</v>
      </c>
    </row>
    <row r="7" spans="1:10" x14ac:dyDescent="0.2">
      <c r="A7" s="476" t="s">
        <v>4</v>
      </c>
      <c r="B7" s="196">
        <f>SUM(C7:D7)</f>
        <v>32</v>
      </c>
      <c r="C7" s="196">
        <f t="shared" ref="C7:D21" si="1">SUM(F7+I7)</f>
        <v>20</v>
      </c>
      <c r="D7" s="196">
        <f>SUM(G7+J7)</f>
        <v>12</v>
      </c>
      <c r="E7" s="198">
        <f>SUM(F7:G7)</f>
        <v>6</v>
      </c>
      <c r="F7" s="198">
        <v>3</v>
      </c>
      <c r="G7" s="198">
        <v>3</v>
      </c>
      <c r="H7" s="198">
        <f>SUM(I7:J7)</f>
        <v>26</v>
      </c>
      <c r="I7" s="198">
        <v>17</v>
      </c>
      <c r="J7" s="198">
        <v>9</v>
      </c>
    </row>
    <row r="8" spans="1:10" x14ac:dyDescent="0.2">
      <c r="A8" s="476" t="s">
        <v>5</v>
      </c>
      <c r="B8" s="196">
        <f>SUM(C8:D8)</f>
        <v>2</v>
      </c>
      <c r="C8" s="196">
        <f t="shared" si="1"/>
        <v>2</v>
      </c>
      <c r="D8" s="196">
        <f t="shared" si="1"/>
        <v>0</v>
      </c>
      <c r="E8" s="198">
        <f t="shared" ref="E8:E21" si="2">SUM(F8:G8)</f>
        <v>2</v>
      </c>
      <c r="F8" s="198">
        <v>2</v>
      </c>
      <c r="G8" s="198">
        <v>0</v>
      </c>
      <c r="H8" s="198">
        <f>SUM(I8:J8)</f>
        <v>0</v>
      </c>
      <c r="I8" s="198">
        <v>0</v>
      </c>
      <c r="J8" s="198">
        <v>0</v>
      </c>
    </row>
    <row r="9" spans="1:10" x14ac:dyDescent="0.2">
      <c r="A9" s="476" t="s">
        <v>6</v>
      </c>
      <c r="B9" s="196">
        <f>SUM(C9:D9)</f>
        <v>69</v>
      </c>
      <c r="C9" s="196">
        <f t="shared" si="1"/>
        <v>55</v>
      </c>
      <c r="D9" s="196">
        <f t="shared" si="1"/>
        <v>14</v>
      </c>
      <c r="E9" s="198">
        <f>SUM(F9:G9)</f>
        <v>11</v>
      </c>
      <c r="F9" s="198">
        <v>6</v>
      </c>
      <c r="G9" s="198">
        <v>5</v>
      </c>
      <c r="H9" s="198">
        <f>SUM(I9:J9)</f>
        <v>58</v>
      </c>
      <c r="I9" s="198">
        <v>49</v>
      </c>
      <c r="J9" s="198">
        <v>9</v>
      </c>
    </row>
    <row r="10" spans="1:10" x14ac:dyDescent="0.2">
      <c r="A10" s="476" t="s">
        <v>7</v>
      </c>
      <c r="B10" s="196">
        <f>SUM(C10:D10)</f>
        <v>14</v>
      </c>
      <c r="C10" s="196">
        <f t="shared" si="1"/>
        <v>14</v>
      </c>
      <c r="D10" s="196">
        <f t="shared" si="1"/>
        <v>0</v>
      </c>
      <c r="E10" s="198">
        <f t="shared" si="2"/>
        <v>4</v>
      </c>
      <c r="F10" s="198">
        <v>4</v>
      </c>
      <c r="G10" s="198">
        <v>0</v>
      </c>
      <c r="H10" s="198">
        <f>SUM(I10:J10)</f>
        <v>10</v>
      </c>
      <c r="I10" s="198">
        <v>10</v>
      </c>
      <c r="J10" s="198">
        <v>0</v>
      </c>
    </row>
    <row r="11" spans="1:10" x14ac:dyDescent="0.2">
      <c r="A11" s="476" t="s">
        <v>8</v>
      </c>
      <c r="B11" s="196">
        <f t="shared" ref="B11:B20" si="3">SUM(C11:D11)</f>
        <v>32</v>
      </c>
      <c r="C11" s="196">
        <f t="shared" si="1"/>
        <v>25</v>
      </c>
      <c r="D11" s="196">
        <f t="shared" si="1"/>
        <v>7</v>
      </c>
      <c r="E11" s="198">
        <f t="shared" si="2"/>
        <v>8</v>
      </c>
      <c r="F11" s="198">
        <v>3</v>
      </c>
      <c r="G11" s="198">
        <v>5</v>
      </c>
      <c r="H11" s="198">
        <f t="shared" ref="H11:H20" si="4">SUM(I11:J11)</f>
        <v>24</v>
      </c>
      <c r="I11" s="198">
        <v>22</v>
      </c>
      <c r="J11" s="198">
        <v>2</v>
      </c>
    </row>
    <row r="12" spans="1:10" x14ac:dyDescent="0.2">
      <c r="A12" s="476" t="s">
        <v>9</v>
      </c>
      <c r="B12" s="196">
        <f>SUM(C12:D12)</f>
        <v>92</v>
      </c>
      <c r="C12" s="196">
        <f t="shared" si="1"/>
        <v>70</v>
      </c>
      <c r="D12" s="196">
        <f>SUM(G12+J12)</f>
        <v>22</v>
      </c>
      <c r="E12" s="198">
        <f>SUM(F12:G12)</f>
        <v>28</v>
      </c>
      <c r="F12" s="198">
        <v>23</v>
      </c>
      <c r="G12" s="198">
        <v>5</v>
      </c>
      <c r="H12" s="198">
        <f>SUM(I12:J12)</f>
        <v>64</v>
      </c>
      <c r="I12" s="198">
        <v>47</v>
      </c>
      <c r="J12" s="198">
        <v>17</v>
      </c>
    </row>
    <row r="13" spans="1:10" x14ac:dyDescent="0.2">
      <c r="A13" s="476" t="s">
        <v>10</v>
      </c>
      <c r="B13" s="196">
        <f>SUM(C13:D13)</f>
        <v>45</v>
      </c>
      <c r="C13" s="196">
        <f t="shared" si="1"/>
        <v>37</v>
      </c>
      <c r="D13" s="196">
        <f t="shared" si="1"/>
        <v>8</v>
      </c>
      <c r="E13" s="198">
        <f t="shared" si="2"/>
        <v>9</v>
      </c>
      <c r="F13" s="198">
        <v>8</v>
      </c>
      <c r="G13" s="198">
        <v>1</v>
      </c>
      <c r="H13" s="198">
        <f t="shared" si="4"/>
        <v>36</v>
      </c>
      <c r="I13" s="198">
        <v>29</v>
      </c>
      <c r="J13" s="198">
        <v>7</v>
      </c>
    </row>
    <row r="14" spans="1:10" x14ac:dyDescent="0.2">
      <c r="A14" s="476" t="s">
        <v>134</v>
      </c>
      <c r="B14" s="196">
        <f t="shared" si="3"/>
        <v>48</v>
      </c>
      <c r="C14" s="196">
        <f t="shared" si="1"/>
        <v>43</v>
      </c>
      <c r="D14" s="196">
        <f t="shared" si="1"/>
        <v>5</v>
      </c>
      <c r="E14" s="198">
        <f t="shared" si="2"/>
        <v>12</v>
      </c>
      <c r="F14" s="198">
        <v>12</v>
      </c>
      <c r="G14" s="198">
        <v>0</v>
      </c>
      <c r="H14" s="198">
        <f t="shared" si="4"/>
        <v>36</v>
      </c>
      <c r="I14" s="198">
        <v>31</v>
      </c>
      <c r="J14" s="198">
        <v>5</v>
      </c>
    </row>
    <row r="15" spans="1:10" x14ac:dyDescent="0.2">
      <c r="A15" s="476" t="s">
        <v>12</v>
      </c>
      <c r="B15" s="196">
        <f>SUM(C15:D15)</f>
        <v>28</v>
      </c>
      <c r="C15" s="196">
        <f t="shared" si="1"/>
        <v>18</v>
      </c>
      <c r="D15" s="196">
        <f>SUM(G15+J15)</f>
        <v>10</v>
      </c>
      <c r="E15" s="198">
        <f t="shared" si="2"/>
        <v>5</v>
      </c>
      <c r="F15" s="198">
        <v>3</v>
      </c>
      <c r="G15" s="198">
        <v>2</v>
      </c>
      <c r="H15" s="198">
        <f t="shared" si="4"/>
        <v>23</v>
      </c>
      <c r="I15" s="198">
        <v>15</v>
      </c>
      <c r="J15" s="198">
        <v>8</v>
      </c>
    </row>
    <row r="16" spans="1:10" x14ac:dyDescent="0.2">
      <c r="A16" s="476" t="s">
        <v>13</v>
      </c>
      <c r="B16" s="196">
        <f>SUM(C16:D16)</f>
        <v>61</v>
      </c>
      <c r="C16" s="196">
        <f t="shared" si="1"/>
        <v>50</v>
      </c>
      <c r="D16" s="196">
        <f>SUM(G16+J16)</f>
        <v>11</v>
      </c>
      <c r="E16" s="198">
        <f t="shared" si="2"/>
        <v>4</v>
      </c>
      <c r="F16" s="198">
        <v>4</v>
      </c>
      <c r="G16" s="198">
        <v>0</v>
      </c>
      <c r="H16" s="198">
        <f>SUM(I16:J16)</f>
        <v>57</v>
      </c>
      <c r="I16" s="198">
        <v>46</v>
      </c>
      <c r="J16" s="198">
        <v>11</v>
      </c>
    </row>
    <row r="17" spans="1:10" x14ac:dyDescent="0.2">
      <c r="A17" s="476" t="s">
        <v>47</v>
      </c>
      <c r="B17" s="196">
        <f t="shared" si="3"/>
        <v>7</v>
      </c>
      <c r="C17" s="196">
        <f t="shared" si="1"/>
        <v>5</v>
      </c>
      <c r="D17" s="196">
        <f t="shared" si="1"/>
        <v>2</v>
      </c>
      <c r="E17" s="198">
        <f t="shared" si="2"/>
        <v>0</v>
      </c>
      <c r="F17" s="198">
        <v>0</v>
      </c>
      <c r="G17" s="198">
        <v>0</v>
      </c>
      <c r="H17" s="198">
        <f>SUM(I17:J17)</f>
        <v>7</v>
      </c>
      <c r="I17" s="198">
        <v>5</v>
      </c>
      <c r="J17" s="198">
        <v>2</v>
      </c>
    </row>
    <row r="18" spans="1:10" x14ac:dyDescent="0.2">
      <c r="A18" s="476" t="s">
        <v>135</v>
      </c>
      <c r="B18" s="196">
        <f t="shared" si="3"/>
        <v>6</v>
      </c>
      <c r="C18" s="196">
        <f t="shared" si="1"/>
        <v>6</v>
      </c>
      <c r="D18" s="196">
        <f t="shared" si="1"/>
        <v>0</v>
      </c>
      <c r="E18" s="198">
        <f t="shared" si="2"/>
        <v>1</v>
      </c>
      <c r="F18" s="198">
        <v>1</v>
      </c>
      <c r="G18" s="198">
        <v>0</v>
      </c>
      <c r="H18" s="198">
        <f t="shared" si="4"/>
        <v>5</v>
      </c>
      <c r="I18" s="198">
        <v>5</v>
      </c>
      <c r="J18" s="198">
        <v>0</v>
      </c>
    </row>
    <row r="19" spans="1:10" x14ac:dyDescent="0.2">
      <c r="A19" s="476" t="s">
        <v>136</v>
      </c>
      <c r="B19" s="196">
        <f>SUM(C19:D19)</f>
        <v>35</v>
      </c>
      <c r="C19" s="196">
        <f>SUM(F19+I19)</f>
        <v>33</v>
      </c>
      <c r="D19" s="196">
        <f>SUM(G19+J19)</f>
        <v>2</v>
      </c>
      <c r="E19" s="198">
        <f t="shared" si="2"/>
        <v>9</v>
      </c>
      <c r="F19" s="198">
        <v>9</v>
      </c>
      <c r="G19" s="198">
        <v>0</v>
      </c>
      <c r="H19" s="198">
        <f t="shared" si="4"/>
        <v>26</v>
      </c>
      <c r="I19" s="198">
        <v>24</v>
      </c>
      <c r="J19" s="198">
        <v>2</v>
      </c>
    </row>
    <row r="20" spans="1:10" x14ac:dyDescent="0.2">
      <c r="A20" s="476" t="s">
        <v>17</v>
      </c>
      <c r="B20" s="196">
        <f t="shared" si="3"/>
        <v>0</v>
      </c>
      <c r="C20" s="196">
        <f>SUM(F20+I20)</f>
        <v>0</v>
      </c>
      <c r="D20" s="196">
        <f t="shared" si="1"/>
        <v>0</v>
      </c>
      <c r="E20" s="198">
        <f t="shared" si="2"/>
        <v>0</v>
      </c>
      <c r="F20" s="198">
        <v>0</v>
      </c>
      <c r="G20" s="198">
        <v>0</v>
      </c>
      <c r="H20" s="198">
        <f t="shared" si="4"/>
        <v>0</v>
      </c>
      <c r="I20" s="198">
        <v>0</v>
      </c>
      <c r="J20" s="198">
        <v>0</v>
      </c>
    </row>
    <row r="21" spans="1:10" x14ac:dyDescent="0.2">
      <c r="A21" s="476" t="s">
        <v>18</v>
      </c>
      <c r="B21" s="196">
        <f>SUM(C21:D21)</f>
        <v>1</v>
      </c>
      <c r="C21" s="196">
        <f>SUM(F21+I21)</f>
        <v>1</v>
      </c>
      <c r="D21" s="196">
        <f t="shared" si="1"/>
        <v>0</v>
      </c>
      <c r="E21" s="198">
        <f t="shared" si="2"/>
        <v>0</v>
      </c>
      <c r="F21" s="198">
        <v>0</v>
      </c>
      <c r="G21" s="198">
        <v>0</v>
      </c>
      <c r="H21" s="198">
        <f>SUM(I21:J21)</f>
        <v>1</v>
      </c>
      <c r="I21" s="198">
        <v>1</v>
      </c>
      <c r="J21" s="198">
        <v>0</v>
      </c>
    </row>
    <row r="22" spans="1:10" ht="13.2" x14ac:dyDescent="0.25">
      <c r="A22" s="79"/>
      <c r="B22" s="79"/>
      <c r="C22" s="79"/>
      <c r="D22" s="79"/>
      <c r="E22" s="79"/>
      <c r="F22" s="79"/>
      <c r="G22" s="79"/>
      <c r="H22" s="79"/>
      <c r="I22" s="79"/>
      <c r="J22" s="79"/>
    </row>
    <row r="23" spans="1:10" x14ac:dyDescent="0.2">
      <c r="A23" s="478" t="s">
        <v>19</v>
      </c>
      <c r="F23" s="479"/>
      <c r="G23" s="479"/>
      <c r="H23" s="479"/>
      <c r="I23" s="479"/>
      <c r="J23" s="479"/>
    </row>
    <row r="24" spans="1:10" x14ac:dyDescent="0.2">
      <c r="A24" s="384" t="s">
        <v>849</v>
      </c>
      <c r="B24" s="384"/>
      <c r="C24" s="384"/>
      <c r="D24" s="384"/>
      <c r="E24" s="384"/>
      <c r="F24" s="384"/>
      <c r="G24" s="384"/>
      <c r="H24" s="384"/>
      <c r="I24" s="480"/>
      <c r="J24" s="480"/>
    </row>
    <row r="25" spans="1:10" x14ac:dyDescent="0.2">
      <c r="A25" s="443"/>
      <c r="B25" s="482"/>
      <c r="C25" s="482"/>
      <c r="D25" s="482"/>
      <c r="E25" s="482"/>
      <c r="H25" s="442"/>
    </row>
    <row r="26" spans="1:10" x14ac:dyDescent="0.2">
      <c r="A26" s="481"/>
      <c r="B26" s="482"/>
      <c r="C26" s="483"/>
      <c r="D26" s="483"/>
      <c r="E26" s="482"/>
      <c r="H26" s="481"/>
    </row>
    <row r="27" spans="1:10" x14ac:dyDescent="0.2">
      <c r="A27" s="481"/>
      <c r="B27" s="482"/>
      <c r="C27" s="483"/>
      <c r="D27" s="483"/>
      <c r="E27" s="482"/>
      <c r="H27" s="481"/>
    </row>
    <row r="28" spans="1:10" x14ac:dyDescent="0.2">
      <c r="A28" s="484"/>
      <c r="B28" s="482"/>
      <c r="C28" s="482"/>
      <c r="D28" s="482"/>
      <c r="E28" s="482"/>
      <c r="H28" s="481"/>
    </row>
    <row r="29" spans="1:10" x14ac:dyDescent="0.2">
      <c r="A29" s="443"/>
      <c r="B29" s="482"/>
      <c r="C29" s="482"/>
      <c r="D29" s="482"/>
      <c r="E29" s="482"/>
      <c r="H29" s="442"/>
    </row>
    <row r="30" spans="1:10" x14ac:dyDescent="0.2">
      <c r="A30" s="481"/>
      <c r="B30" s="482"/>
      <c r="C30" s="483"/>
      <c r="D30" s="483"/>
      <c r="E30" s="482"/>
      <c r="H30" s="481"/>
    </row>
    <row r="31" spans="1:10" x14ac:dyDescent="0.2">
      <c r="A31" s="481"/>
      <c r="B31" s="482"/>
      <c r="C31" s="483"/>
      <c r="D31" s="483"/>
      <c r="E31" s="482"/>
      <c r="H31" s="481"/>
    </row>
    <row r="32" spans="1:10" x14ac:dyDescent="0.2">
      <c r="A32" s="481"/>
      <c r="B32" s="482"/>
      <c r="C32" s="483"/>
      <c r="D32" s="483"/>
      <c r="E32" s="482"/>
      <c r="H32" s="481"/>
    </row>
    <row r="33" spans="1:8" x14ac:dyDescent="0.2">
      <c r="A33" s="481"/>
      <c r="B33" s="482"/>
      <c r="C33" s="483"/>
      <c r="D33" s="483"/>
      <c r="E33" s="482"/>
      <c r="H33" s="442"/>
    </row>
    <row r="34" spans="1:8" x14ac:dyDescent="0.2">
      <c r="A34" s="443"/>
      <c r="B34" s="482"/>
      <c r="C34" s="482"/>
      <c r="D34" s="482"/>
      <c r="E34" s="482"/>
      <c r="H34" s="481"/>
    </row>
    <row r="35" spans="1:8" x14ac:dyDescent="0.2">
      <c r="A35" s="481"/>
      <c r="B35" s="482"/>
      <c r="C35" s="483"/>
      <c r="D35" s="483"/>
      <c r="E35" s="482"/>
      <c r="H35" s="481"/>
    </row>
    <row r="36" spans="1:8" x14ac:dyDescent="0.2">
      <c r="A36" s="481"/>
      <c r="B36" s="482"/>
      <c r="C36" s="483"/>
      <c r="D36" s="483"/>
      <c r="E36" s="482"/>
      <c r="H36" s="485"/>
    </row>
    <row r="37" spans="1:8" x14ac:dyDescent="0.2">
      <c r="A37" s="481"/>
      <c r="B37" s="482"/>
      <c r="C37" s="483"/>
      <c r="D37" s="483"/>
      <c r="E37" s="482"/>
      <c r="H37" s="442"/>
    </row>
    <row r="38" spans="1:8" x14ac:dyDescent="0.2">
      <c r="A38" s="481"/>
      <c r="B38" s="482"/>
      <c r="C38" s="483"/>
      <c r="D38" s="483"/>
      <c r="E38" s="482"/>
      <c r="H38" s="481"/>
    </row>
    <row r="39" spans="1:8" x14ac:dyDescent="0.2">
      <c r="A39" s="443"/>
      <c r="B39" s="482"/>
      <c r="C39" s="482"/>
      <c r="D39" s="482"/>
      <c r="E39" s="482"/>
      <c r="H39" s="481"/>
    </row>
    <row r="40" spans="1:8" x14ac:dyDescent="0.2">
      <c r="A40" s="443"/>
      <c r="B40" s="482"/>
      <c r="C40" s="482"/>
      <c r="D40" s="482"/>
      <c r="E40" s="482"/>
      <c r="H40" s="481"/>
    </row>
    <row r="41" spans="1:8" x14ac:dyDescent="0.2">
      <c r="A41" s="481"/>
      <c r="B41" s="482"/>
      <c r="C41" s="483"/>
      <c r="D41" s="483"/>
      <c r="E41" s="482"/>
      <c r="H41" s="481"/>
    </row>
    <row r="42" spans="1:8" x14ac:dyDescent="0.2">
      <c r="A42" s="481"/>
      <c r="B42" s="482"/>
      <c r="C42" s="483"/>
      <c r="D42" s="483"/>
      <c r="E42" s="482"/>
      <c r="H42" s="481"/>
    </row>
    <row r="43" spans="1:8" x14ac:dyDescent="0.2">
      <c r="A43" s="443"/>
      <c r="B43" s="482"/>
      <c r="C43" s="482"/>
      <c r="D43" s="482"/>
      <c r="E43" s="482"/>
      <c r="H43" s="481"/>
    </row>
    <row r="44" spans="1:8" x14ac:dyDescent="0.2">
      <c r="A44" s="481"/>
      <c r="B44" s="482"/>
      <c r="C44" s="483"/>
      <c r="D44" s="483"/>
      <c r="E44" s="482"/>
      <c r="H44" s="481"/>
    </row>
    <row r="45" spans="1:8" x14ac:dyDescent="0.2">
      <c r="A45" s="443"/>
      <c r="B45" s="482"/>
      <c r="C45" s="482"/>
      <c r="D45" s="482"/>
      <c r="E45" s="482"/>
      <c r="H45" s="481"/>
    </row>
    <row r="46" spans="1:8" x14ac:dyDescent="0.2">
      <c r="A46" s="481"/>
      <c r="B46" s="482"/>
      <c r="C46" s="483"/>
      <c r="D46" s="483"/>
      <c r="E46" s="482"/>
      <c r="H46" s="481"/>
    </row>
    <row r="47" spans="1:8" x14ac:dyDescent="0.2">
      <c r="A47" s="481"/>
      <c r="B47" s="482"/>
      <c r="C47" s="483"/>
      <c r="D47" s="483"/>
      <c r="E47" s="482"/>
      <c r="H47" s="442"/>
    </row>
    <row r="48" spans="1:8" x14ac:dyDescent="0.2">
      <c r="A48" s="443"/>
      <c r="B48" s="482"/>
      <c r="C48" s="482"/>
      <c r="D48" s="482"/>
      <c r="E48" s="482"/>
      <c r="H48" s="481"/>
    </row>
    <row r="49" spans="1:8" x14ac:dyDescent="0.2">
      <c r="A49" s="443"/>
      <c r="B49" s="482"/>
      <c r="C49" s="482"/>
      <c r="D49" s="482"/>
      <c r="E49" s="482"/>
      <c r="H49" s="481"/>
    </row>
    <row r="50" spans="1:8" x14ac:dyDescent="0.2">
      <c r="A50" s="481"/>
      <c r="B50" s="482"/>
      <c r="C50" s="483"/>
      <c r="D50" s="483"/>
      <c r="E50" s="482"/>
      <c r="H50" s="481"/>
    </row>
    <row r="51" spans="1:8" x14ac:dyDescent="0.2">
      <c r="A51" s="481"/>
      <c r="B51" s="482"/>
      <c r="C51" s="483"/>
      <c r="D51" s="483"/>
      <c r="E51" s="482"/>
      <c r="H51" s="442"/>
    </row>
    <row r="52" spans="1:8" x14ac:dyDescent="0.2">
      <c r="A52" s="481"/>
      <c r="B52" s="482"/>
      <c r="C52" s="483"/>
      <c r="D52" s="483"/>
      <c r="E52" s="482"/>
      <c r="H52" s="481"/>
    </row>
    <row r="53" spans="1:8" x14ac:dyDescent="0.2">
      <c r="A53" s="481"/>
      <c r="B53" s="482"/>
      <c r="C53" s="483"/>
      <c r="D53" s="483"/>
      <c r="E53" s="482"/>
      <c r="H53" s="481"/>
    </row>
    <row r="54" spans="1:8" x14ac:dyDescent="0.2">
      <c r="A54" s="481"/>
      <c r="B54" s="482"/>
      <c r="C54" s="483"/>
      <c r="D54" s="483"/>
      <c r="E54" s="482"/>
      <c r="H54" s="481"/>
    </row>
    <row r="55" spans="1:8" x14ac:dyDescent="0.2">
      <c r="A55" s="481"/>
      <c r="B55" s="482"/>
      <c r="C55" s="483"/>
      <c r="D55" s="483"/>
      <c r="E55" s="482"/>
      <c r="H55" s="481"/>
    </row>
    <row r="56" spans="1:8" x14ac:dyDescent="0.2">
      <c r="A56" s="481"/>
      <c r="B56" s="482"/>
      <c r="C56" s="483"/>
      <c r="D56" s="483"/>
      <c r="E56" s="482"/>
      <c r="H56" s="442"/>
    </row>
    <row r="57" spans="1:8" x14ac:dyDescent="0.2">
      <c r="A57" s="443"/>
      <c r="B57" s="482"/>
      <c r="C57" s="482"/>
      <c r="D57" s="482"/>
      <c r="E57" s="482"/>
      <c r="H57" s="442"/>
    </row>
    <row r="58" spans="1:8" x14ac:dyDescent="0.2">
      <c r="A58" s="481"/>
      <c r="B58" s="482"/>
      <c r="C58" s="483"/>
      <c r="D58" s="483"/>
      <c r="E58" s="482"/>
      <c r="H58" s="481"/>
    </row>
    <row r="59" spans="1:8" x14ac:dyDescent="0.2">
      <c r="A59" s="481"/>
      <c r="B59" s="482"/>
      <c r="C59" s="483"/>
      <c r="D59" s="483"/>
      <c r="E59" s="482"/>
      <c r="H59" s="481"/>
    </row>
    <row r="60" spans="1:8" x14ac:dyDescent="0.2">
      <c r="A60" s="481"/>
      <c r="B60" s="482"/>
      <c r="C60" s="483"/>
      <c r="D60" s="483"/>
      <c r="E60" s="482"/>
      <c r="H60" s="481"/>
    </row>
    <row r="61" spans="1:8" x14ac:dyDescent="0.2">
      <c r="A61" s="443"/>
      <c r="B61" s="482"/>
      <c r="C61" s="482"/>
      <c r="D61" s="482"/>
      <c r="E61" s="482"/>
      <c r="H61" s="442"/>
    </row>
    <row r="62" spans="1:8" x14ac:dyDescent="0.2">
      <c r="A62" s="481"/>
      <c r="B62" s="482"/>
      <c r="C62" s="483"/>
      <c r="D62" s="483"/>
      <c r="E62" s="482"/>
      <c r="H62" s="481"/>
    </row>
    <row r="63" spans="1:8" x14ac:dyDescent="0.2">
      <c r="A63" s="481"/>
      <c r="B63" s="482"/>
      <c r="C63" s="483"/>
      <c r="D63" s="483"/>
      <c r="E63" s="482"/>
      <c r="H63" s="481"/>
    </row>
    <row r="64" spans="1:8" x14ac:dyDescent="0.2">
      <c r="A64" s="481"/>
      <c r="B64" s="482"/>
      <c r="C64" s="483"/>
      <c r="D64" s="483"/>
      <c r="E64" s="482"/>
      <c r="H64" s="442"/>
    </row>
    <row r="65" spans="1:8" x14ac:dyDescent="0.2">
      <c r="A65" s="481"/>
      <c r="B65" s="482"/>
      <c r="C65" s="483"/>
      <c r="D65" s="483"/>
      <c r="E65" s="482"/>
      <c r="H65" s="481"/>
    </row>
    <row r="66" spans="1:8" x14ac:dyDescent="0.2">
      <c r="A66" s="481"/>
      <c r="B66" s="482"/>
      <c r="C66" s="483"/>
      <c r="D66" s="483"/>
      <c r="E66" s="482"/>
      <c r="H66" s="481"/>
    </row>
    <row r="67" spans="1:8" x14ac:dyDescent="0.2">
      <c r="A67" s="443"/>
      <c r="B67" s="482"/>
      <c r="C67" s="482"/>
      <c r="D67" s="482"/>
      <c r="E67" s="482"/>
      <c r="H67" s="481"/>
    </row>
    <row r="68" spans="1:8" x14ac:dyDescent="0.2">
      <c r="A68" s="481"/>
      <c r="B68" s="482"/>
      <c r="C68" s="483"/>
      <c r="D68" s="483"/>
      <c r="E68" s="482"/>
      <c r="H68" s="442"/>
    </row>
    <row r="69" spans="1:8" x14ac:dyDescent="0.2">
      <c r="A69" s="481"/>
      <c r="B69" s="482"/>
      <c r="C69" s="483"/>
      <c r="D69" s="483"/>
      <c r="E69" s="482"/>
      <c r="H69" s="442"/>
    </row>
    <row r="70" spans="1:8" x14ac:dyDescent="0.2">
      <c r="A70" s="481"/>
      <c r="B70" s="482"/>
      <c r="C70" s="483"/>
      <c r="D70" s="483"/>
      <c r="E70" s="482"/>
      <c r="H70" s="481"/>
    </row>
    <row r="71" spans="1:8" x14ac:dyDescent="0.2">
      <c r="A71" s="481"/>
      <c r="B71" s="482"/>
      <c r="C71" s="483"/>
      <c r="D71" s="483"/>
      <c r="E71" s="482"/>
      <c r="H71" s="481"/>
    </row>
    <row r="72" spans="1:8" x14ac:dyDescent="0.2">
      <c r="A72" s="443"/>
      <c r="B72" s="482"/>
      <c r="C72" s="482"/>
      <c r="D72" s="482"/>
      <c r="E72" s="482"/>
      <c r="H72" s="481"/>
    </row>
    <row r="73" spans="1:8" x14ac:dyDescent="0.2">
      <c r="A73" s="443"/>
      <c r="B73" s="482"/>
      <c r="C73" s="482"/>
      <c r="D73" s="482"/>
      <c r="E73" s="482"/>
      <c r="H73" s="481"/>
    </row>
    <row r="74" spans="1:8" x14ac:dyDescent="0.2">
      <c r="A74" s="481"/>
      <c r="B74" s="482"/>
      <c r="C74" s="483"/>
      <c r="D74" s="483"/>
      <c r="E74" s="482"/>
      <c r="H74" s="481"/>
    </row>
    <row r="75" spans="1:8" x14ac:dyDescent="0.2">
      <c r="A75" s="481"/>
      <c r="B75" s="482"/>
      <c r="C75" s="483"/>
      <c r="D75" s="483"/>
      <c r="E75" s="482"/>
      <c r="H75" s="481"/>
    </row>
    <row r="76" spans="1:8" x14ac:dyDescent="0.2">
      <c r="A76" s="63"/>
      <c r="B76" s="482"/>
      <c r="C76" s="482"/>
      <c r="D76" s="482"/>
      <c r="E76" s="482"/>
      <c r="H76" s="481"/>
    </row>
    <row r="77" spans="1:8" x14ac:dyDescent="0.2">
      <c r="A77" s="481"/>
      <c r="B77" s="482"/>
      <c r="C77" s="483"/>
      <c r="D77" s="483"/>
      <c r="E77" s="482"/>
      <c r="H77" s="442"/>
    </row>
    <row r="78" spans="1:8" x14ac:dyDescent="0.2">
      <c r="A78" s="443"/>
      <c r="B78" s="482"/>
      <c r="C78" s="482"/>
      <c r="D78" s="482"/>
      <c r="E78" s="482"/>
      <c r="H78" s="481"/>
    </row>
    <row r="79" spans="1:8" x14ac:dyDescent="0.2">
      <c r="A79" s="443"/>
      <c r="B79" s="482"/>
      <c r="C79" s="482"/>
      <c r="D79" s="482"/>
      <c r="E79" s="482"/>
      <c r="H79" s="481"/>
    </row>
    <row r="80" spans="1:8" x14ac:dyDescent="0.2">
      <c r="A80" s="481"/>
      <c r="B80" s="482"/>
      <c r="C80" s="483"/>
      <c r="D80" s="483"/>
      <c r="E80" s="482"/>
      <c r="H80" s="481"/>
    </row>
    <row r="81" spans="1:8" x14ac:dyDescent="0.2">
      <c r="A81" s="481"/>
      <c r="B81" s="482"/>
      <c r="C81" s="483"/>
      <c r="D81" s="483"/>
      <c r="E81" s="482"/>
    </row>
    <row r="82" spans="1:8" x14ac:dyDescent="0.2">
      <c r="A82" s="481"/>
      <c r="B82" s="482"/>
      <c r="C82" s="483"/>
      <c r="D82" s="483"/>
      <c r="E82" s="482"/>
      <c r="H82" s="481"/>
    </row>
    <row r="83" spans="1:8" x14ac:dyDescent="0.2">
      <c r="A83" s="443"/>
      <c r="B83" s="482"/>
      <c r="C83" s="482"/>
      <c r="D83" s="482"/>
      <c r="E83" s="482"/>
      <c r="H83" s="481"/>
    </row>
    <row r="84" spans="1:8" x14ac:dyDescent="0.2">
      <c r="A84" s="443"/>
      <c r="B84" s="482"/>
      <c r="C84" s="482"/>
      <c r="D84" s="482"/>
      <c r="E84" s="482"/>
      <c r="H84" s="481"/>
    </row>
    <row r="85" spans="1:8" x14ac:dyDescent="0.2">
      <c r="A85" s="481"/>
      <c r="B85" s="482"/>
      <c r="C85" s="483"/>
      <c r="D85" s="483"/>
      <c r="E85" s="482"/>
      <c r="H85" s="481"/>
    </row>
    <row r="86" spans="1:8" x14ac:dyDescent="0.2">
      <c r="A86" s="481"/>
      <c r="B86" s="482"/>
      <c r="C86" s="483"/>
      <c r="D86" s="483"/>
      <c r="E86" s="482"/>
      <c r="H86" s="442"/>
    </row>
    <row r="87" spans="1:8" x14ac:dyDescent="0.2">
      <c r="A87" s="481"/>
      <c r="B87" s="482"/>
      <c r="C87" s="483"/>
      <c r="D87" s="483"/>
      <c r="E87" s="482"/>
      <c r="H87" s="481"/>
    </row>
    <row r="88" spans="1:8" x14ac:dyDescent="0.2">
      <c r="A88" s="481"/>
      <c r="B88" s="482"/>
      <c r="C88" s="483"/>
      <c r="D88" s="483"/>
      <c r="E88" s="482"/>
      <c r="H88" s="481"/>
    </row>
    <row r="89" spans="1:8" x14ac:dyDescent="0.2">
      <c r="A89" s="481"/>
      <c r="B89" s="482"/>
      <c r="C89" s="483"/>
      <c r="D89" s="483"/>
      <c r="E89" s="482"/>
      <c r="H89" s="442"/>
    </row>
    <row r="90" spans="1:8" x14ac:dyDescent="0.2">
      <c r="A90" s="443"/>
      <c r="B90" s="482"/>
      <c r="C90" s="482"/>
      <c r="D90" s="482"/>
      <c r="E90" s="482"/>
      <c r="H90" s="481"/>
    </row>
    <row r="91" spans="1:8" x14ac:dyDescent="0.2">
      <c r="A91" s="481"/>
      <c r="B91" s="482"/>
      <c r="C91" s="483"/>
      <c r="D91" s="483"/>
      <c r="E91" s="482"/>
      <c r="H91" s="481"/>
    </row>
    <row r="92" spans="1:8" x14ac:dyDescent="0.2">
      <c r="A92" s="481"/>
      <c r="B92" s="482"/>
      <c r="C92" s="483"/>
      <c r="D92" s="483"/>
      <c r="E92" s="482"/>
      <c r="H92" s="481"/>
    </row>
    <row r="93" spans="1:8" x14ac:dyDescent="0.2">
      <c r="A93" s="443"/>
      <c r="B93" s="482"/>
      <c r="C93" s="482"/>
      <c r="D93" s="482"/>
      <c r="E93" s="482"/>
      <c r="H93" s="481"/>
    </row>
    <row r="94" spans="1:8" x14ac:dyDescent="0.2">
      <c r="A94" s="481"/>
      <c r="B94" s="482"/>
      <c r="C94" s="483"/>
      <c r="D94" s="483"/>
      <c r="E94" s="482"/>
      <c r="H94" s="442"/>
    </row>
    <row r="95" spans="1:8" x14ac:dyDescent="0.2">
      <c r="A95" s="443"/>
      <c r="B95" s="482"/>
      <c r="C95" s="482"/>
      <c r="D95" s="482"/>
      <c r="E95" s="482"/>
      <c r="H95" s="442"/>
    </row>
    <row r="96" spans="1:8" x14ac:dyDescent="0.2">
      <c r="A96" s="481"/>
      <c r="B96" s="482"/>
      <c r="C96" s="483"/>
      <c r="D96" s="483"/>
      <c r="E96" s="482"/>
      <c r="H96" s="481"/>
    </row>
    <row r="97" spans="1:8" x14ac:dyDescent="0.2">
      <c r="A97" s="97"/>
      <c r="B97" s="482"/>
      <c r="C97" s="482"/>
      <c r="D97" s="482"/>
      <c r="E97" s="482"/>
      <c r="H97" s="481"/>
    </row>
    <row r="98" spans="1:8" x14ac:dyDescent="0.2">
      <c r="A98" s="63"/>
      <c r="B98" s="482"/>
      <c r="C98" s="482"/>
      <c r="D98" s="482"/>
      <c r="E98" s="482"/>
      <c r="H98" s="481"/>
    </row>
    <row r="99" spans="1:8" x14ac:dyDescent="0.2">
      <c r="A99" s="481"/>
      <c r="B99" s="482"/>
      <c r="C99" s="483"/>
      <c r="D99" s="483"/>
      <c r="E99" s="482"/>
      <c r="H99" s="481"/>
    </row>
    <row r="100" spans="1:8" x14ac:dyDescent="0.2">
      <c r="A100" s="63"/>
      <c r="B100" s="482"/>
      <c r="C100" s="482"/>
      <c r="D100" s="482"/>
      <c r="E100" s="482"/>
      <c r="H100" s="481"/>
    </row>
    <row r="101" spans="1:8" x14ac:dyDescent="0.2">
      <c r="A101" s="63"/>
      <c r="B101" s="482"/>
      <c r="C101" s="482"/>
      <c r="D101" s="482"/>
      <c r="E101" s="482"/>
      <c r="H101" s="442"/>
    </row>
    <row r="102" spans="1:8" x14ac:dyDescent="0.2">
      <c r="A102" s="481"/>
      <c r="B102" s="482"/>
      <c r="C102" s="483"/>
      <c r="D102" s="483"/>
      <c r="E102" s="482"/>
      <c r="H102" s="442"/>
    </row>
    <row r="103" spans="1:8" x14ac:dyDescent="0.2">
      <c r="A103" s="481"/>
      <c r="B103" s="482"/>
      <c r="C103" s="483"/>
      <c r="D103" s="483"/>
      <c r="E103" s="482"/>
      <c r="H103" s="481"/>
    </row>
    <row r="104" spans="1:8" x14ac:dyDescent="0.2">
      <c r="A104" s="481"/>
      <c r="B104" s="482"/>
      <c r="C104" s="483"/>
      <c r="D104" s="483"/>
      <c r="E104" s="482"/>
      <c r="H104" s="481"/>
    </row>
    <row r="105" spans="1:8" x14ac:dyDescent="0.2">
      <c r="A105" s="481"/>
      <c r="B105" s="482"/>
      <c r="C105" s="483"/>
      <c r="D105" s="483"/>
      <c r="E105" s="482"/>
      <c r="H105" s="481"/>
    </row>
    <row r="106" spans="1:8" x14ac:dyDescent="0.2">
      <c r="A106" s="481"/>
      <c r="B106" s="482"/>
      <c r="C106" s="483"/>
      <c r="D106" s="483"/>
      <c r="E106" s="482"/>
      <c r="H106" s="481"/>
    </row>
    <row r="107" spans="1:8" x14ac:dyDescent="0.2">
      <c r="A107" s="481"/>
      <c r="B107" s="482"/>
      <c r="C107" s="483"/>
      <c r="D107" s="483"/>
      <c r="E107" s="482"/>
      <c r="H107" s="481"/>
    </row>
    <row r="108" spans="1:8" x14ac:dyDescent="0.2">
      <c r="A108" s="481"/>
      <c r="B108" s="482"/>
      <c r="C108" s="483"/>
      <c r="D108" s="483"/>
      <c r="E108" s="482"/>
      <c r="H108" s="442"/>
    </row>
    <row r="109" spans="1:8" x14ac:dyDescent="0.2">
      <c r="A109" s="481"/>
      <c r="B109" s="482"/>
      <c r="C109" s="483"/>
      <c r="D109" s="483"/>
      <c r="E109" s="482"/>
      <c r="H109" s="442"/>
    </row>
    <row r="110" spans="1:8" x14ac:dyDescent="0.2">
      <c r="A110" s="481"/>
      <c r="B110" s="482"/>
      <c r="C110" s="483"/>
      <c r="D110" s="483"/>
      <c r="E110" s="482"/>
      <c r="H110" s="481"/>
    </row>
    <row r="111" spans="1:8" x14ac:dyDescent="0.2">
      <c r="A111" s="481"/>
      <c r="B111" s="482"/>
      <c r="C111" s="483"/>
      <c r="D111" s="483"/>
      <c r="E111" s="482"/>
      <c r="H111" s="481"/>
    </row>
    <row r="112" spans="1:8" x14ac:dyDescent="0.2">
      <c r="A112" s="481"/>
      <c r="B112" s="482"/>
      <c r="C112" s="483"/>
      <c r="D112" s="483"/>
      <c r="E112" s="482"/>
      <c r="H112" s="442"/>
    </row>
    <row r="113" spans="1:8" x14ac:dyDescent="0.2">
      <c r="A113" s="443"/>
      <c r="B113" s="482"/>
      <c r="C113" s="482"/>
      <c r="D113" s="482"/>
      <c r="E113" s="482"/>
      <c r="H113" s="481"/>
    </row>
    <row r="114" spans="1:8" x14ac:dyDescent="0.2">
      <c r="A114" s="481"/>
      <c r="B114" s="482"/>
      <c r="C114" s="483"/>
      <c r="D114" s="483"/>
      <c r="E114" s="482"/>
      <c r="H114" s="481"/>
    </row>
    <row r="115" spans="1:8" x14ac:dyDescent="0.2">
      <c r="A115" s="443"/>
      <c r="B115" s="482"/>
      <c r="C115" s="482"/>
      <c r="D115" s="482"/>
      <c r="E115" s="482"/>
      <c r="H115" s="481"/>
    </row>
    <row r="116" spans="1:8" x14ac:dyDescent="0.2">
      <c r="A116" s="481"/>
      <c r="B116" s="482"/>
      <c r="C116" s="483"/>
      <c r="D116" s="483"/>
      <c r="E116" s="482"/>
      <c r="H116" s="442"/>
    </row>
    <row r="117" spans="1:8" x14ac:dyDescent="0.2">
      <c r="A117" s="481"/>
      <c r="B117" s="482"/>
      <c r="C117" s="483"/>
      <c r="D117" s="483"/>
      <c r="E117" s="482"/>
      <c r="H117" s="481"/>
    </row>
    <row r="118" spans="1:8" x14ac:dyDescent="0.2">
      <c r="A118" s="443"/>
      <c r="B118" s="482"/>
      <c r="C118" s="482"/>
      <c r="D118" s="482"/>
      <c r="E118" s="482"/>
      <c r="H118" s="481"/>
    </row>
    <row r="119" spans="1:8" x14ac:dyDescent="0.2">
      <c r="A119" s="481"/>
      <c r="B119" s="482"/>
      <c r="C119" s="483"/>
      <c r="D119" s="483"/>
      <c r="E119" s="482"/>
      <c r="H119" s="442"/>
    </row>
    <row r="120" spans="1:8" x14ac:dyDescent="0.2">
      <c r="A120" s="443"/>
      <c r="B120" s="482"/>
      <c r="C120" s="482"/>
      <c r="D120" s="482"/>
      <c r="E120" s="482"/>
      <c r="H120" s="481"/>
    </row>
    <row r="121" spans="1:8" x14ac:dyDescent="0.2">
      <c r="A121" s="481"/>
      <c r="B121" s="482"/>
      <c r="C121" s="483"/>
      <c r="D121" s="483"/>
      <c r="E121" s="482"/>
      <c r="H121" s="107"/>
    </row>
    <row r="122" spans="1:8" x14ac:dyDescent="0.2">
      <c r="A122" s="443"/>
      <c r="B122" s="482"/>
      <c r="C122" s="482"/>
      <c r="D122" s="482"/>
      <c r="E122" s="482"/>
      <c r="H122" s="481"/>
    </row>
    <row r="123" spans="1:8" x14ac:dyDescent="0.2">
      <c r="A123" s="481"/>
      <c r="B123" s="482"/>
      <c r="C123" s="483"/>
      <c r="D123" s="483"/>
      <c r="E123" s="482"/>
      <c r="H123" s="481"/>
    </row>
    <row r="124" spans="1:8" x14ac:dyDescent="0.2">
      <c r="A124" s="481"/>
      <c r="B124" s="482"/>
      <c r="C124" s="483"/>
      <c r="D124" s="483"/>
      <c r="E124" s="482"/>
    </row>
    <row r="125" spans="1:8" x14ac:dyDescent="0.2">
      <c r="A125" s="481"/>
      <c r="B125" s="482"/>
      <c r="C125" s="483"/>
      <c r="D125" s="483"/>
      <c r="E125" s="482"/>
    </row>
    <row r="126" spans="1:8" x14ac:dyDescent="0.2">
      <c r="A126" s="184"/>
      <c r="H126" s="481"/>
    </row>
    <row r="127" spans="1:8" x14ac:dyDescent="0.2">
      <c r="H127" s="481"/>
    </row>
    <row r="128" spans="1:8" x14ac:dyDescent="0.2">
      <c r="H128" s="481"/>
    </row>
    <row r="129" spans="1:8" x14ac:dyDescent="0.2">
      <c r="H129" s="481"/>
    </row>
    <row r="130" spans="1:8" x14ac:dyDescent="0.2">
      <c r="H130" s="481"/>
    </row>
    <row r="131" spans="1:8" x14ac:dyDescent="0.2">
      <c r="A131" s="442"/>
      <c r="H131" s="481"/>
    </row>
    <row r="132" spans="1:8" x14ac:dyDescent="0.2">
      <c r="A132" s="442"/>
      <c r="H132" s="481"/>
    </row>
    <row r="133" spans="1:8" x14ac:dyDescent="0.2">
      <c r="A133" s="442"/>
      <c r="H133" s="481"/>
    </row>
    <row r="134" spans="1:8" x14ac:dyDescent="0.2">
      <c r="A134" s="442"/>
      <c r="H134" s="481"/>
    </row>
    <row r="135" spans="1:8" x14ac:dyDescent="0.2">
      <c r="H135" s="481"/>
    </row>
    <row r="136" spans="1:8" x14ac:dyDescent="0.2">
      <c r="H136" s="481"/>
    </row>
    <row r="137" spans="1:8" x14ac:dyDescent="0.2">
      <c r="H137" s="481"/>
    </row>
    <row r="138" spans="1:8" x14ac:dyDescent="0.2">
      <c r="H138" s="481"/>
    </row>
    <row r="139" spans="1:8" x14ac:dyDescent="0.2">
      <c r="H139" s="481"/>
    </row>
    <row r="140" spans="1:8" x14ac:dyDescent="0.2">
      <c r="H140" s="481"/>
    </row>
    <row r="141" spans="1:8" x14ac:dyDescent="0.2">
      <c r="H141" s="481"/>
    </row>
    <row r="142" spans="1:8" x14ac:dyDescent="0.2">
      <c r="H142" s="481"/>
    </row>
    <row r="143" spans="1:8" x14ac:dyDescent="0.2">
      <c r="H143" s="481"/>
    </row>
    <row r="144" spans="1:8" x14ac:dyDescent="0.2">
      <c r="H144" s="481"/>
    </row>
    <row r="145" spans="8:8" x14ac:dyDescent="0.2">
      <c r="H145" s="481"/>
    </row>
    <row r="146" spans="8:8" x14ac:dyDescent="0.2">
      <c r="H146" s="481"/>
    </row>
    <row r="147" spans="8:8" x14ac:dyDescent="0.2">
      <c r="H147" s="481"/>
    </row>
    <row r="148" spans="8:8" x14ac:dyDescent="0.2">
      <c r="H148" s="481"/>
    </row>
    <row r="149" spans="8:8" x14ac:dyDescent="0.2">
      <c r="H149" s="481"/>
    </row>
    <row r="150" spans="8:8" x14ac:dyDescent="0.2">
      <c r="H150" s="481"/>
    </row>
    <row r="151" spans="8:8" x14ac:dyDescent="0.2">
      <c r="H151" s="481"/>
    </row>
    <row r="152" spans="8:8" x14ac:dyDescent="0.2">
      <c r="H152" s="481"/>
    </row>
    <row r="153" spans="8:8" x14ac:dyDescent="0.2">
      <c r="H153" s="481"/>
    </row>
    <row r="154" spans="8:8" x14ac:dyDescent="0.2">
      <c r="H154" s="481"/>
    </row>
    <row r="155" spans="8:8" x14ac:dyDescent="0.2">
      <c r="H155" s="481"/>
    </row>
    <row r="156" spans="8:8" x14ac:dyDescent="0.2">
      <c r="H156" s="442"/>
    </row>
    <row r="157" spans="8:8" x14ac:dyDescent="0.2">
      <c r="H157" s="481"/>
    </row>
    <row r="158" spans="8:8" x14ac:dyDescent="0.2">
      <c r="H158" s="442"/>
    </row>
    <row r="159" spans="8:8" x14ac:dyDescent="0.2">
      <c r="H159" s="481"/>
    </row>
    <row r="160" spans="8:8" x14ac:dyDescent="0.2">
      <c r="H160" s="481"/>
    </row>
    <row r="161" spans="8:8" x14ac:dyDescent="0.2">
      <c r="H161" s="442"/>
    </row>
    <row r="162" spans="8:8" x14ac:dyDescent="0.2">
      <c r="H162" s="481"/>
    </row>
    <row r="163" spans="8:8" x14ac:dyDescent="0.2">
      <c r="H163" s="481"/>
    </row>
    <row r="164" spans="8:8" x14ac:dyDescent="0.2">
      <c r="H164" s="481"/>
    </row>
    <row r="165" spans="8:8" x14ac:dyDescent="0.2">
      <c r="H165" s="442"/>
    </row>
    <row r="166" spans="8:8" x14ac:dyDescent="0.2">
      <c r="H166" s="481"/>
    </row>
    <row r="167" spans="8:8" x14ac:dyDescent="0.2">
      <c r="H167" s="481"/>
    </row>
    <row r="168" spans="8:8" x14ac:dyDescent="0.2">
      <c r="H168" s="442"/>
    </row>
    <row r="169" spans="8:8" x14ac:dyDescent="0.2">
      <c r="H169" s="481"/>
    </row>
    <row r="170" spans="8:8" x14ac:dyDescent="0.2">
      <c r="H170" s="481"/>
    </row>
    <row r="171" spans="8:8" x14ac:dyDescent="0.2">
      <c r="H171" s="481"/>
    </row>
    <row r="172" spans="8:8" x14ac:dyDescent="0.2">
      <c r="H172" s="481"/>
    </row>
  </sheetData>
  <mergeCells count="6">
    <mergeCell ref="A2:J2"/>
    <mergeCell ref="A4:A5"/>
    <mergeCell ref="B4:D4"/>
    <mergeCell ref="E4:G4"/>
    <mergeCell ref="H4:J4"/>
    <mergeCell ref="A24:H24"/>
  </mergeCells>
  <pageMargins left="0.70866141732283472" right="0.70866141732283472" top="0.74803149606299213" bottom="0.74803149606299213" header="0.31496062992125984" footer="0.31496062992125984"/>
  <pageSetup paperSize="14" orientation="landscape" verticalDpi="599"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8E2AF-1CA6-4240-B49B-1AEE94E6A125}">
  <sheetPr codeName="Hoja48"/>
  <dimension ref="A2:H24"/>
  <sheetViews>
    <sheetView workbookViewId="0">
      <selection activeCell="B31" sqref="B31"/>
    </sheetView>
  </sheetViews>
  <sheetFormatPr baseColWidth="10" defaultRowHeight="13.2" x14ac:dyDescent="0.25"/>
  <cols>
    <col min="1" max="1" width="20.33203125" style="79" customWidth="1"/>
    <col min="2" max="2" width="11.5546875" style="79"/>
    <col min="3" max="8" width="14" style="79" customWidth="1"/>
    <col min="9" max="16384" width="11.5546875" style="79"/>
  </cols>
  <sheetData>
    <row r="2" spans="1:8" ht="42.75" customHeight="1" x14ac:dyDescent="0.25">
      <c r="A2" s="64" t="s">
        <v>810</v>
      </c>
      <c r="B2" s="64"/>
      <c r="C2" s="64"/>
      <c r="D2" s="64"/>
      <c r="E2" s="64"/>
      <c r="F2" s="64"/>
      <c r="G2" s="64"/>
      <c r="H2" s="64"/>
    </row>
    <row r="3" spans="1:8" x14ac:dyDescent="0.25">
      <c r="A3" s="494"/>
      <c r="B3" s="494"/>
      <c r="C3" s="495"/>
      <c r="D3" s="495"/>
      <c r="E3" s="495"/>
      <c r="F3" s="495"/>
      <c r="G3" s="495"/>
      <c r="H3" s="495"/>
    </row>
    <row r="4" spans="1:8" x14ac:dyDescent="0.25">
      <c r="A4" s="496" t="s">
        <v>857</v>
      </c>
      <c r="B4" s="497" t="s">
        <v>42</v>
      </c>
      <c r="C4" s="498" t="s">
        <v>858</v>
      </c>
      <c r="D4" s="499"/>
      <c r="E4" s="499"/>
      <c r="F4" s="499"/>
      <c r="G4" s="499"/>
      <c r="H4" s="500"/>
    </row>
    <row r="5" spans="1:8" ht="129.75" customHeight="1" x14ac:dyDescent="0.25">
      <c r="A5" s="501"/>
      <c r="B5" s="497"/>
      <c r="C5" s="502" t="s">
        <v>859</v>
      </c>
      <c r="D5" s="502" t="s">
        <v>860</v>
      </c>
      <c r="E5" s="502" t="s">
        <v>861</v>
      </c>
      <c r="F5" s="502" t="s">
        <v>862</v>
      </c>
      <c r="G5" s="502" t="s">
        <v>863</v>
      </c>
      <c r="H5" s="502">
        <v>0</v>
      </c>
    </row>
    <row r="6" spans="1:8" x14ac:dyDescent="0.25">
      <c r="A6" s="494" t="s">
        <v>3</v>
      </c>
      <c r="B6" s="503">
        <f>SUM(B7:B21)</f>
        <v>288</v>
      </c>
      <c r="C6" s="504">
        <f>SUM(C7:C21)</f>
        <v>13</v>
      </c>
      <c r="D6" s="504">
        <f t="shared" ref="D6:H6" si="0">SUM(D7:D21)</f>
        <v>34</v>
      </c>
      <c r="E6" s="504">
        <f t="shared" si="0"/>
        <v>16</v>
      </c>
      <c r="F6" s="504">
        <f t="shared" si="0"/>
        <v>4</v>
      </c>
      <c r="G6" s="504">
        <f t="shared" si="0"/>
        <v>179</v>
      </c>
      <c r="H6" s="504">
        <f t="shared" si="0"/>
        <v>42</v>
      </c>
    </row>
    <row r="7" spans="1:8" x14ac:dyDescent="0.25">
      <c r="A7" s="505" t="s">
        <v>4</v>
      </c>
      <c r="B7" s="503">
        <f>SUM(C7:H7)</f>
        <v>8</v>
      </c>
      <c r="C7" s="506">
        <v>0</v>
      </c>
      <c r="D7" s="506">
        <v>0</v>
      </c>
      <c r="E7" s="506">
        <v>0</v>
      </c>
      <c r="F7" s="506">
        <v>0</v>
      </c>
      <c r="G7" s="506">
        <v>5</v>
      </c>
      <c r="H7" s="506">
        <v>3</v>
      </c>
    </row>
    <row r="8" spans="1:8" x14ac:dyDescent="0.25">
      <c r="A8" s="505" t="s">
        <v>5</v>
      </c>
      <c r="B8" s="503">
        <f t="shared" ref="B8:B21" si="1">SUM(C8:H8)</f>
        <v>26</v>
      </c>
      <c r="C8" s="506">
        <v>0</v>
      </c>
      <c r="D8" s="506">
        <v>2</v>
      </c>
      <c r="E8" s="506">
        <v>15</v>
      </c>
      <c r="F8" s="506">
        <v>0</v>
      </c>
      <c r="G8" s="506">
        <v>9</v>
      </c>
      <c r="H8" s="506">
        <v>0</v>
      </c>
    </row>
    <row r="9" spans="1:8" x14ac:dyDescent="0.25">
      <c r="A9" s="505" t="s">
        <v>6</v>
      </c>
      <c r="B9" s="503">
        <f t="shared" si="1"/>
        <v>6</v>
      </c>
      <c r="C9" s="506">
        <v>0</v>
      </c>
      <c r="D9" s="506">
        <v>2</v>
      </c>
      <c r="E9" s="506">
        <v>0</v>
      </c>
      <c r="F9" s="506">
        <v>0</v>
      </c>
      <c r="G9" s="506">
        <v>4</v>
      </c>
      <c r="H9" s="506">
        <v>0</v>
      </c>
    </row>
    <row r="10" spans="1:8" x14ac:dyDescent="0.25">
      <c r="A10" s="505" t="s">
        <v>7</v>
      </c>
      <c r="B10" s="503">
        <f t="shared" si="1"/>
        <v>8</v>
      </c>
      <c r="C10" s="506">
        <v>1</v>
      </c>
      <c r="D10" s="506">
        <v>0</v>
      </c>
      <c r="E10" s="506">
        <v>0</v>
      </c>
      <c r="F10" s="506">
        <v>0</v>
      </c>
      <c r="G10" s="506">
        <v>5</v>
      </c>
      <c r="H10" s="506">
        <v>2</v>
      </c>
    </row>
    <row r="11" spans="1:8" x14ac:dyDescent="0.25">
      <c r="A11" s="505" t="s">
        <v>8</v>
      </c>
      <c r="B11" s="503">
        <f t="shared" si="1"/>
        <v>1</v>
      </c>
      <c r="C11" s="506">
        <v>0</v>
      </c>
      <c r="D11" s="506">
        <v>0</v>
      </c>
      <c r="E11" s="506">
        <v>0</v>
      </c>
      <c r="F11" s="506">
        <v>0</v>
      </c>
      <c r="G11" s="506">
        <v>1</v>
      </c>
      <c r="H11" s="506">
        <v>0</v>
      </c>
    </row>
    <row r="12" spans="1:8" x14ac:dyDescent="0.25">
      <c r="A12" s="505" t="s">
        <v>9</v>
      </c>
      <c r="B12" s="503">
        <f t="shared" si="1"/>
        <v>57</v>
      </c>
      <c r="C12" s="506">
        <v>3</v>
      </c>
      <c r="D12" s="506">
        <v>20</v>
      </c>
      <c r="E12" s="506">
        <v>0</v>
      </c>
      <c r="F12" s="506">
        <v>3</v>
      </c>
      <c r="G12" s="506">
        <v>19</v>
      </c>
      <c r="H12" s="506">
        <v>12</v>
      </c>
    </row>
    <row r="13" spans="1:8" x14ac:dyDescent="0.25">
      <c r="A13" s="505" t="s">
        <v>10</v>
      </c>
      <c r="B13" s="503">
        <f t="shared" si="1"/>
        <v>121</v>
      </c>
      <c r="C13" s="506">
        <v>4</v>
      </c>
      <c r="D13" s="506">
        <v>6</v>
      </c>
      <c r="E13" s="506">
        <v>0</v>
      </c>
      <c r="F13" s="506">
        <v>0</v>
      </c>
      <c r="G13" s="506">
        <v>91</v>
      </c>
      <c r="H13" s="506">
        <v>20</v>
      </c>
    </row>
    <row r="14" spans="1:8" x14ac:dyDescent="0.25">
      <c r="A14" s="505" t="s">
        <v>134</v>
      </c>
      <c r="B14" s="503">
        <f t="shared" si="1"/>
        <v>7</v>
      </c>
      <c r="C14" s="506">
        <v>1</v>
      </c>
      <c r="D14" s="506">
        <v>0</v>
      </c>
      <c r="E14" s="506">
        <v>0</v>
      </c>
      <c r="F14" s="506">
        <v>0</v>
      </c>
      <c r="G14" s="506">
        <v>6</v>
      </c>
      <c r="H14" s="506">
        <v>0</v>
      </c>
    </row>
    <row r="15" spans="1:8" x14ac:dyDescent="0.25">
      <c r="A15" s="505" t="s">
        <v>12</v>
      </c>
      <c r="B15" s="503">
        <f t="shared" si="1"/>
        <v>3</v>
      </c>
      <c r="C15" s="506">
        <v>0</v>
      </c>
      <c r="D15" s="506">
        <v>0</v>
      </c>
      <c r="E15" s="506">
        <v>0</v>
      </c>
      <c r="F15" s="506">
        <v>0</v>
      </c>
      <c r="G15" s="506">
        <v>3</v>
      </c>
      <c r="H15" s="506">
        <v>0</v>
      </c>
    </row>
    <row r="16" spans="1:8" x14ac:dyDescent="0.25">
      <c r="A16" s="505" t="s">
        <v>13</v>
      </c>
      <c r="B16" s="503">
        <f t="shared" si="1"/>
        <v>13</v>
      </c>
      <c r="C16" s="506">
        <v>1</v>
      </c>
      <c r="D16" s="506">
        <v>3</v>
      </c>
      <c r="E16" s="506">
        <v>0</v>
      </c>
      <c r="F16" s="506">
        <v>0</v>
      </c>
      <c r="G16" s="506">
        <v>8</v>
      </c>
      <c r="H16" s="506">
        <v>1</v>
      </c>
    </row>
    <row r="17" spans="1:8" x14ac:dyDescent="0.25">
      <c r="A17" s="505" t="s">
        <v>47</v>
      </c>
      <c r="B17" s="503">
        <f t="shared" si="1"/>
        <v>11</v>
      </c>
      <c r="C17" s="506">
        <v>0</v>
      </c>
      <c r="D17" s="506">
        <v>1</v>
      </c>
      <c r="E17" s="506">
        <v>1</v>
      </c>
      <c r="F17" s="506">
        <v>0</v>
      </c>
      <c r="G17" s="506">
        <v>9</v>
      </c>
      <c r="H17" s="506">
        <v>0</v>
      </c>
    </row>
    <row r="18" spans="1:8" x14ac:dyDescent="0.25">
      <c r="A18" s="505" t="s">
        <v>135</v>
      </c>
      <c r="B18" s="503">
        <f t="shared" si="1"/>
        <v>6</v>
      </c>
      <c r="C18" s="506">
        <v>1</v>
      </c>
      <c r="D18" s="506">
        <v>0</v>
      </c>
      <c r="E18" s="506">
        <v>0</v>
      </c>
      <c r="F18" s="506">
        <v>1</v>
      </c>
      <c r="G18" s="506">
        <v>0</v>
      </c>
      <c r="H18" s="506">
        <v>4</v>
      </c>
    </row>
    <row r="19" spans="1:8" x14ac:dyDescent="0.25">
      <c r="A19" s="505" t="s">
        <v>136</v>
      </c>
      <c r="B19" s="503">
        <f t="shared" si="1"/>
        <v>7</v>
      </c>
      <c r="C19" s="506">
        <v>1</v>
      </c>
      <c r="D19" s="506">
        <v>0</v>
      </c>
      <c r="E19" s="506">
        <v>0</v>
      </c>
      <c r="F19" s="506">
        <v>0</v>
      </c>
      <c r="G19" s="506">
        <v>6</v>
      </c>
      <c r="H19" s="506">
        <v>0</v>
      </c>
    </row>
    <row r="20" spans="1:8" x14ac:dyDescent="0.25">
      <c r="A20" s="505" t="s">
        <v>17</v>
      </c>
      <c r="B20" s="503">
        <f t="shared" si="1"/>
        <v>3</v>
      </c>
      <c r="C20" s="506">
        <v>0</v>
      </c>
      <c r="D20" s="506">
        <v>0</v>
      </c>
      <c r="E20" s="506">
        <v>0</v>
      </c>
      <c r="F20" s="506">
        <v>0</v>
      </c>
      <c r="G20" s="506">
        <v>3</v>
      </c>
      <c r="H20" s="506">
        <v>0</v>
      </c>
    </row>
    <row r="21" spans="1:8" x14ac:dyDescent="0.25">
      <c r="A21" s="505" t="s">
        <v>18</v>
      </c>
      <c r="B21" s="503">
        <f t="shared" si="1"/>
        <v>11</v>
      </c>
      <c r="C21" s="506">
        <v>1</v>
      </c>
      <c r="D21" s="506">
        <v>0</v>
      </c>
      <c r="E21" s="506">
        <v>0</v>
      </c>
      <c r="F21" s="506">
        <v>0</v>
      </c>
      <c r="G21" s="506">
        <v>10</v>
      </c>
      <c r="H21" s="506">
        <v>0</v>
      </c>
    </row>
    <row r="22" spans="1:8" x14ac:dyDescent="0.25">
      <c r="A22" s="494"/>
      <c r="B22" s="494"/>
      <c r="C22" s="495"/>
      <c r="D22" s="495"/>
      <c r="E22" s="495"/>
      <c r="F22" s="495"/>
      <c r="G22" s="495"/>
      <c r="H22" s="495"/>
    </row>
    <row r="23" spans="1:8" x14ac:dyDescent="0.25">
      <c r="A23" s="491" t="s">
        <v>19</v>
      </c>
      <c r="B23" s="491"/>
      <c r="C23" s="491"/>
      <c r="D23" s="491"/>
      <c r="E23" s="491"/>
      <c r="F23" s="491"/>
      <c r="G23" s="491"/>
      <c r="H23" s="491"/>
    </row>
    <row r="24" spans="1:8" x14ac:dyDescent="0.25">
      <c r="A24" s="384" t="s">
        <v>864</v>
      </c>
      <c r="B24" s="384"/>
      <c r="C24" s="384"/>
      <c r="D24" s="384"/>
      <c r="E24" s="384"/>
      <c r="F24" s="384"/>
      <c r="G24" s="384"/>
      <c r="H24" s="384"/>
    </row>
  </sheetData>
  <mergeCells count="6">
    <mergeCell ref="A2:H2"/>
    <mergeCell ref="A4:A5"/>
    <mergeCell ref="B4:B5"/>
    <mergeCell ref="C4:H4"/>
    <mergeCell ref="A23:H23"/>
    <mergeCell ref="A24:H24"/>
  </mergeCells>
  <pageMargins left="0.70866141732283472" right="0.70866141732283472" top="0.74803149606299213" bottom="0.74803149606299213" header="0.31496062992125984" footer="0.31496062992125984"/>
  <pageSetup paperSize="14" orientation="landscape" verticalDpi="599"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010FA-EFB4-4715-83D9-22E234E75877}">
  <sheetPr codeName="Hoja49"/>
  <dimension ref="A2:I294"/>
  <sheetViews>
    <sheetView zoomScaleNormal="100" workbookViewId="0">
      <selection activeCell="B31" sqref="B31"/>
    </sheetView>
  </sheetViews>
  <sheetFormatPr baseColWidth="10" defaultColWidth="11.44140625" defaultRowHeight="10.199999999999999" x14ac:dyDescent="0.25"/>
  <cols>
    <col min="1" max="1" width="25.88671875" style="508" customWidth="1"/>
    <col min="2" max="2" width="9.44140625" style="508" customWidth="1"/>
    <col min="3" max="8" width="12.88671875" style="508" customWidth="1"/>
    <col min="9" max="9" width="11.44140625" style="507"/>
    <col min="10" max="10" width="24.6640625" style="508" customWidth="1"/>
    <col min="11" max="16384" width="11.44140625" style="508"/>
  </cols>
  <sheetData>
    <row r="2" spans="1:9" ht="38.25" customHeight="1" x14ac:dyDescent="0.25">
      <c r="A2" s="64" t="s">
        <v>865</v>
      </c>
      <c r="B2" s="64"/>
      <c r="C2" s="64"/>
      <c r="D2" s="64"/>
      <c r="E2" s="64"/>
      <c r="F2" s="64"/>
      <c r="G2" s="64"/>
      <c r="H2" s="64"/>
    </row>
    <row r="3" spans="1:9" s="511" customFormat="1" ht="14.4" x14ac:dyDescent="0.3">
      <c r="A3" s="100"/>
      <c r="B3" s="509"/>
      <c r="C3" s="509"/>
      <c r="D3" s="509"/>
      <c r="E3" s="509"/>
      <c r="F3" s="509"/>
      <c r="G3" s="509"/>
      <c r="H3" s="509"/>
      <c r="I3" s="510"/>
    </row>
    <row r="4" spans="1:9" x14ac:dyDescent="0.25">
      <c r="A4" s="96" t="s">
        <v>866</v>
      </c>
      <c r="B4" s="497" t="s">
        <v>42</v>
      </c>
      <c r="C4" s="497" t="s">
        <v>858</v>
      </c>
      <c r="D4" s="497"/>
      <c r="E4" s="497"/>
      <c r="F4" s="497"/>
      <c r="G4" s="497"/>
      <c r="H4" s="497"/>
      <c r="I4" s="508"/>
    </row>
    <row r="5" spans="1:9" ht="102" x14ac:dyDescent="0.25">
      <c r="A5" s="96"/>
      <c r="B5" s="497"/>
      <c r="C5" s="502" t="s">
        <v>867</v>
      </c>
      <c r="D5" s="502" t="s">
        <v>860</v>
      </c>
      <c r="E5" s="502" t="s">
        <v>861</v>
      </c>
      <c r="F5" s="502" t="s">
        <v>868</v>
      </c>
      <c r="G5" s="502" t="s">
        <v>869</v>
      </c>
      <c r="H5" s="502" t="s">
        <v>870</v>
      </c>
      <c r="I5" s="508"/>
    </row>
    <row r="6" spans="1:9" x14ac:dyDescent="0.2">
      <c r="A6" s="116" t="s">
        <v>3</v>
      </c>
      <c r="B6" s="196">
        <f>SUM(C6:H6)</f>
        <v>288</v>
      </c>
      <c r="C6" s="196">
        <f t="shared" ref="C6:H6" si="0">+C7+C9+C13+C16+C20+C22+C37+C69+C73+C76+C86+C92+C95+C98+C101</f>
        <v>13</v>
      </c>
      <c r="D6" s="196">
        <f t="shared" si="0"/>
        <v>34</v>
      </c>
      <c r="E6" s="196">
        <f t="shared" si="0"/>
        <v>16</v>
      </c>
      <c r="F6" s="196">
        <f t="shared" si="0"/>
        <v>4</v>
      </c>
      <c r="G6" s="196">
        <f t="shared" si="0"/>
        <v>179</v>
      </c>
      <c r="H6" s="196">
        <f t="shared" si="0"/>
        <v>42</v>
      </c>
      <c r="I6" s="508"/>
    </row>
    <row r="7" spans="1:9" x14ac:dyDescent="0.2">
      <c r="A7" s="512" t="s">
        <v>4</v>
      </c>
      <c r="B7" s="196">
        <f t="shared" ref="B7" si="1">SUM(C7:H7)</f>
        <v>8</v>
      </c>
      <c r="C7" s="196">
        <f t="shared" ref="C7:H7" si="2">SUM(C8)</f>
        <v>0</v>
      </c>
      <c r="D7" s="196">
        <f t="shared" si="2"/>
        <v>0</v>
      </c>
      <c r="E7" s="196">
        <f t="shared" si="2"/>
        <v>0</v>
      </c>
      <c r="F7" s="196">
        <f t="shared" si="2"/>
        <v>0</v>
      </c>
      <c r="G7" s="196">
        <f t="shared" si="2"/>
        <v>5</v>
      </c>
      <c r="H7" s="196">
        <f t="shared" si="2"/>
        <v>3</v>
      </c>
      <c r="I7" s="508"/>
    </row>
    <row r="8" spans="1:9" x14ac:dyDescent="0.2">
      <c r="A8" s="513" t="s">
        <v>871</v>
      </c>
      <c r="B8" s="196">
        <f t="shared" ref="B8:B71" si="3">SUM(C8:H8)</f>
        <v>8</v>
      </c>
      <c r="C8" s="198">
        <v>0</v>
      </c>
      <c r="D8" s="198">
        <v>0</v>
      </c>
      <c r="E8" s="198">
        <v>0</v>
      </c>
      <c r="F8" s="198">
        <v>0</v>
      </c>
      <c r="G8" s="198">
        <v>5</v>
      </c>
      <c r="H8" s="198">
        <v>3</v>
      </c>
      <c r="I8" s="508"/>
    </row>
    <row r="9" spans="1:9" x14ac:dyDescent="0.2">
      <c r="A9" s="512" t="s">
        <v>5</v>
      </c>
      <c r="B9" s="196">
        <f t="shared" si="3"/>
        <v>26</v>
      </c>
      <c r="C9" s="196">
        <f t="shared" ref="C9:H9" si="4">SUM(C10:C12)</f>
        <v>0</v>
      </c>
      <c r="D9" s="196">
        <f t="shared" si="4"/>
        <v>2</v>
      </c>
      <c r="E9" s="196">
        <f t="shared" si="4"/>
        <v>15</v>
      </c>
      <c r="F9" s="196">
        <f t="shared" si="4"/>
        <v>0</v>
      </c>
      <c r="G9" s="196">
        <f t="shared" si="4"/>
        <v>9</v>
      </c>
      <c r="H9" s="196">
        <f t="shared" si="4"/>
        <v>0</v>
      </c>
      <c r="I9" s="508"/>
    </row>
    <row r="10" spans="1:9" x14ac:dyDescent="0.2">
      <c r="A10" s="493" t="s">
        <v>872</v>
      </c>
      <c r="B10" s="196">
        <f t="shared" si="3"/>
        <v>24</v>
      </c>
      <c r="C10" s="198">
        <v>0</v>
      </c>
      <c r="D10" s="198">
        <v>2</v>
      </c>
      <c r="E10" s="198">
        <v>15</v>
      </c>
      <c r="F10" s="198">
        <v>0</v>
      </c>
      <c r="G10" s="198">
        <v>7</v>
      </c>
      <c r="H10" s="198">
        <v>0</v>
      </c>
      <c r="I10" s="508"/>
    </row>
    <row r="11" spans="1:9" x14ac:dyDescent="0.2">
      <c r="A11" s="493" t="s">
        <v>873</v>
      </c>
      <c r="B11" s="196">
        <f t="shared" si="3"/>
        <v>1</v>
      </c>
      <c r="C11" s="198">
        <v>0</v>
      </c>
      <c r="D11" s="198">
        <v>0</v>
      </c>
      <c r="E11" s="198">
        <v>0</v>
      </c>
      <c r="F11" s="198">
        <v>0</v>
      </c>
      <c r="G11" s="198">
        <v>1</v>
      </c>
      <c r="H11" s="198">
        <v>0</v>
      </c>
      <c r="I11" s="508"/>
    </row>
    <row r="12" spans="1:9" x14ac:dyDescent="0.2">
      <c r="A12" s="493" t="s">
        <v>874</v>
      </c>
      <c r="B12" s="196">
        <f t="shared" si="3"/>
        <v>1</v>
      </c>
      <c r="C12" s="198">
        <v>0</v>
      </c>
      <c r="D12" s="198">
        <v>0</v>
      </c>
      <c r="E12" s="198">
        <v>0</v>
      </c>
      <c r="F12" s="198">
        <v>0</v>
      </c>
      <c r="G12" s="198">
        <v>1</v>
      </c>
      <c r="H12" s="198">
        <v>0</v>
      </c>
      <c r="I12" s="508"/>
    </row>
    <row r="13" spans="1:9" x14ac:dyDescent="0.2">
      <c r="A13" s="512" t="s">
        <v>6</v>
      </c>
      <c r="B13" s="196">
        <f t="shared" si="3"/>
        <v>6</v>
      </c>
      <c r="C13" s="196">
        <f t="shared" ref="C13:H13" si="5">SUM(C14:C15)</f>
        <v>0</v>
      </c>
      <c r="D13" s="196">
        <f t="shared" si="5"/>
        <v>2</v>
      </c>
      <c r="E13" s="196">
        <f t="shared" si="5"/>
        <v>0</v>
      </c>
      <c r="F13" s="196">
        <f t="shared" si="5"/>
        <v>0</v>
      </c>
      <c r="G13" s="196">
        <f t="shared" si="5"/>
        <v>4</v>
      </c>
      <c r="H13" s="196">
        <f t="shared" si="5"/>
        <v>0</v>
      </c>
      <c r="I13" s="508"/>
    </row>
    <row r="14" spans="1:9" x14ac:dyDescent="0.2">
      <c r="A14" s="493" t="s">
        <v>875</v>
      </c>
      <c r="B14" s="196">
        <f t="shared" si="3"/>
        <v>4</v>
      </c>
      <c r="C14" s="198">
        <v>0</v>
      </c>
      <c r="D14" s="198">
        <v>2</v>
      </c>
      <c r="E14" s="198">
        <v>0</v>
      </c>
      <c r="F14" s="198">
        <v>0</v>
      </c>
      <c r="G14" s="198">
        <v>2</v>
      </c>
      <c r="H14" s="198">
        <v>0</v>
      </c>
      <c r="I14" s="508"/>
    </row>
    <row r="15" spans="1:9" x14ac:dyDescent="0.2">
      <c r="A15" s="493" t="s">
        <v>6</v>
      </c>
      <c r="B15" s="196">
        <f t="shared" si="3"/>
        <v>2</v>
      </c>
      <c r="C15" s="198">
        <v>0</v>
      </c>
      <c r="D15" s="198">
        <v>0</v>
      </c>
      <c r="E15" s="198">
        <v>0</v>
      </c>
      <c r="F15" s="198">
        <v>0</v>
      </c>
      <c r="G15" s="198">
        <v>2</v>
      </c>
      <c r="H15" s="198">
        <v>0</v>
      </c>
      <c r="I15" s="508"/>
    </row>
    <row r="16" spans="1:9" x14ac:dyDescent="0.2">
      <c r="A16" s="514" t="s">
        <v>7</v>
      </c>
      <c r="B16" s="196">
        <f t="shared" si="3"/>
        <v>8</v>
      </c>
      <c r="C16" s="196">
        <f t="shared" ref="C16:H16" si="6">SUM(C17:C19)</f>
        <v>1</v>
      </c>
      <c r="D16" s="196">
        <f t="shared" si="6"/>
        <v>0</v>
      </c>
      <c r="E16" s="196">
        <f t="shared" si="6"/>
        <v>0</v>
      </c>
      <c r="F16" s="196">
        <f t="shared" si="6"/>
        <v>0</v>
      </c>
      <c r="G16" s="196">
        <f t="shared" si="6"/>
        <v>5</v>
      </c>
      <c r="H16" s="196">
        <f t="shared" si="6"/>
        <v>2</v>
      </c>
      <c r="I16" s="508"/>
    </row>
    <row r="17" spans="1:9" x14ac:dyDescent="0.2">
      <c r="A17" s="493" t="s">
        <v>876</v>
      </c>
      <c r="B17" s="196">
        <f t="shared" si="3"/>
        <v>3</v>
      </c>
      <c r="C17" s="198">
        <v>0</v>
      </c>
      <c r="D17" s="198">
        <v>0</v>
      </c>
      <c r="E17" s="198">
        <v>0</v>
      </c>
      <c r="F17" s="198">
        <v>0</v>
      </c>
      <c r="G17" s="198">
        <v>2</v>
      </c>
      <c r="H17" s="198">
        <v>1</v>
      </c>
      <c r="I17" s="508"/>
    </row>
    <row r="18" spans="1:9" x14ac:dyDescent="0.2">
      <c r="A18" s="493" t="s">
        <v>877</v>
      </c>
      <c r="B18" s="196">
        <f t="shared" si="3"/>
        <v>1</v>
      </c>
      <c r="C18" s="198">
        <v>0</v>
      </c>
      <c r="D18" s="198">
        <v>0</v>
      </c>
      <c r="E18" s="198">
        <v>0</v>
      </c>
      <c r="F18" s="198">
        <v>0</v>
      </c>
      <c r="G18" s="198">
        <v>0</v>
      </c>
      <c r="H18" s="198">
        <v>1</v>
      </c>
      <c r="I18" s="508"/>
    </row>
    <row r="19" spans="1:9" x14ac:dyDescent="0.2">
      <c r="A19" s="493" t="s">
        <v>874</v>
      </c>
      <c r="B19" s="196">
        <f t="shared" si="3"/>
        <v>4</v>
      </c>
      <c r="C19" s="198">
        <v>1</v>
      </c>
      <c r="D19" s="198">
        <v>0</v>
      </c>
      <c r="E19" s="198">
        <v>0</v>
      </c>
      <c r="F19" s="198">
        <v>0</v>
      </c>
      <c r="G19" s="198">
        <v>3</v>
      </c>
      <c r="H19" s="198">
        <v>0</v>
      </c>
      <c r="I19" s="508"/>
    </row>
    <row r="20" spans="1:9" x14ac:dyDescent="0.2">
      <c r="A20" s="512" t="s">
        <v>8</v>
      </c>
      <c r="B20" s="196">
        <f t="shared" si="3"/>
        <v>1</v>
      </c>
      <c r="C20" s="196">
        <f t="shared" ref="C20:H20" si="7">SUM(C21)</f>
        <v>0</v>
      </c>
      <c r="D20" s="196">
        <f t="shared" si="7"/>
        <v>0</v>
      </c>
      <c r="E20" s="196">
        <f t="shared" si="7"/>
        <v>0</v>
      </c>
      <c r="F20" s="196">
        <f t="shared" si="7"/>
        <v>0</v>
      </c>
      <c r="G20" s="196">
        <f t="shared" si="7"/>
        <v>1</v>
      </c>
      <c r="H20" s="196">
        <f t="shared" si="7"/>
        <v>0</v>
      </c>
      <c r="I20" s="508"/>
    </row>
    <row r="21" spans="1:9" x14ac:dyDescent="0.2">
      <c r="A21" s="493" t="s">
        <v>878</v>
      </c>
      <c r="B21" s="196">
        <f t="shared" si="3"/>
        <v>1</v>
      </c>
      <c r="C21" s="198">
        <v>0</v>
      </c>
      <c r="D21" s="198">
        <v>0</v>
      </c>
      <c r="E21" s="198">
        <v>0</v>
      </c>
      <c r="F21" s="198">
        <v>0</v>
      </c>
      <c r="G21" s="198">
        <v>1</v>
      </c>
      <c r="H21" s="198">
        <v>0</v>
      </c>
      <c r="I21" s="508"/>
    </row>
    <row r="22" spans="1:9" x14ac:dyDescent="0.2">
      <c r="A22" s="512" t="s">
        <v>9</v>
      </c>
      <c r="B22" s="196">
        <f t="shared" si="3"/>
        <v>57</v>
      </c>
      <c r="C22" s="196">
        <f t="shared" ref="C22:H22" si="8">SUM(C23:C36)</f>
        <v>3</v>
      </c>
      <c r="D22" s="196">
        <f t="shared" si="8"/>
        <v>20</v>
      </c>
      <c r="E22" s="196">
        <f t="shared" si="8"/>
        <v>0</v>
      </c>
      <c r="F22" s="196">
        <f t="shared" si="8"/>
        <v>3</v>
      </c>
      <c r="G22" s="196">
        <f t="shared" si="8"/>
        <v>19</v>
      </c>
      <c r="H22" s="196">
        <f t="shared" si="8"/>
        <v>12</v>
      </c>
      <c r="I22" s="508"/>
    </row>
    <row r="23" spans="1:9" x14ac:dyDescent="0.2">
      <c r="A23" s="493" t="s">
        <v>879</v>
      </c>
      <c r="B23" s="196">
        <f t="shared" si="3"/>
        <v>12</v>
      </c>
      <c r="C23" s="198">
        <v>1</v>
      </c>
      <c r="D23" s="198">
        <v>11</v>
      </c>
      <c r="E23" s="198">
        <v>0</v>
      </c>
      <c r="F23" s="198">
        <v>0</v>
      </c>
      <c r="G23" s="198">
        <v>0</v>
      </c>
      <c r="H23" s="198">
        <v>0</v>
      </c>
      <c r="I23" s="508"/>
    </row>
    <row r="24" spans="1:9" x14ac:dyDescent="0.2">
      <c r="A24" s="493" t="s">
        <v>880</v>
      </c>
      <c r="B24" s="196">
        <f t="shared" si="3"/>
        <v>1</v>
      </c>
      <c r="C24" s="198">
        <v>0</v>
      </c>
      <c r="D24" s="198">
        <v>1</v>
      </c>
      <c r="E24" s="198">
        <v>0</v>
      </c>
      <c r="F24" s="198">
        <v>0</v>
      </c>
      <c r="G24" s="198">
        <v>0</v>
      </c>
      <c r="H24" s="198">
        <v>0</v>
      </c>
      <c r="I24" s="508"/>
    </row>
    <row r="25" spans="1:9" x14ac:dyDescent="0.2">
      <c r="A25" s="493" t="s">
        <v>881</v>
      </c>
      <c r="B25" s="196">
        <f t="shared" si="3"/>
        <v>1</v>
      </c>
      <c r="C25" s="198">
        <v>0</v>
      </c>
      <c r="D25" s="198">
        <v>0</v>
      </c>
      <c r="E25" s="198">
        <v>0</v>
      </c>
      <c r="F25" s="198">
        <v>0</v>
      </c>
      <c r="G25" s="198">
        <v>1</v>
      </c>
      <c r="H25" s="198">
        <v>0</v>
      </c>
      <c r="I25" s="508"/>
    </row>
    <row r="26" spans="1:9" x14ac:dyDescent="0.2">
      <c r="A26" s="493" t="s">
        <v>882</v>
      </c>
      <c r="B26" s="196">
        <f t="shared" si="3"/>
        <v>4</v>
      </c>
      <c r="C26" s="198">
        <v>0</v>
      </c>
      <c r="D26" s="198">
        <v>0</v>
      </c>
      <c r="E26" s="198">
        <v>0</v>
      </c>
      <c r="F26" s="198">
        <v>0</v>
      </c>
      <c r="G26" s="198">
        <v>4</v>
      </c>
      <c r="H26" s="198">
        <v>0</v>
      </c>
      <c r="I26" s="508"/>
    </row>
    <row r="27" spans="1:9" x14ac:dyDescent="0.2">
      <c r="A27" s="493" t="s">
        <v>883</v>
      </c>
      <c r="B27" s="196">
        <f t="shared" si="3"/>
        <v>2</v>
      </c>
      <c r="C27" s="198">
        <v>0</v>
      </c>
      <c r="D27" s="198">
        <v>0</v>
      </c>
      <c r="E27" s="198">
        <v>0</v>
      </c>
      <c r="F27" s="198">
        <v>0</v>
      </c>
      <c r="G27" s="198">
        <v>1</v>
      </c>
      <c r="H27" s="198">
        <v>1</v>
      </c>
      <c r="I27" s="508"/>
    </row>
    <row r="28" spans="1:9" x14ac:dyDescent="0.2">
      <c r="A28" s="493" t="s">
        <v>884</v>
      </c>
      <c r="B28" s="196">
        <f t="shared" si="3"/>
        <v>2</v>
      </c>
      <c r="C28" s="198">
        <v>0</v>
      </c>
      <c r="D28" s="198">
        <v>1</v>
      </c>
      <c r="E28" s="198">
        <v>0</v>
      </c>
      <c r="F28" s="198">
        <v>0</v>
      </c>
      <c r="G28" s="198">
        <v>0</v>
      </c>
      <c r="H28" s="198">
        <v>1</v>
      </c>
      <c r="I28" s="508"/>
    </row>
    <row r="29" spans="1:9" x14ac:dyDescent="0.2">
      <c r="A29" s="493" t="s">
        <v>9</v>
      </c>
      <c r="B29" s="196">
        <f t="shared" si="3"/>
        <v>1</v>
      </c>
      <c r="C29" s="198">
        <v>0</v>
      </c>
      <c r="D29" s="198">
        <v>0</v>
      </c>
      <c r="E29" s="198">
        <v>0</v>
      </c>
      <c r="F29" s="198">
        <v>0</v>
      </c>
      <c r="G29" s="198">
        <v>1</v>
      </c>
      <c r="H29" s="198">
        <v>0</v>
      </c>
      <c r="I29" s="508"/>
    </row>
    <row r="30" spans="1:9" x14ac:dyDescent="0.2">
      <c r="A30" s="493" t="s">
        <v>885</v>
      </c>
      <c r="B30" s="196">
        <f t="shared" si="3"/>
        <v>1</v>
      </c>
      <c r="C30" s="198">
        <v>0</v>
      </c>
      <c r="D30" s="198">
        <v>1</v>
      </c>
      <c r="E30" s="198">
        <v>0</v>
      </c>
      <c r="F30" s="198">
        <v>0</v>
      </c>
      <c r="G30" s="198">
        <v>0</v>
      </c>
      <c r="H30" s="198">
        <v>0</v>
      </c>
      <c r="I30" s="508"/>
    </row>
    <row r="31" spans="1:9" x14ac:dyDescent="0.2">
      <c r="A31" s="493" t="s">
        <v>886</v>
      </c>
      <c r="B31" s="196">
        <f t="shared" si="3"/>
        <v>1</v>
      </c>
      <c r="C31" s="198">
        <v>0</v>
      </c>
      <c r="D31" s="198">
        <v>0</v>
      </c>
      <c r="E31" s="198">
        <v>0</v>
      </c>
      <c r="F31" s="198">
        <v>0</v>
      </c>
      <c r="G31" s="198">
        <v>1</v>
      </c>
      <c r="H31" s="198">
        <v>0</v>
      </c>
      <c r="I31" s="508"/>
    </row>
    <row r="32" spans="1:9" x14ac:dyDescent="0.2">
      <c r="A32" s="493" t="s">
        <v>887</v>
      </c>
      <c r="B32" s="196">
        <f t="shared" si="3"/>
        <v>3</v>
      </c>
      <c r="C32" s="198">
        <v>0</v>
      </c>
      <c r="D32" s="198">
        <v>1</v>
      </c>
      <c r="E32" s="198">
        <v>0</v>
      </c>
      <c r="F32" s="198">
        <v>0</v>
      </c>
      <c r="G32" s="198">
        <v>2</v>
      </c>
      <c r="H32" s="198">
        <v>0</v>
      </c>
      <c r="I32" s="508"/>
    </row>
    <row r="33" spans="1:9" x14ac:dyDescent="0.2">
      <c r="A33" s="493" t="s">
        <v>888</v>
      </c>
      <c r="B33" s="196">
        <f t="shared" si="3"/>
        <v>10</v>
      </c>
      <c r="C33" s="198">
        <v>0</v>
      </c>
      <c r="D33" s="198">
        <v>0</v>
      </c>
      <c r="E33" s="198">
        <v>0</v>
      </c>
      <c r="F33" s="198">
        <v>0</v>
      </c>
      <c r="G33" s="198">
        <v>0</v>
      </c>
      <c r="H33" s="198">
        <v>10</v>
      </c>
      <c r="I33" s="508"/>
    </row>
    <row r="34" spans="1:9" x14ac:dyDescent="0.2">
      <c r="A34" s="493" t="s">
        <v>889</v>
      </c>
      <c r="B34" s="196">
        <f t="shared" si="3"/>
        <v>1</v>
      </c>
      <c r="C34" s="198">
        <v>0</v>
      </c>
      <c r="D34" s="198">
        <v>0</v>
      </c>
      <c r="E34" s="198">
        <v>0</v>
      </c>
      <c r="F34" s="198">
        <v>0</v>
      </c>
      <c r="G34" s="198">
        <v>1</v>
      </c>
      <c r="H34" s="198">
        <v>0</v>
      </c>
      <c r="I34" s="508"/>
    </row>
    <row r="35" spans="1:9" x14ac:dyDescent="0.2">
      <c r="A35" s="493" t="s">
        <v>890</v>
      </c>
      <c r="B35" s="196">
        <f t="shared" si="3"/>
        <v>1</v>
      </c>
      <c r="C35" s="198">
        <v>0</v>
      </c>
      <c r="D35" s="198">
        <v>0</v>
      </c>
      <c r="E35" s="198">
        <v>0</v>
      </c>
      <c r="F35" s="198">
        <v>0</v>
      </c>
      <c r="G35" s="198">
        <v>1</v>
      </c>
      <c r="H35" s="198">
        <v>0</v>
      </c>
      <c r="I35" s="508"/>
    </row>
    <row r="36" spans="1:9" x14ac:dyDescent="0.2">
      <c r="A36" s="493" t="s">
        <v>874</v>
      </c>
      <c r="B36" s="196">
        <f t="shared" si="3"/>
        <v>17</v>
      </c>
      <c r="C36" s="198">
        <v>2</v>
      </c>
      <c r="D36" s="198">
        <v>5</v>
      </c>
      <c r="E36" s="198">
        <v>0</v>
      </c>
      <c r="F36" s="198">
        <v>3</v>
      </c>
      <c r="G36" s="198">
        <v>7</v>
      </c>
      <c r="H36" s="198">
        <v>0</v>
      </c>
      <c r="I36" s="508"/>
    </row>
    <row r="37" spans="1:9" x14ac:dyDescent="0.2">
      <c r="A37" s="512" t="s">
        <v>10</v>
      </c>
      <c r="B37" s="196">
        <f t="shared" si="3"/>
        <v>121</v>
      </c>
      <c r="C37" s="196">
        <f t="shared" ref="C37:H37" si="9">SUM(C38:C68)</f>
        <v>4</v>
      </c>
      <c r="D37" s="196">
        <f t="shared" si="9"/>
        <v>6</v>
      </c>
      <c r="E37" s="196">
        <f t="shared" si="9"/>
        <v>0</v>
      </c>
      <c r="F37" s="196">
        <f t="shared" si="9"/>
        <v>0</v>
      </c>
      <c r="G37" s="196">
        <f t="shared" si="9"/>
        <v>91</v>
      </c>
      <c r="H37" s="196">
        <f t="shared" si="9"/>
        <v>20</v>
      </c>
      <c r="I37" s="508"/>
    </row>
    <row r="38" spans="1:9" x14ac:dyDescent="0.2">
      <c r="A38" s="493" t="s">
        <v>891</v>
      </c>
      <c r="B38" s="196">
        <f t="shared" si="3"/>
        <v>1</v>
      </c>
      <c r="C38" s="198">
        <v>0</v>
      </c>
      <c r="D38" s="198">
        <v>0</v>
      </c>
      <c r="E38" s="198">
        <v>0</v>
      </c>
      <c r="F38" s="198">
        <v>0</v>
      </c>
      <c r="G38" s="198">
        <v>1</v>
      </c>
      <c r="H38" s="198">
        <v>0</v>
      </c>
      <c r="I38" s="508"/>
    </row>
    <row r="39" spans="1:9" x14ac:dyDescent="0.2">
      <c r="A39" s="493" t="s">
        <v>885</v>
      </c>
      <c r="B39" s="196">
        <f t="shared" si="3"/>
        <v>1</v>
      </c>
      <c r="C39" s="198">
        <v>0</v>
      </c>
      <c r="D39" s="198">
        <v>0</v>
      </c>
      <c r="E39" s="198">
        <v>0</v>
      </c>
      <c r="F39" s="198">
        <v>0</v>
      </c>
      <c r="G39" s="198">
        <v>1</v>
      </c>
      <c r="H39" s="198">
        <v>0</v>
      </c>
      <c r="I39" s="508"/>
    </row>
    <row r="40" spans="1:9" x14ac:dyDescent="0.2">
      <c r="A40" s="493" t="s">
        <v>892</v>
      </c>
      <c r="B40" s="196">
        <f t="shared" si="3"/>
        <v>1</v>
      </c>
      <c r="C40" s="198">
        <v>0</v>
      </c>
      <c r="D40" s="198">
        <v>0</v>
      </c>
      <c r="E40" s="198">
        <v>0</v>
      </c>
      <c r="F40" s="198">
        <v>0</v>
      </c>
      <c r="G40" s="198">
        <v>0</v>
      </c>
      <c r="H40" s="198">
        <v>1</v>
      </c>
      <c r="I40" s="508"/>
    </row>
    <row r="41" spans="1:9" x14ac:dyDescent="0.2">
      <c r="A41" s="493" t="s">
        <v>888</v>
      </c>
      <c r="B41" s="196">
        <f t="shared" si="3"/>
        <v>1</v>
      </c>
      <c r="C41" s="198">
        <v>0</v>
      </c>
      <c r="D41" s="198">
        <v>0</v>
      </c>
      <c r="E41" s="198">
        <v>0</v>
      </c>
      <c r="F41" s="198">
        <v>0</v>
      </c>
      <c r="G41" s="198">
        <v>0</v>
      </c>
      <c r="H41" s="198">
        <v>1</v>
      </c>
      <c r="I41" s="508"/>
    </row>
    <row r="42" spans="1:9" x14ac:dyDescent="0.2">
      <c r="A42" s="493" t="s">
        <v>893</v>
      </c>
      <c r="B42" s="196">
        <f t="shared" si="3"/>
        <v>2</v>
      </c>
      <c r="C42" s="198">
        <v>0</v>
      </c>
      <c r="D42" s="198">
        <v>0</v>
      </c>
      <c r="E42" s="198">
        <v>0</v>
      </c>
      <c r="F42" s="198">
        <v>0</v>
      </c>
      <c r="G42" s="198">
        <v>0</v>
      </c>
      <c r="H42" s="198">
        <v>2</v>
      </c>
      <c r="I42" s="508"/>
    </row>
    <row r="43" spans="1:9" x14ac:dyDescent="0.2">
      <c r="A43" s="493" t="s">
        <v>894</v>
      </c>
      <c r="B43" s="196">
        <f t="shared" si="3"/>
        <v>3</v>
      </c>
      <c r="C43" s="198">
        <v>0</v>
      </c>
      <c r="D43" s="198">
        <v>0</v>
      </c>
      <c r="E43" s="198">
        <v>0</v>
      </c>
      <c r="F43" s="198">
        <v>0</v>
      </c>
      <c r="G43" s="198">
        <v>0</v>
      </c>
      <c r="H43" s="198">
        <v>3</v>
      </c>
      <c r="I43" s="508"/>
    </row>
    <row r="44" spans="1:9" x14ac:dyDescent="0.2">
      <c r="A44" s="493" t="s">
        <v>895</v>
      </c>
      <c r="B44" s="196">
        <f t="shared" si="3"/>
        <v>1</v>
      </c>
      <c r="C44" s="198">
        <v>0</v>
      </c>
      <c r="D44" s="198">
        <v>0</v>
      </c>
      <c r="E44" s="198">
        <v>0</v>
      </c>
      <c r="F44" s="198">
        <v>0</v>
      </c>
      <c r="G44" s="198">
        <v>1</v>
      </c>
      <c r="H44" s="198">
        <v>0</v>
      </c>
      <c r="I44" s="508"/>
    </row>
    <row r="45" spans="1:9" x14ac:dyDescent="0.2">
      <c r="A45" s="493" t="s">
        <v>896</v>
      </c>
      <c r="B45" s="196">
        <f t="shared" si="3"/>
        <v>1</v>
      </c>
      <c r="C45" s="198">
        <v>0</v>
      </c>
      <c r="D45" s="198">
        <v>0</v>
      </c>
      <c r="E45" s="198">
        <v>0</v>
      </c>
      <c r="F45" s="198">
        <v>0</v>
      </c>
      <c r="G45" s="198">
        <v>0</v>
      </c>
      <c r="H45" s="198">
        <v>1</v>
      </c>
      <c r="I45" s="508"/>
    </row>
    <row r="46" spans="1:9" x14ac:dyDescent="0.2">
      <c r="A46" s="493" t="s">
        <v>890</v>
      </c>
      <c r="B46" s="196">
        <f t="shared" si="3"/>
        <v>35</v>
      </c>
      <c r="C46" s="198">
        <v>0</v>
      </c>
      <c r="D46" s="198">
        <v>0</v>
      </c>
      <c r="E46" s="198">
        <v>0</v>
      </c>
      <c r="F46" s="198">
        <v>0</v>
      </c>
      <c r="G46" s="198">
        <v>30</v>
      </c>
      <c r="H46" s="198">
        <v>5</v>
      </c>
      <c r="I46" s="508"/>
    </row>
    <row r="47" spans="1:9" x14ac:dyDescent="0.2">
      <c r="A47" s="493" t="s">
        <v>897</v>
      </c>
      <c r="B47" s="196">
        <f t="shared" si="3"/>
        <v>1</v>
      </c>
      <c r="C47" s="198">
        <v>0</v>
      </c>
      <c r="D47" s="198">
        <v>0</v>
      </c>
      <c r="E47" s="198">
        <v>0</v>
      </c>
      <c r="F47" s="198">
        <v>0</v>
      </c>
      <c r="G47" s="198">
        <v>0</v>
      </c>
      <c r="H47" s="198">
        <v>1</v>
      </c>
      <c r="I47" s="508"/>
    </row>
    <row r="48" spans="1:9" x14ac:dyDescent="0.2">
      <c r="A48" s="493" t="s">
        <v>898</v>
      </c>
      <c r="B48" s="196">
        <f t="shared" si="3"/>
        <v>3</v>
      </c>
      <c r="C48" s="198">
        <v>0</v>
      </c>
      <c r="D48" s="198">
        <v>0</v>
      </c>
      <c r="E48" s="198">
        <v>0</v>
      </c>
      <c r="F48" s="198">
        <v>0</v>
      </c>
      <c r="G48" s="198">
        <v>3</v>
      </c>
      <c r="H48" s="198">
        <v>0</v>
      </c>
      <c r="I48" s="508"/>
    </row>
    <row r="49" spans="1:9" x14ac:dyDescent="0.2">
      <c r="A49" s="493" t="s">
        <v>899</v>
      </c>
      <c r="B49" s="196">
        <f t="shared" si="3"/>
        <v>1</v>
      </c>
      <c r="C49" s="198">
        <v>0</v>
      </c>
      <c r="D49" s="198">
        <v>0</v>
      </c>
      <c r="E49" s="198">
        <v>0</v>
      </c>
      <c r="F49" s="198">
        <v>0</v>
      </c>
      <c r="G49" s="198">
        <v>1</v>
      </c>
      <c r="H49" s="198">
        <v>0</v>
      </c>
      <c r="I49" s="508"/>
    </row>
    <row r="50" spans="1:9" x14ac:dyDescent="0.2">
      <c r="A50" s="493" t="s">
        <v>900</v>
      </c>
      <c r="B50" s="196">
        <f t="shared" si="3"/>
        <v>12</v>
      </c>
      <c r="C50" s="198">
        <v>1</v>
      </c>
      <c r="D50" s="198">
        <v>0</v>
      </c>
      <c r="E50" s="198">
        <v>0</v>
      </c>
      <c r="F50" s="198">
        <v>0</v>
      </c>
      <c r="G50" s="198">
        <v>10</v>
      </c>
      <c r="H50" s="198">
        <v>1</v>
      </c>
      <c r="I50" s="508"/>
    </row>
    <row r="51" spans="1:9" x14ac:dyDescent="0.2">
      <c r="A51" s="493" t="s">
        <v>901</v>
      </c>
      <c r="B51" s="196">
        <f t="shared" si="3"/>
        <v>3</v>
      </c>
      <c r="C51" s="198">
        <v>0</v>
      </c>
      <c r="D51" s="198">
        <v>0</v>
      </c>
      <c r="E51" s="198">
        <v>0</v>
      </c>
      <c r="F51" s="198">
        <v>0</v>
      </c>
      <c r="G51" s="198">
        <v>2</v>
      </c>
      <c r="H51" s="198">
        <v>1</v>
      </c>
      <c r="I51" s="508"/>
    </row>
    <row r="52" spans="1:9" x14ac:dyDescent="0.2">
      <c r="A52" s="493" t="s">
        <v>902</v>
      </c>
      <c r="B52" s="196">
        <f t="shared" si="3"/>
        <v>3</v>
      </c>
      <c r="C52" s="198">
        <v>0</v>
      </c>
      <c r="D52" s="198">
        <v>0</v>
      </c>
      <c r="E52" s="198">
        <v>0</v>
      </c>
      <c r="F52" s="198">
        <v>0</v>
      </c>
      <c r="G52" s="198">
        <v>3</v>
      </c>
      <c r="H52" s="198">
        <v>0</v>
      </c>
      <c r="I52" s="508"/>
    </row>
    <row r="53" spans="1:9" x14ac:dyDescent="0.2">
      <c r="A53" s="493" t="s">
        <v>903</v>
      </c>
      <c r="B53" s="196">
        <f t="shared" si="3"/>
        <v>3</v>
      </c>
      <c r="C53" s="198">
        <v>0</v>
      </c>
      <c r="D53" s="198">
        <v>1</v>
      </c>
      <c r="E53" s="198">
        <v>0</v>
      </c>
      <c r="F53" s="198">
        <v>0</v>
      </c>
      <c r="G53" s="198">
        <v>1</v>
      </c>
      <c r="H53" s="198">
        <v>1</v>
      </c>
      <c r="I53" s="508"/>
    </row>
    <row r="54" spans="1:9" x14ac:dyDescent="0.2">
      <c r="A54" s="493" t="s">
        <v>904</v>
      </c>
      <c r="B54" s="196">
        <f t="shared" si="3"/>
        <v>3</v>
      </c>
      <c r="C54" s="198">
        <v>1</v>
      </c>
      <c r="D54" s="198">
        <v>0</v>
      </c>
      <c r="E54" s="198">
        <v>0</v>
      </c>
      <c r="F54" s="198">
        <v>0</v>
      </c>
      <c r="G54" s="198">
        <v>2</v>
      </c>
      <c r="H54" s="198">
        <v>0</v>
      </c>
      <c r="I54" s="508"/>
    </row>
    <row r="55" spans="1:9" x14ac:dyDescent="0.2">
      <c r="A55" s="493" t="s">
        <v>905</v>
      </c>
      <c r="B55" s="196">
        <f t="shared" si="3"/>
        <v>1</v>
      </c>
      <c r="C55" s="198">
        <v>1</v>
      </c>
      <c r="D55" s="198">
        <v>0</v>
      </c>
      <c r="E55" s="198">
        <v>0</v>
      </c>
      <c r="F55" s="198">
        <v>0</v>
      </c>
      <c r="G55" s="198">
        <v>0</v>
      </c>
      <c r="H55" s="198">
        <v>0</v>
      </c>
      <c r="I55" s="508"/>
    </row>
    <row r="56" spans="1:9" x14ac:dyDescent="0.2">
      <c r="A56" s="493" t="s">
        <v>906</v>
      </c>
      <c r="B56" s="196">
        <f t="shared" si="3"/>
        <v>3</v>
      </c>
      <c r="C56" s="198">
        <v>0</v>
      </c>
      <c r="D56" s="198">
        <v>0</v>
      </c>
      <c r="E56" s="198">
        <v>0</v>
      </c>
      <c r="F56" s="198">
        <v>0</v>
      </c>
      <c r="G56" s="198">
        <v>2</v>
      </c>
      <c r="H56" s="198">
        <v>1</v>
      </c>
      <c r="I56" s="508"/>
    </row>
    <row r="57" spans="1:9" x14ac:dyDescent="0.2">
      <c r="A57" s="493" t="s">
        <v>907</v>
      </c>
      <c r="B57" s="196">
        <f t="shared" si="3"/>
        <v>1</v>
      </c>
      <c r="C57" s="198">
        <v>0</v>
      </c>
      <c r="D57" s="198">
        <v>0</v>
      </c>
      <c r="E57" s="198">
        <v>0</v>
      </c>
      <c r="F57" s="198">
        <v>0</v>
      </c>
      <c r="G57" s="198">
        <v>1</v>
      </c>
      <c r="H57" s="198">
        <v>0</v>
      </c>
      <c r="I57" s="508"/>
    </row>
    <row r="58" spans="1:9" x14ac:dyDescent="0.2">
      <c r="A58" s="493" t="s">
        <v>908</v>
      </c>
      <c r="B58" s="196">
        <f t="shared" si="3"/>
        <v>1</v>
      </c>
      <c r="C58" s="198">
        <v>0</v>
      </c>
      <c r="D58" s="198">
        <v>0</v>
      </c>
      <c r="E58" s="198">
        <v>0</v>
      </c>
      <c r="F58" s="198">
        <v>0</v>
      </c>
      <c r="G58" s="198">
        <v>1</v>
      </c>
      <c r="H58" s="198">
        <v>0</v>
      </c>
      <c r="I58" s="508"/>
    </row>
    <row r="59" spans="1:9" x14ac:dyDescent="0.2">
      <c r="A59" s="493" t="s">
        <v>909</v>
      </c>
      <c r="B59" s="196">
        <f t="shared" si="3"/>
        <v>1</v>
      </c>
      <c r="C59" s="198">
        <v>0</v>
      </c>
      <c r="D59" s="198">
        <v>0</v>
      </c>
      <c r="E59" s="198">
        <v>0</v>
      </c>
      <c r="F59" s="198">
        <v>0</v>
      </c>
      <c r="G59" s="198">
        <v>1</v>
      </c>
      <c r="H59" s="198">
        <v>0</v>
      </c>
      <c r="I59" s="508"/>
    </row>
    <row r="60" spans="1:9" x14ac:dyDescent="0.2">
      <c r="A60" s="493" t="s">
        <v>910</v>
      </c>
      <c r="B60" s="196">
        <f t="shared" si="3"/>
        <v>1</v>
      </c>
      <c r="C60" s="198">
        <v>0</v>
      </c>
      <c r="D60" s="198">
        <v>0</v>
      </c>
      <c r="E60" s="198">
        <v>0</v>
      </c>
      <c r="F60" s="198">
        <v>0</v>
      </c>
      <c r="G60" s="198">
        <v>1</v>
      </c>
      <c r="H60" s="198">
        <v>0</v>
      </c>
      <c r="I60" s="508"/>
    </row>
    <row r="61" spans="1:9" x14ac:dyDescent="0.2">
      <c r="A61" s="493" t="s">
        <v>911</v>
      </c>
      <c r="B61" s="196">
        <f t="shared" si="3"/>
        <v>1</v>
      </c>
      <c r="C61" s="198">
        <v>0</v>
      </c>
      <c r="D61" s="198">
        <v>0</v>
      </c>
      <c r="E61" s="198">
        <v>0</v>
      </c>
      <c r="F61" s="198">
        <v>0</v>
      </c>
      <c r="G61" s="198">
        <v>1</v>
      </c>
      <c r="H61" s="198">
        <v>0</v>
      </c>
      <c r="I61" s="508"/>
    </row>
    <row r="62" spans="1:9" x14ac:dyDescent="0.2">
      <c r="A62" s="493" t="s">
        <v>873</v>
      </c>
      <c r="B62" s="196">
        <f t="shared" si="3"/>
        <v>4</v>
      </c>
      <c r="C62" s="198">
        <v>0</v>
      </c>
      <c r="D62" s="198">
        <v>1</v>
      </c>
      <c r="E62" s="198">
        <v>0</v>
      </c>
      <c r="F62" s="198">
        <v>0</v>
      </c>
      <c r="G62" s="198">
        <v>3</v>
      </c>
      <c r="H62" s="198">
        <v>0</v>
      </c>
      <c r="I62" s="508"/>
    </row>
    <row r="63" spans="1:9" x14ac:dyDescent="0.2">
      <c r="A63" s="493" t="s">
        <v>912</v>
      </c>
      <c r="B63" s="196">
        <f t="shared" si="3"/>
        <v>1</v>
      </c>
      <c r="C63" s="198">
        <v>0</v>
      </c>
      <c r="D63" s="198">
        <v>0</v>
      </c>
      <c r="E63" s="198">
        <v>0</v>
      </c>
      <c r="F63" s="198">
        <v>0</v>
      </c>
      <c r="G63" s="198">
        <v>1</v>
      </c>
      <c r="H63" s="198">
        <v>0</v>
      </c>
      <c r="I63" s="508"/>
    </row>
    <row r="64" spans="1:9" x14ac:dyDescent="0.2">
      <c r="A64" s="493" t="s">
        <v>913</v>
      </c>
      <c r="B64" s="196">
        <f t="shared" si="3"/>
        <v>1</v>
      </c>
      <c r="C64" s="198">
        <v>0</v>
      </c>
      <c r="D64" s="198">
        <v>0</v>
      </c>
      <c r="E64" s="198">
        <v>0</v>
      </c>
      <c r="F64" s="198">
        <v>0</v>
      </c>
      <c r="G64" s="198">
        <v>1</v>
      </c>
      <c r="H64" s="198">
        <v>0</v>
      </c>
      <c r="I64" s="508"/>
    </row>
    <row r="65" spans="1:9" x14ac:dyDescent="0.2">
      <c r="A65" s="493" t="s">
        <v>914</v>
      </c>
      <c r="B65" s="196">
        <f t="shared" si="3"/>
        <v>8</v>
      </c>
      <c r="C65" s="198">
        <v>0</v>
      </c>
      <c r="D65" s="198">
        <v>2</v>
      </c>
      <c r="E65" s="198">
        <v>0</v>
      </c>
      <c r="F65" s="198">
        <v>0</v>
      </c>
      <c r="G65" s="198">
        <v>4</v>
      </c>
      <c r="H65" s="198">
        <v>2</v>
      </c>
      <c r="I65" s="508"/>
    </row>
    <row r="66" spans="1:9" x14ac:dyDescent="0.2">
      <c r="A66" s="493" t="s">
        <v>915</v>
      </c>
      <c r="B66" s="196">
        <f t="shared" si="3"/>
        <v>1</v>
      </c>
      <c r="C66" s="198">
        <v>1</v>
      </c>
      <c r="D66" s="198">
        <v>0</v>
      </c>
      <c r="E66" s="198">
        <v>0</v>
      </c>
      <c r="F66" s="198">
        <v>0</v>
      </c>
      <c r="G66" s="198">
        <v>0</v>
      </c>
      <c r="H66" s="198">
        <v>0</v>
      </c>
      <c r="I66" s="508"/>
    </row>
    <row r="67" spans="1:9" x14ac:dyDescent="0.2">
      <c r="A67" s="493" t="s">
        <v>916</v>
      </c>
      <c r="B67" s="196">
        <f t="shared" si="3"/>
        <v>3</v>
      </c>
      <c r="C67" s="198">
        <v>0</v>
      </c>
      <c r="D67" s="198">
        <v>0</v>
      </c>
      <c r="E67" s="198">
        <v>0</v>
      </c>
      <c r="F67" s="198">
        <v>0</v>
      </c>
      <c r="G67" s="198">
        <v>3</v>
      </c>
      <c r="H67" s="198">
        <v>0</v>
      </c>
      <c r="I67" s="508"/>
    </row>
    <row r="68" spans="1:9" x14ac:dyDescent="0.2">
      <c r="A68" s="493" t="s">
        <v>874</v>
      </c>
      <c r="B68" s="196">
        <f t="shared" si="3"/>
        <v>19</v>
      </c>
      <c r="C68" s="198">
        <v>0</v>
      </c>
      <c r="D68" s="198">
        <v>2</v>
      </c>
      <c r="E68" s="198">
        <v>0</v>
      </c>
      <c r="F68" s="198">
        <v>0</v>
      </c>
      <c r="G68" s="198">
        <v>17</v>
      </c>
      <c r="H68" s="198">
        <v>0</v>
      </c>
      <c r="I68" s="508"/>
    </row>
    <row r="69" spans="1:9" x14ac:dyDescent="0.2">
      <c r="A69" s="512" t="s">
        <v>134</v>
      </c>
      <c r="B69" s="196">
        <f t="shared" si="3"/>
        <v>7</v>
      </c>
      <c r="C69" s="196">
        <f t="shared" ref="C69:H69" si="10">SUM(C70:C72)</f>
        <v>1</v>
      </c>
      <c r="D69" s="196">
        <f t="shared" si="10"/>
        <v>0</v>
      </c>
      <c r="E69" s="196">
        <f t="shared" si="10"/>
        <v>0</v>
      </c>
      <c r="F69" s="196">
        <f t="shared" si="10"/>
        <v>0</v>
      </c>
      <c r="G69" s="196">
        <f t="shared" si="10"/>
        <v>6</v>
      </c>
      <c r="H69" s="196">
        <f t="shared" si="10"/>
        <v>0</v>
      </c>
      <c r="I69" s="508"/>
    </row>
    <row r="70" spans="1:9" x14ac:dyDescent="0.2">
      <c r="A70" s="493" t="s">
        <v>917</v>
      </c>
      <c r="B70" s="196">
        <f t="shared" si="3"/>
        <v>3</v>
      </c>
      <c r="C70" s="198">
        <v>1</v>
      </c>
      <c r="D70" s="198">
        <v>0</v>
      </c>
      <c r="E70" s="198">
        <v>0</v>
      </c>
      <c r="F70" s="198">
        <v>0</v>
      </c>
      <c r="G70" s="198">
        <v>2</v>
      </c>
      <c r="H70" s="198">
        <v>0</v>
      </c>
      <c r="I70" s="508"/>
    </row>
    <row r="71" spans="1:9" x14ac:dyDescent="0.2">
      <c r="A71" s="493" t="s">
        <v>918</v>
      </c>
      <c r="B71" s="196">
        <f t="shared" si="3"/>
        <v>3</v>
      </c>
      <c r="C71" s="198">
        <v>0</v>
      </c>
      <c r="D71" s="198">
        <v>0</v>
      </c>
      <c r="E71" s="198">
        <v>0</v>
      </c>
      <c r="F71" s="198">
        <v>0</v>
      </c>
      <c r="G71" s="198">
        <v>3</v>
      </c>
      <c r="H71" s="198">
        <v>0</v>
      </c>
      <c r="I71" s="508"/>
    </row>
    <row r="72" spans="1:9" x14ac:dyDescent="0.2">
      <c r="A72" s="493" t="s">
        <v>894</v>
      </c>
      <c r="B72" s="196">
        <f t="shared" ref="B72:B103" si="11">SUM(C72:H72)</f>
        <v>1</v>
      </c>
      <c r="C72" s="198">
        <v>0</v>
      </c>
      <c r="D72" s="198">
        <v>0</v>
      </c>
      <c r="E72" s="198">
        <v>0</v>
      </c>
      <c r="F72" s="198">
        <v>0</v>
      </c>
      <c r="G72" s="198">
        <v>1</v>
      </c>
      <c r="H72" s="198">
        <v>0</v>
      </c>
      <c r="I72" s="508"/>
    </row>
    <row r="73" spans="1:9" x14ac:dyDescent="0.2">
      <c r="A73" s="512" t="s">
        <v>12</v>
      </c>
      <c r="B73" s="196">
        <f t="shared" si="11"/>
        <v>3</v>
      </c>
      <c r="C73" s="196">
        <f t="shared" ref="C73:H73" si="12">SUM(C74:C75)</f>
        <v>0</v>
      </c>
      <c r="D73" s="196">
        <f t="shared" si="12"/>
        <v>0</v>
      </c>
      <c r="E73" s="196">
        <f t="shared" si="12"/>
        <v>0</v>
      </c>
      <c r="F73" s="196">
        <f t="shared" si="12"/>
        <v>0</v>
      </c>
      <c r="G73" s="196">
        <f t="shared" si="12"/>
        <v>3</v>
      </c>
      <c r="H73" s="196">
        <f t="shared" si="12"/>
        <v>0</v>
      </c>
      <c r="I73" s="508"/>
    </row>
    <row r="74" spans="1:9" x14ac:dyDescent="0.2">
      <c r="A74" s="493" t="s">
        <v>919</v>
      </c>
      <c r="B74" s="196">
        <f t="shared" si="11"/>
        <v>2</v>
      </c>
      <c r="C74" s="198">
        <v>0</v>
      </c>
      <c r="D74" s="198">
        <v>0</v>
      </c>
      <c r="E74" s="198">
        <v>0</v>
      </c>
      <c r="F74" s="198">
        <v>0</v>
      </c>
      <c r="G74" s="198">
        <v>2</v>
      </c>
      <c r="H74" s="198">
        <v>0</v>
      </c>
      <c r="I74" s="508"/>
    </row>
    <row r="75" spans="1:9" x14ac:dyDescent="0.2">
      <c r="A75" s="493" t="s">
        <v>920</v>
      </c>
      <c r="B75" s="196">
        <f t="shared" si="11"/>
        <v>1</v>
      </c>
      <c r="C75" s="198">
        <v>0</v>
      </c>
      <c r="D75" s="198">
        <v>0</v>
      </c>
      <c r="E75" s="198">
        <v>0</v>
      </c>
      <c r="F75" s="198">
        <v>0</v>
      </c>
      <c r="G75" s="198">
        <v>1</v>
      </c>
      <c r="H75" s="198">
        <v>0</v>
      </c>
      <c r="I75" s="508"/>
    </row>
    <row r="76" spans="1:9" x14ac:dyDescent="0.2">
      <c r="A76" s="512" t="s">
        <v>13</v>
      </c>
      <c r="B76" s="196">
        <f t="shared" si="11"/>
        <v>13</v>
      </c>
      <c r="C76" s="196">
        <f t="shared" ref="C76:H76" si="13">SUM(C77:C85)</f>
        <v>1</v>
      </c>
      <c r="D76" s="196">
        <f t="shared" si="13"/>
        <v>3</v>
      </c>
      <c r="E76" s="196">
        <f t="shared" si="13"/>
        <v>0</v>
      </c>
      <c r="F76" s="196">
        <f t="shared" si="13"/>
        <v>0</v>
      </c>
      <c r="G76" s="196">
        <f t="shared" si="13"/>
        <v>8</v>
      </c>
      <c r="H76" s="196">
        <f t="shared" si="13"/>
        <v>1</v>
      </c>
      <c r="I76" s="508"/>
    </row>
    <row r="77" spans="1:9" x14ac:dyDescent="0.2">
      <c r="A77" s="493" t="s">
        <v>921</v>
      </c>
      <c r="B77" s="196">
        <f t="shared" si="11"/>
        <v>3</v>
      </c>
      <c r="C77" s="198">
        <v>0</v>
      </c>
      <c r="D77" s="198">
        <v>1</v>
      </c>
      <c r="E77" s="198">
        <v>0</v>
      </c>
      <c r="F77" s="198">
        <v>0</v>
      </c>
      <c r="G77" s="198">
        <v>2</v>
      </c>
      <c r="H77" s="198">
        <v>0</v>
      </c>
      <c r="I77" s="508"/>
    </row>
    <row r="78" spans="1:9" x14ac:dyDescent="0.2">
      <c r="A78" s="493" t="s">
        <v>922</v>
      </c>
      <c r="B78" s="196">
        <f t="shared" si="11"/>
        <v>1</v>
      </c>
      <c r="C78" s="198">
        <v>0</v>
      </c>
      <c r="D78" s="198">
        <v>0</v>
      </c>
      <c r="E78" s="198">
        <v>0</v>
      </c>
      <c r="F78" s="198">
        <v>0</v>
      </c>
      <c r="G78" s="198">
        <v>1</v>
      </c>
      <c r="H78" s="198">
        <v>0</v>
      </c>
      <c r="I78" s="508"/>
    </row>
    <row r="79" spans="1:9" x14ac:dyDescent="0.2">
      <c r="A79" s="493" t="s">
        <v>889</v>
      </c>
      <c r="B79" s="196">
        <f t="shared" si="11"/>
        <v>3</v>
      </c>
      <c r="C79" s="198">
        <v>0</v>
      </c>
      <c r="D79" s="198">
        <v>1</v>
      </c>
      <c r="E79" s="198">
        <v>0</v>
      </c>
      <c r="F79" s="198">
        <v>0</v>
      </c>
      <c r="G79" s="198">
        <v>1</v>
      </c>
      <c r="H79" s="198">
        <v>1</v>
      </c>
      <c r="I79" s="508"/>
    </row>
    <row r="80" spans="1:9" x14ac:dyDescent="0.2">
      <c r="A80" s="493" t="s">
        <v>923</v>
      </c>
      <c r="B80" s="196">
        <f t="shared" si="11"/>
        <v>1</v>
      </c>
      <c r="C80" s="198">
        <v>1</v>
      </c>
      <c r="D80" s="198">
        <v>0</v>
      </c>
      <c r="E80" s="198">
        <v>0</v>
      </c>
      <c r="F80" s="198">
        <v>0</v>
      </c>
      <c r="G80" s="198">
        <v>0</v>
      </c>
      <c r="H80" s="198">
        <v>0</v>
      </c>
      <c r="I80" s="508"/>
    </row>
    <row r="81" spans="1:9" x14ac:dyDescent="0.2">
      <c r="A81" s="493" t="s">
        <v>924</v>
      </c>
      <c r="B81" s="196">
        <f t="shared" si="11"/>
        <v>1</v>
      </c>
      <c r="C81" s="198">
        <v>0</v>
      </c>
      <c r="D81" s="198">
        <v>0</v>
      </c>
      <c r="E81" s="198">
        <v>0</v>
      </c>
      <c r="F81" s="198">
        <v>0</v>
      </c>
      <c r="G81" s="198">
        <v>1</v>
      </c>
      <c r="H81" s="198">
        <v>0</v>
      </c>
      <c r="I81" s="508"/>
    </row>
    <row r="82" spans="1:9" x14ac:dyDescent="0.2">
      <c r="A82" s="493" t="s">
        <v>925</v>
      </c>
      <c r="B82" s="196">
        <f t="shared" si="11"/>
        <v>1</v>
      </c>
      <c r="C82" s="198">
        <v>0</v>
      </c>
      <c r="D82" s="198">
        <v>0</v>
      </c>
      <c r="E82" s="198">
        <v>0</v>
      </c>
      <c r="F82" s="198">
        <v>0</v>
      </c>
      <c r="G82" s="198">
        <v>1</v>
      </c>
      <c r="H82" s="198">
        <v>0</v>
      </c>
      <c r="I82" s="508"/>
    </row>
    <row r="83" spans="1:9" x14ac:dyDescent="0.2">
      <c r="A83" s="493" t="s">
        <v>903</v>
      </c>
      <c r="B83" s="196">
        <f t="shared" si="11"/>
        <v>1</v>
      </c>
      <c r="C83" s="198">
        <v>0</v>
      </c>
      <c r="D83" s="198">
        <v>0</v>
      </c>
      <c r="E83" s="198">
        <v>0</v>
      </c>
      <c r="F83" s="198">
        <v>0</v>
      </c>
      <c r="G83" s="198">
        <v>1</v>
      </c>
      <c r="H83" s="198">
        <v>0</v>
      </c>
      <c r="I83" s="508"/>
    </row>
    <row r="84" spans="1:9" x14ac:dyDescent="0.2">
      <c r="A84" s="493" t="s">
        <v>873</v>
      </c>
      <c r="B84" s="196">
        <f t="shared" si="11"/>
        <v>1</v>
      </c>
      <c r="C84" s="198">
        <v>0</v>
      </c>
      <c r="D84" s="198">
        <v>1</v>
      </c>
      <c r="E84" s="198">
        <v>0</v>
      </c>
      <c r="F84" s="198">
        <v>0</v>
      </c>
      <c r="G84" s="198">
        <v>0</v>
      </c>
      <c r="H84" s="198">
        <v>0</v>
      </c>
      <c r="I84" s="508"/>
    </row>
    <row r="85" spans="1:9" x14ac:dyDescent="0.2">
      <c r="A85" s="493" t="s">
        <v>874</v>
      </c>
      <c r="B85" s="196">
        <f t="shared" si="11"/>
        <v>1</v>
      </c>
      <c r="C85" s="198">
        <v>0</v>
      </c>
      <c r="D85" s="198">
        <v>0</v>
      </c>
      <c r="E85" s="198">
        <v>0</v>
      </c>
      <c r="F85" s="198">
        <v>0</v>
      </c>
      <c r="G85" s="198">
        <v>1</v>
      </c>
      <c r="H85" s="198">
        <v>0</v>
      </c>
      <c r="I85" s="508"/>
    </row>
    <row r="86" spans="1:9" x14ac:dyDescent="0.2">
      <c r="A86" s="512" t="s">
        <v>47</v>
      </c>
      <c r="B86" s="196">
        <f t="shared" si="11"/>
        <v>11</v>
      </c>
      <c r="C86" s="196">
        <f t="shared" ref="C86:H86" si="14">SUM(C87:C91)</f>
        <v>0</v>
      </c>
      <c r="D86" s="196">
        <f t="shared" si="14"/>
        <v>1</v>
      </c>
      <c r="E86" s="196">
        <f t="shared" si="14"/>
        <v>1</v>
      </c>
      <c r="F86" s="196">
        <f t="shared" si="14"/>
        <v>0</v>
      </c>
      <c r="G86" s="196">
        <f t="shared" si="14"/>
        <v>9</v>
      </c>
      <c r="H86" s="196">
        <f t="shared" si="14"/>
        <v>0</v>
      </c>
      <c r="I86" s="508"/>
    </row>
    <row r="87" spans="1:9" x14ac:dyDescent="0.2">
      <c r="A87" s="493" t="s">
        <v>926</v>
      </c>
      <c r="B87" s="196">
        <f t="shared" si="11"/>
        <v>1</v>
      </c>
      <c r="C87" s="198">
        <v>0</v>
      </c>
      <c r="D87" s="198">
        <v>0</v>
      </c>
      <c r="E87" s="198">
        <v>0</v>
      </c>
      <c r="F87" s="198">
        <v>0</v>
      </c>
      <c r="G87" s="198">
        <v>1</v>
      </c>
      <c r="H87" s="198">
        <v>0</v>
      </c>
      <c r="I87" s="508"/>
    </row>
    <row r="88" spans="1:9" x14ac:dyDescent="0.2">
      <c r="A88" s="493" t="s">
        <v>895</v>
      </c>
      <c r="B88" s="196">
        <f t="shared" si="11"/>
        <v>1</v>
      </c>
      <c r="C88" s="198">
        <v>0</v>
      </c>
      <c r="D88" s="198">
        <v>0</v>
      </c>
      <c r="E88" s="198">
        <v>0</v>
      </c>
      <c r="F88" s="198">
        <v>0</v>
      </c>
      <c r="G88" s="198">
        <v>1</v>
      </c>
      <c r="H88" s="198">
        <v>0</v>
      </c>
      <c r="I88" s="508"/>
    </row>
    <row r="89" spans="1:9" x14ac:dyDescent="0.2">
      <c r="A89" s="493" t="s">
        <v>927</v>
      </c>
      <c r="B89" s="196">
        <f t="shared" si="11"/>
        <v>4</v>
      </c>
      <c r="C89" s="198">
        <v>0</v>
      </c>
      <c r="D89" s="198">
        <v>0</v>
      </c>
      <c r="E89" s="198">
        <v>0</v>
      </c>
      <c r="F89" s="198">
        <v>0</v>
      </c>
      <c r="G89" s="198">
        <v>4</v>
      </c>
      <c r="H89" s="198">
        <v>0</v>
      </c>
      <c r="I89" s="508"/>
    </row>
    <row r="90" spans="1:9" x14ac:dyDescent="0.2">
      <c r="A90" s="493" t="s">
        <v>903</v>
      </c>
      <c r="B90" s="196">
        <f t="shared" si="11"/>
        <v>1</v>
      </c>
      <c r="C90" s="198">
        <v>0</v>
      </c>
      <c r="D90" s="198">
        <v>0</v>
      </c>
      <c r="E90" s="198">
        <v>1</v>
      </c>
      <c r="F90" s="198">
        <v>0</v>
      </c>
      <c r="G90" s="198">
        <v>0</v>
      </c>
      <c r="H90" s="198">
        <v>0</v>
      </c>
      <c r="I90" s="508"/>
    </row>
    <row r="91" spans="1:9" x14ac:dyDescent="0.2">
      <c r="A91" s="493" t="s">
        <v>874</v>
      </c>
      <c r="B91" s="196">
        <f t="shared" si="11"/>
        <v>4</v>
      </c>
      <c r="C91" s="198">
        <v>0</v>
      </c>
      <c r="D91" s="198">
        <v>1</v>
      </c>
      <c r="E91" s="198">
        <v>0</v>
      </c>
      <c r="F91" s="198">
        <v>0</v>
      </c>
      <c r="G91" s="198">
        <v>3</v>
      </c>
      <c r="H91" s="198">
        <v>0</v>
      </c>
      <c r="I91" s="508"/>
    </row>
    <row r="92" spans="1:9" x14ac:dyDescent="0.2">
      <c r="A92" s="512" t="s">
        <v>135</v>
      </c>
      <c r="B92" s="196">
        <f t="shared" si="11"/>
        <v>6</v>
      </c>
      <c r="C92" s="196">
        <f t="shared" ref="C92:H92" si="15">SUM(C93:C94)</f>
        <v>1</v>
      </c>
      <c r="D92" s="196">
        <f t="shared" si="15"/>
        <v>0</v>
      </c>
      <c r="E92" s="196">
        <f t="shared" si="15"/>
        <v>0</v>
      </c>
      <c r="F92" s="196">
        <f t="shared" si="15"/>
        <v>1</v>
      </c>
      <c r="G92" s="196">
        <f t="shared" si="15"/>
        <v>0</v>
      </c>
      <c r="H92" s="196">
        <f t="shared" si="15"/>
        <v>4</v>
      </c>
      <c r="I92" s="508"/>
    </row>
    <row r="93" spans="1:9" x14ac:dyDescent="0.2">
      <c r="A93" s="493" t="s">
        <v>928</v>
      </c>
      <c r="B93" s="196">
        <f t="shared" si="11"/>
        <v>3</v>
      </c>
      <c r="C93" s="198">
        <v>1</v>
      </c>
      <c r="D93" s="198">
        <v>0</v>
      </c>
      <c r="E93" s="198">
        <v>0</v>
      </c>
      <c r="F93" s="198">
        <v>1</v>
      </c>
      <c r="G93" s="198">
        <v>0</v>
      </c>
      <c r="H93" s="198">
        <v>1</v>
      </c>
      <c r="I93" s="508"/>
    </row>
    <row r="94" spans="1:9" x14ac:dyDescent="0.2">
      <c r="A94" s="493" t="s">
        <v>929</v>
      </c>
      <c r="B94" s="196">
        <f t="shared" si="11"/>
        <v>3</v>
      </c>
      <c r="C94" s="198">
        <v>0</v>
      </c>
      <c r="D94" s="198">
        <v>0</v>
      </c>
      <c r="E94" s="198">
        <v>0</v>
      </c>
      <c r="F94" s="198">
        <v>0</v>
      </c>
      <c r="G94" s="198">
        <v>0</v>
      </c>
      <c r="H94" s="198">
        <v>3</v>
      </c>
      <c r="I94" s="508"/>
    </row>
    <row r="95" spans="1:9" x14ac:dyDescent="0.2">
      <c r="A95" s="512" t="s">
        <v>136</v>
      </c>
      <c r="B95" s="196">
        <f t="shared" si="11"/>
        <v>7</v>
      </c>
      <c r="C95" s="196">
        <f t="shared" ref="C95:H95" si="16">SUM(C96:C97)</f>
        <v>1</v>
      </c>
      <c r="D95" s="196">
        <f t="shared" si="16"/>
        <v>0</v>
      </c>
      <c r="E95" s="196">
        <f t="shared" si="16"/>
        <v>0</v>
      </c>
      <c r="F95" s="196">
        <f t="shared" si="16"/>
        <v>0</v>
      </c>
      <c r="G95" s="196">
        <f t="shared" si="16"/>
        <v>6</v>
      </c>
      <c r="H95" s="196">
        <f t="shared" si="16"/>
        <v>0</v>
      </c>
      <c r="I95" s="508"/>
    </row>
    <row r="96" spans="1:9" x14ac:dyDescent="0.2">
      <c r="A96" s="493" t="s">
        <v>930</v>
      </c>
      <c r="B96" s="196">
        <f t="shared" si="11"/>
        <v>2</v>
      </c>
      <c r="C96" s="198">
        <v>1</v>
      </c>
      <c r="D96" s="198">
        <v>0</v>
      </c>
      <c r="E96" s="198">
        <v>0</v>
      </c>
      <c r="F96" s="198">
        <v>0</v>
      </c>
      <c r="G96" s="198">
        <v>1</v>
      </c>
      <c r="H96" s="198">
        <v>0</v>
      </c>
      <c r="I96" s="508"/>
    </row>
    <row r="97" spans="1:9" x14ac:dyDescent="0.2">
      <c r="A97" s="493" t="s">
        <v>931</v>
      </c>
      <c r="B97" s="196">
        <f t="shared" si="11"/>
        <v>5</v>
      </c>
      <c r="C97" s="198">
        <v>0</v>
      </c>
      <c r="D97" s="198">
        <v>0</v>
      </c>
      <c r="E97" s="198">
        <v>0</v>
      </c>
      <c r="F97" s="198">
        <v>0</v>
      </c>
      <c r="G97" s="198">
        <v>5</v>
      </c>
      <c r="H97" s="198">
        <v>0</v>
      </c>
      <c r="I97" s="508"/>
    </row>
    <row r="98" spans="1:9" x14ac:dyDescent="0.2">
      <c r="A98" s="512" t="s">
        <v>17</v>
      </c>
      <c r="B98" s="196">
        <f t="shared" si="11"/>
        <v>3</v>
      </c>
      <c r="C98" s="196">
        <f t="shared" ref="C98:H98" si="17">SUM(C99:C100)</f>
        <v>0</v>
      </c>
      <c r="D98" s="196">
        <f t="shared" si="17"/>
        <v>0</v>
      </c>
      <c r="E98" s="196">
        <f t="shared" si="17"/>
        <v>0</v>
      </c>
      <c r="F98" s="196">
        <f t="shared" si="17"/>
        <v>0</v>
      </c>
      <c r="G98" s="196">
        <f t="shared" si="17"/>
        <v>3</v>
      </c>
      <c r="H98" s="196">
        <f t="shared" si="17"/>
        <v>0</v>
      </c>
      <c r="I98" s="508"/>
    </row>
    <row r="99" spans="1:9" x14ac:dyDescent="0.2">
      <c r="A99" s="493" t="s">
        <v>932</v>
      </c>
      <c r="B99" s="196">
        <f t="shared" si="11"/>
        <v>2</v>
      </c>
      <c r="C99" s="198">
        <v>0</v>
      </c>
      <c r="D99" s="198">
        <v>0</v>
      </c>
      <c r="E99" s="198">
        <v>0</v>
      </c>
      <c r="F99" s="198">
        <v>0</v>
      </c>
      <c r="G99" s="198">
        <v>2</v>
      </c>
      <c r="H99" s="198">
        <v>0</v>
      </c>
      <c r="I99" s="508"/>
    </row>
    <row r="100" spans="1:9" x14ac:dyDescent="0.2">
      <c r="A100" s="493" t="s">
        <v>890</v>
      </c>
      <c r="B100" s="196">
        <f t="shared" si="11"/>
        <v>1</v>
      </c>
      <c r="C100" s="198">
        <v>0</v>
      </c>
      <c r="D100" s="198">
        <v>0</v>
      </c>
      <c r="E100" s="198">
        <v>0</v>
      </c>
      <c r="F100" s="198">
        <v>0</v>
      </c>
      <c r="G100" s="198">
        <v>1</v>
      </c>
      <c r="H100" s="198">
        <v>0</v>
      </c>
      <c r="I100" s="508"/>
    </row>
    <row r="101" spans="1:9" x14ac:dyDescent="0.2">
      <c r="A101" s="512" t="s">
        <v>18</v>
      </c>
      <c r="B101" s="196">
        <f t="shared" si="11"/>
        <v>11</v>
      </c>
      <c r="C101" s="196">
        <f t="shared" ref="C101:H101" si="18">SUM(C102:C103)</f>
        <v>1</v>
      </c>
      <c r="D101" s="196">
        <f t="shared" si="18"/>
        <v>0</v>
      </c>
      <c r="E101" s="196">
        <f t="shared" si="18"/>
        <v>0</v>
      </c>
      <c r="F101" s="196">
        <f t="shared" si="18"/>
        <v>0</v>
      </c>
      <c r="G101" s="196">
        <f t="shared" si="18"/>
        <v>10</v>
      </c>
      <c r="H101" s="196">
        <f t="shared" si="18"/>
        <v>0</v>
      </c>
      <c r="I101" s="508"/>
    </row>
    <row r="102" spans="1:9" x14ac:dyDescent="0.2">
      <c r="A102" s="493" t="s">
        <v>933</v>
      </c>
      <c r="B102" s="196">
        <f t="shared" si="11"/>
        <v>1</v>
      </c>
      <c r="C102" s="198">
        <v>0</v>
      </c>
      <c r="D102" s="198">
        <v>0</v>
      </c>
      <c r="E102" s="198">
        <v>0</v>
      </c>
      <c r="F102" s="198">
        <v>0</v>
      </c>
      <c r="G102" s="198">
        <v>1</v>
      </c>
      <c r="H102" s="198">
        <v>0</v>
      </c>
      <c r="I102" s="508"/>
    </row>
    <row r="103" spans="1:9" x14ac:dyDescent="0.2">
      <c r="A103" s="493" t="s">
        <v>934</v>
      </c>
      <c r="B103" s="196">
        <f t="shared" si="11"/>
        <v>10</v>
      </c>
      <c r="C103" s="198">
        <v>1</v>
      </c>
      <c r="D103" s="198">
        <v>0</v>
      </c>
      <c r="E103" s="198">
        <v>0</v>
      </c>
      <c r="F103" s="198">
        <v>0</v>
      </c>
      <c r="G103" s="198">
        <v>9</v>
      </c>
      <c r="H103" s="198">
        <v>0</v>
      </c>
      <c r="I103" s="508"/>
    </row>
    <row r="104" spans="1:9" x14ac:dyDescent="0.2">
      <c r="A104" s="493"/>
      <c r="B104" s="196"/>
      <c r="C104" s="198"/>
      <c r="D104" s="198"/>
      <c r="E104" s="198"/>
      <c r="F104" s="198"/>
      <c r="G104" s="198"/>
      <c r="H104" s="198"/>
      <c r="I104" s="508"/>
    </row>
    <row r="105" spans="1:9" ht="41.25" customHeight="1" x14ac:dyDescent="0.25">
      <c r="A105" s="173" t="s">
        <v>935</v>
      </c>
      <c r="B105" s="515"/>
      <c r="C105" s="515"/>
      <c r="D105" s="515"/>
      <c r="E105" s="515"/>
      <c r="F105" s="515"/>
      <c r="G105" s="515"/>
      <c r="H105" s="515"/>
      <c r="I105" s="508"/>
    </row>
    <row r="106" spans="1:9" x14ac:dyDescent="0.2">
      <c r="A106" s="184" t="s">
        <v>19</v>
      </c>
      <c r="B106" s="516"/>
      <c r="C106" s="516"/>
      <c r="D106" s="516"/>
      <c r="E106" s="517"/>
      <c r="F106" s="517"/>
      <c r="G106" s="516"/>
      <c r="H106" s="518"/>
      <c r="I106" s="508"/>
    </row>
    <row r="107" spans="1:9" x14ac:dyDescent="0.25">
      <c r="A107" s="70" t="s">
        <v>936</v>
      </c>
      <c r="B107" s="516"/>
      <c r="C107" s="516"/>
      <c r="D107" s="516"/>
      <c r="E107" s="517"/>
      <c r="F107" s="517"/>
      <c r="G107" s="516"/>
      <c r="H107" s="518"/>
      <c r="I107" s="508"/>
    </row>
    <row r="108" spans="1:9" x14ac:dyDescent="0.25">
      <c r="A108" s="513"/>
      <c r="B108" s="516"/>
      <c r="C108" s="516"/>
      <c r="D108" s="516"/>
      <c r="E108" s="517"/>
      <c r="F108" s="517"/>
      <c r="G108" s="516"/>
      <c r="H108" s="518"/>
      <c r="I108" s="508"/>
    </row>
    <row r="109" spans="1:9" x14ac:dyDescent="0.25">
      <c r="A109" s="513"/>
      <c r="B109" s="516"/>
      <c r="C109" s="516"/>
      <c r="D109" s="516"/>
      <c r="E109" s="517"/>
      <c r="F109" s="517"/>
      <c r="G109" s="516"/>
      <c r="H109" s="518"/>
      <c r="I109" s="508"/>
    </row>
    <row r="110" spans="1:9" x14ac:dyDescent="0.25">
      <c r="A110" s="513"/>
      <c r="B110" s="516"/>
      <c r="C110" s="516"/>
      <c r="D110" s="516"/>
      <c r="E110" s="517"/>
      <c r="F110" s="517"/>
      <c r="G110" s="516"/>
      <c r="H110" s="518"/>
      <c r="I110" s="508"/>
    </row>
    <row r="111" spans="1:9" x14ac:dyDescent="0.25">
      <c r="A111" s="513"/>
      <c r="B111" s="516"/>
      <c r="C111" s="516"/>
      <c r="D111" s="516"/>
      <c r="E111" s="517"/>
      <c r="F111" s="517"/>
      <c r="G111" s="516"/>
      <c r="H111" s="518"/>
      <c r="I111" s="508"/>
    </row>
    <row r="112" spans="1:9" x14ac:dyDescent="0.25">
      <c r="A112" s="513"/>
      <c r="B112" s="516"/>
      <c r="C112" s="516"/>
      <c r="D112" s="516"/>
      <c r="E112" s="517"/>
      <c r="F112" s="517"/>
      <c r="G112" s="516"/>
      <c r="H112" s="518"/>
      <c r="I112" s="508"/>
    </row>
    <row r="113" spans="1:9" x14ac:dyDescent="0.25">
      <c r="A113" s="513"/>
      <c r="B113" s="516"/>
      <c r="C113" s="516"/>
      <c r="D113" s="516"/>
      <c r="E113" s="517"/>
      <c r="F113" s="517"/>
      <c r="G113" s="516"/>
      <c r="H113" s="518"/>
      <c r="I113" s="508"/>
    </row>
    <row r="114" spans="1:9" x14ac:dyDescent="0.25">
      <c r="A114" s="513"/>
      <c r="B114" s="516"/>
      <c r="C114" s="516"/>
      <c r="D114" s="516"/>
      <c r="E114" s="517"/>
      <c r="F114" s="517"/>
      <c r="G114" s="516"/>
      <c r="H114" s="518"/>
      <c r="I114" s="508"/>
    </row>
    <row r="115" spans="1:9" x14ac:dyDescent="0.25">
      <c r="A115" s="513"/>
      <c r="B115" s="516"/>
      <c r="C115" s="516"/>
      <c r="D115" s="516"/>
      <c r="E115" s="517"/>
      <c r="F115" s="517"/>
      <c r="G115" s="516"/>
      <c r="H115" s="518"/>
      <c r="I115" s="508"/>
    </row>
    <row r="116" spans="1:9" x14ac:dyDescent="0.25">
      <c r="A116" s="513"/>
      <c r="B116" s="516"/>
      <c r="C116" s="516"/>
      <c r="D116" s="516"/>
      <c r="E116" s="517"/>
      <c r="F116" s="517"/>
      <c r="G116" s="516"/>
      <c r="H116" s="518"/>
      <c r="I116" s="508"/>
    </row>
    <row r="117" spans="1:9" x14ac:dyDescent="0.25">
      <c r="A117" s="513"/>
      <c r="B117" s="516"/>
      <c r="C117" s="516"/>
      <c r="D117" s="516"/>
      <c r="E117" s="517"/>
      <c r="F117" s="517"/>
      <c r="G117" s="516"/>
      <c r="H117" s="518"/>
      <c r="I117" s="508"/>
    </row>
    <row r="118" spans="1:9" x14ac:dyDescent="0.25">
      <c r="B118" s="516"/>
      <c r="C118" s="516"/>
      <c r="D118" s="516"/>
      <c r="E118" s="517"/>
      <c r="F118" s="517"/>
      <c r="G118" s="516"/>
      <c r="H118" s="518"/>
      <c r="I118" s="508"/>
    </row>
    <row r="119" spans="1:9" x14ac:dyDescent="0.25">
      <c r="B119" s="70"/>
      <c r="C119" s="70"/>
      <c r="D119" s="70"/>
      <c r="E119" s="70"/>
      <c r="F119" s="70"/>
      <c r="G119" s="70"/>
      <c r="I119" s="508"/>
    </row>
    <row r="120" spans="1:9" x14ac:dyDescent="0.25">
      <c r="I120" s="508"/>
    </row>
    <row r="121" spans="1:9" x14ac:dyDescent="0.25">
      <c r="I121" s="508"/>
    </row>
    <row r="122" spans="1:9" x14ac:dyDescent="0.25">
      <c r="I122" s="508"/>
    </row>
    <row r="123" spans="1:9" x14ac:dyDescent="0.25">
      <c r="I123" s="508"/>
    </row>
    <row r="124" spans="1:9" x14ac:dyDescent="0.25">
      <c r="I124" s="508"/>
    </row>
    <row r="125" spans="1:9" x14ac:dyDescent="0.25">
      <c r="I125" s="508"/>
    </row>
    <row r="126" spans="1:9" x14ac:dyDescent="0.25">
      <c r="I126" s="508"/>
    </row>
    <row r="127" spans="1:9" x14ac:dyDescent="0.25">
      <c r="I127" s="508"/>
    </row>
    <row r="128" spans="1:9" x14ac:dyDescent="0.25">
      <c r="I128" s="508"/>
    </row>
    <row r="129" spans="9:9" x14ac:dyDescent="0.25">
      <c r="I129" s="508"/>
    </row>
    <row r="130" spans="9:9" x14ac:dyDescent="0.25">
      <c r="I130" s="508"/>
    </row>
    <row r="146" spans="9:9" x14ac:dyDescent="0.25">
      <c r="I146" s="508"/>
    </row>
    <row r="147" spans="9:9" x14ac:dyDescent="0.25">
      <c r="I147" s="508"/>
    </row>
    <row r="148" spans="9:9" x14ac:dyDescent="0.25">
      <c r="I148" s="508"/>
    </row>
    <row r="149" spans="9:9" x14ac:dyDescent="0.25">
      <c r="I149" s="508"/>
    </row>
    <row r="150" spans="9:9" x14ac:dyDescent="0.25">
      <c r="I150" s="508"/>
    </row>
    <row r="151" spans="9:9" x14ac:dyDescent="0.25">
      <c r="I151" s="508"/>
    </row>
    <row r="152" spans="9:9" x14ac:dyDescent="0.25">
      <c r="I152" s="508"/>
    </row>
    <row r="153" spans="9:9" x14ac:dyDescent="0.25">
      <c r="I153" s="508"/>
    </row>
    <row r="154" spans="9:9" x14ac:dyDescent="0.25">
      <c r="I154" s="508"/>
    </row>
    <row r="155" spans="9:9" x14ac:dyDescent="0.25">
      <c r="I155" s="508"/>
    </row>
    <row r="156" spans="9:9" x14ac:dyDescent="0.25">
      <c r="I156" s="508"/>
    </row>
    <row r="157" spans="9:9" x14ac:dyDescent="0.25">
      <c r="I157" s="508"/>
    </row>
    <row r="158" spans="9:9" x14ac:dyDescent="0.25">
      <c r="I158" s="508"/>
    </row>
    <row r="159" spans="9:9" x14ac:dyDescent="0.25">
      <c r="I159" s="508"/>
    </row>
    <row r="160" spans="9:9" x14ac:dyDescent="0.25">
      <c r="I160" s="508"/>
    </row>
    <row r="161" spans="9:9" x14ac:dyDescent="0.25">
      <c r="I161" s="508"/>
    </row>
    <row r="162" spans="9:9" x14ac:dyDescent="0.25">
      <c r="I162" s="508"/>
    </row>
    <row r="163" spans="9:9" x14ac:dyDescent="0.25">
      <c r="I163" s="508"/>
    </row>
    <row r="164" spans="9:9" x14ac:dyDescent="0.25">
      <c r="I164" s="508"/>
    </row>
    <row r="165" spans="9:9" x14ac:dyDescent="0.25">
      <c r="I165" s="508"/>
    </row>
    <row r="166" spans="9:9" x14ac:dyDescent="0.25">
      <c r="I166" s="508"/>
    </row>
    <row r="167" spans="9:9" x14ac:dyDescent="0.25">
      <c r="I167" s="508"/>
    </row>
    <row r="168" spans="9:9" x14ac:dyDescent="0.25">
      <c r="I168" s="508"/>
    </row>
    <row r="169" spans="9:9" x14ac:dyDescent="0.25">
      <c r="I169" s="508"/>
    </row>
    <row r="170" spans="9:9" x14ac:dyDescent="0.25">
      <c r="I170" s="508"/>
    </row>
    <row r="171" spans="9:9" x14ac:dyDescent="0.25">
      <c r="I171" s="508"/>
    </row>
    <row r="172" spans="9:9" x14ac:dyDescent="0.25">
      <c r="I172" s="508"/>
    </row>
    <row r="173" spans="9:9" x14ac:dyDescent="0.25">
      <c r="I173" s="508"/>
    </row>
    <row r="174" spans="9:9" x14ac:dyDescent="0.25">
      <c r="I174" s="508"/>
    </row>
    <row r="175" spans="9:9" x14ac:dyDescent="0.25">
      <c r="I175" s="508"/>
    </row>
    <row r="176" spans="9:9" x14ac:dyDescent="0.25">
      <c r="I176" s="508"/>
    </row>
    <row r="177" spans="9:9" x14ac:dyDescent="0.25">
      <c r="I177" s="508"/>
    </row>
    <row r="178" spans="9:9" x14ac:dyDescent="0.25">
      <c r="I178" s="508"/>
    </row>
    <row r="179" spans="9:9" x14ac:dyDescent="0.25">
      <c r="I179" s="508"/>
    </row>
    <row r="180" spans="9:9" x14ac:dyDescent="0.25">
      <c r="I180" s="508"/>
    </row>
    <row r="181" spans="9:9" x14ac:dyDescent="0.25">
      <c r="I181" s="508"/>
    </row>
    <row r="182" spans="9:9" x14ac:dyDescent="0.25">
      <c r="I182" s="508"/>
    </row>
    <row r="183" spans="9:9" x14ac:dyDescent="0.25">
      <c r="I183" s="508"/>
    </row>
    <row r="184" spans="9:9" x14ac:dyDescent="0.25">
      <c r="I184" s="508"/>
    </row>
    <row r="185" spans="9:9" x14ac:dyDescent="0.25">
      <c r="I185" s="508"/>
    </row>
    <row r="186" spans="9:9" x14ac:dyDescent="0.25">
      <c r="I186" s="508"/>
    </row>
    <row r="187" spans="9:9" x14ac:dyDescent="0.25">
      <c r="I187" s="508"/>
    </row>
    <row r="188" spans="9:9" x14ac:dyDescent="0.25">
      <c r="I188" s="508"/>
    </row>
    <row r="189" spans="9:9" x14ac:dyDescent="0.25">
      <c r="I189" s="508"/>
    </row>
    <row r="190" spans="9:9" x14ac:dyDescent="0.25">
      <c r="I190" s="508"/>
    </row>
    <row r="191" spans="9:9" x14ac:dyDescent="0.25">
      <c r="I191" s="508"/>
    </row>
    <row r="192" spans="9:9" x14ac:dyDescent="0.25">
      <c r="I192" s="508"/>
    </row>
    <row r="193" spans="9:9" x14ac:dyDescent="0.25">
      <c r="I193" s="508"/>
    </row>
    <row r="194" spans="9:9" x14ac:dyDescent="0.25">
      <c r="I194" s="508"/>
    </row>
    <row r="195" spans="9:9" x14ac:dyDescent="0.25">
      <c r="I195" s="508"/>
    </row>
    <row r="196" spans="9:9" x14ac:dyDescent="0.25">
      <c r="I196" s="508"/>
    </row>
    <row r="197" spans="9:9" x14ac:dyDescent="0.25">
      <c r="I197" s="508"/>
    </row>
    <row r="198" spans="9:9" x14ac:dyDescent="0.25">
      <c r="I198" s="508"/>
    </row>
    <row r="199" spans="9:9" x14ac:dyDescent="0.25">
      <c r="I199" s="508"/>
    </row>
    <row r="200" spans="9:9" x14ac:dyDescent="0.25">
      <c r="I200" s="508"/>
    </row>
    <row r="201" spans="9:9" x14ac:dyDescent="0.25">
      <c r="I201" s="508"/>
    </row>
    <row r="202" spans="9:9" x14ac:dyDescent="0.25">
      <c r="I202" s="508"/>
    </row>
    <row r="203" spans="9:9" x14ac:dyDescent="0.25">
      <c r="I203" s="508"/>
    </row>
    <row r="204" spans="9:9" x14ac:dyDescent="0.25">
      <c r="I204" s="508"/>
    </row>
    <row r="205" spans="9:9" x14ac:dyDescent="0.25">
      <c r="I205" s="508"/>
    </row>
    <row r="206" spans="9:9" x14ac:dyDescent="0.25">
      <c r="I206" s="508"/>
    </row>
    <row r="207" spans="9:9" x14ac:dyDescent="0.25">
      <c r="I207" s="508"/>
    </row>
    <row r="208" spans="9:9" x14ac:dyDescent="0.25">
      <c r="I208" s="508"/>
    </row>
    <row r="209" spans="9:9" x14ac:dyDescent="0.25">
      <c r="I209" s="508"/>
    </row>
    <row r="210" spans="9:9" x14ac:dyDescent="0.25">
      <c r="I210" s="508"/>
    </row>
    <row r="211" spans="9:9" x14ac:dyDescent="0.25">
      <c r="I211" s="508"/>
    </row>
    <row r="212" spans="9:9" x14ac:dyDescent="0.25">
      <c r="I212" s="508"/>
    </row>
    <row r="213" spans="9:9" x14ac:dyDescent="0.25">
      <c r="I213" s="508"/>
    </row>
    <row r="214" spans="9:9" x14ac:dyDescent="0.25">
      <c r="I214" s="508"/>
    </row>
    <row r="215" spans="9:9" x14ac:dyDescent="0.25">
      <c r="I215" s="508"/>
    </row>
    <row r="216" spans="9:9" x14ac:dyDescent="0.25">
      <c r="I216" s="508"/>
    </row>
    <row r="217" spans="9:9" x14ac:dyDescent="0.25">
      <c r="I217" s="508"/>
    </row>
    <row r="218" spans="9:9" x14ac:dyDescent="0.25">
      <c r="I218" s="508"/>
    </row>
    <row r="219" spans="9:9" x14ac:dyDescent="0.25">
      <c r="I219" s="508"/>
    </row>
    <row r="220" spans="9:9" x14ac:dyDescent="0.25">
      <c r="I220" s="508"/>
    </row>
    <row r="221" spans="9:9" x14ac:dyDescent="0.25">
      <c r="I221" s="508"/>
    </row>
    <row r="222" spans="9:9" x14ac:dyDescent="0.25">
      <c r="I222" s="508"/>
    </row>
    <row r="223" spans="9:9" x14ac:dyDescent="0.25">
      <c r="I223" s="508"/>
    </row>
    <row r="224" spans="9:9" x14ac:dyDescent="0.25">
      <c r="I224" s="508"/>
    </row>
    <row r="225" spans="9:9" x14ac:dyDescent="0.25">
      <c r="I225" s="508"/>
    </row>
    <row r="226" spans="9:9" x14ac:dyDescent="0.25">
      <c r="I226" s="508"/>
    </row>
    <row r="227" spans="9:9" x14ac:dyDescent="0.25">
      <c r="I227" s="508"/>
    </row>
    <row r="228" spans="9:9" x14ac:dyDescent="0.25">
      <c r="I228" s="508"/>
    </row>
    <row r="229" spans="9:9" x14ac:dyDescent="0.25">
      <c r="I229" s="508"/>
    </row>
    <row r="230" spans="9:9" x14ac:dyDescent="0.25">
      <c r="I230" s="508"/>
    </row>
    <row r="231" spans="9:9" x14ac:dyDescent="0.25">
      <c r="I231" s="508"/>
    </row>
    <row r="232" spans="9:9" x14ac:dyDescent="0.25">
      <c r="I232" s="508"/>
    </row>
    <row r="233" spans="9:9" x14ac:dyDescent="0.25">
      <c r="I233" s="508"/>
    </row>
    <row r="234" spans="9:9" x14ac:dyDescent="0.25">
      <c r="I234" s="508"/>
    </row>
    <row r="235" spans="9:9" x14ac:dyDescent="0.25">
      <c r="I235" s="508"/>
    </row>
    <row r="236" spans="9:9" x14ac:dyDescent="0.25">
      <c r="I236" s="508"/>
    </row>
    <row r="237" spans="9:9" x14ac:dyDescent="0.25">
      <c r="I237" s="508"/>
    </row>
    <row r="238" spans="9:9" x14ac:dyDescent="0.25">
      <c r="I238" s="508"/>
    </row>
    <row r="239" spans="9:9" x14ac:dyDescent="0.25">
      <c r="I239" s="508"/>
    </row>
    <row r="240" spans="9:9" x14ac:dyDescent="0.25">
      <c r="I240" s="508"/>
    </row>
    <row r="241" spans="9:9" x14ac:dyDescent="0.25">
      <c r="I241" s="508"/>
    </row>
    <row r="242" spans="9:9" x14ac:dyDescent="0.25">
      <c r="I242" s="508"/>
    </row>
    <row r="243" spans="9:9" x14ac:dyDescent="0.25">
      <c r="I243" s="508"/>
    </row>
    <row r="244" spans="9:9" x14ac:dyDescent="0.25">
      <c r="I244" s="508"/>
    </row>
    <row r="245" spans="9:9" x14ac:dyDescent="0.25">
      <c r="I245" s="508"/>
    </row>
    <row r="246" spans="9:9" x14ac:dyDescent="0.25">
      <c r="I246" s="508"/>
    </row>
    <row r="247" spans="9:9" x14ac:dyDescent="0.25">
      <c r="I247" s="508"/>
    </row>
    <row r="248" spans="9:9" x14ac:dyDescent="0.25">
      <c r="I248" s="508"/>
    </row>
    <row r="249" spans="9:9" x14ac:dyDescent="0.25">
      <c r="I249" s="508"/>
    </row>
    <row r="250" spans="9:9" x14ac:dyDescent="0.25">
      <c r="I250" s="508"/>
    </row>
    <row r="251" spans="9:9" x14ac:dyDescent="0.25">
      <c r="I251" s="508"/>
    </row>
    <row r="252" spans="9:9" x14ac:dyDescent="0.25">
      <c r="I252" s="508"/>
    </row>
    <row r="253" spans="9:9" x14ac:dyDescent="0.25">
      <c r="I253" s="508"/>
    </row>
    <row r="254" spans="9:9" x14ac:dyDescent="0.25">
      <c r="I254" s="508"/>
    </row>
    <row r="255" spans="9:9" x14ac:dyDescent="0.25">
      <c r="I255" s="508"/>
    </row>
    <row r="256" spans="9:9" x14ac:dyDescent="0.25">
      <c r="I256" s="508"/>
    </row>
    <row r="257" spans="9:9" x14ac:dyDescent="0.25">
      <c r="I257" s="508"/>
    </row>
    <row r="258" spans="9:9" x14ac:dyDescent="0.25">
      <c r="I258" s="508"/>
    </row>
    <row r="259" spans="9:9" x14ac:dyDescent="0.25">
      <c r="I259" s="508"/>
    </row>
    <row r="260" spans="9:9" x14ac:dyDescent="0.25">
      <c r="I260" s="508"/>
    </row>
    <row r="261" spans="9:9" x14ac:dyDescent="0.25">
      <c r="I261" s="508"/>
    </row>
    <row r="262" spans="9:9" x14ac:dyDescent="0.25">
      <c r="I262" s="508"/>
    </row>
    <row r="263" spans="9:9" x14ac:dyDescent="0.25">
      <c r="I263" s="508"/>
    </row>
    <row r="264" spans="9:9" x14ac:dyDescent="0.25">
      <c r="I264" s="508"/>
    </row>
    <row r="265" spans="9:9" x14ac:dyDescent="0.25">
      <c r="I265" s="508"/>
    </row>
    <row r="266" spans="9:9" x14ac:dyDescent="0.25">
      <c r="I266" s="508"/>
    </row>
    <row r="267" spans="9:9" x14ac:dyDescent="0.25">
      <c r="I267" s="508"/>
    </row>
    <row r="268" spans="9:9" x14ac:dyDescent="0.25">
      <c r="I268" s="508"/>
    </row>
    <row r="269" spans="9:9" x14ac:dyDescent="0.25">
      <c r="I269" s="508"/>
    </row>
    <row r="270" spans="9:9" x14ac:dyDescent="0.25">
      <c r="I270" s="508"/>
    </row>
    <row r="271" spans="9:9" x14ac:dyDescent="0.25">
      <c r="I271" s="508"/>
    </row>
    <row r="272" spans="9:9" x14ac:dyDescent="0.25">
      <c r="I272" s="508"/>
    </row>
    <row r="273" spans="9:9" x14ac:dyDescent="0.25">
      <c r="I273" s="508"/>
    </row>
    <row r="274" spans="9:9" x14ac:dyDescent="0.25">
      <c r="I274" s="508"/>
    </row>
    <row r="275" spans="9:9" x14ac:dyDescent="0.25">
      <c r="I275" s="508"/>
    </row>
    <row r="276" spans="9:9" x14ac:dyDescent="0.25">
      <c r="I276" s="508"/>
    </row>
    <row r="277" spans="9:9" x14ac:dyDescent="0.25">
      <c r="I277" s="508"/>
    </row>
    <row r="278" spans="9:9" x14ac:dyDescent="0.25">
      <c r="I278" s="508"/>
    </row>
    <row r="279" spans="9:9" x14ac:dyDescent="0.25">
      <c r="I279" s="508"/>
    </row>
    <row r="280" spans="9:9" x14ac:dyDescent="0.25">
      <c r="I280" s="508"/>
    </row>
    <row r="281" spans="9:9" x14ac:dyDescent="0.25">
      <c r="I281" s="508"/>
    </row>
    <row r="282" spans="9:9" x14ac:dyDescent="0.25">
      <c r="I282" s="508"/>
    </row>
    <row r="283" spans="9:9" x14ac:dyDescent="0.25">
      <c r="I283" s="508"/>
    </row>
    <row r="284" spans="9:9" x14ac:dyDescent="0.25">
      <c r="I284" s="508"/>
    </row>
    <row r="285" spans="9:9" x14ac:dyDescent="0.25">
      <c r="I285" s="508"/>
    </row>
    <row r="286" spans="9:9" x14ac:dyDescent="0.25">
      <c r="I286" s="508"/>
    </row>
    <row r="287" spans="9:9" x14ac:dyDescent="0.25">
      <c r="I287" s="508"/>
    </row>
    <row r="288" spans="9:9" x14ac:dyDescent="0.25">
      <c r="I288" s="508"/>
    </row>
    <row r="289" spans="9:9" x14ac:dyDescent="0.25">
      <c r="I289" s="508"/>
    </row>
    <row r="290" spans="9:9" x14ac:dyDescent="0.25">
      <c r="I290" s="508"/>
    </row>
    <row r="291" spans="9:9" x14ac:dyDescent="0.25">
      <c r="I291" s="508"/>
    </row>
    <row r="292" spans="9:9" x14ac:dyDescent="0.25">
      <c r="I292" s="508"/>
    </row>
    <row r="293" spans="9:9" x14ac:dyDescent="0.25">
      <c r="I293" s="508"/>
    </row>
    <row r="294" spans="9:9" x14ac:dyDescent="0.25">
      <c r="I294" s="508"/>
    </row>
  </sheetData>
  <mergeCells count="5">
    <mergeCell ref="A2:H2"/>
    <mergeCell ref="A4:A5"/>
    <mergeCell ref="B4:B5"/>
    <mergeCell ref="C4:H4"/>
    <mergeCell ref="A105:H105"/>
  </mergeCells>
  <pageMargins left="0.39370078740157483" right="0.47244094488188981" top="0.38" bottom="0.39370078740157483" header="0.31496062992125984" footer="0.31496062992125984"/>
  <pageSetup paperSize="14" scale="6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
  <dimension ref="A2:R49"/>
  <sheetViews>
    <sheetView zoomScaleNormal="100" workbookViewId="0"/>
  </sheetViews>
  <sheetFormatPr baseColWidth="10" defaultColWidth="11.44140625" defaultRowHeight="10.199999999999999" x14ac:dyDescent="0.2"/>
  <cols>
    <col min="1" max="1" width="37.44140625" style="15" customWidth="1"/>
    <col min="2" max="2" width="8.88671875" style="15" customWidth="1"/>
    <col min="3" max="3" width="12.44140625" style="15" customWidth="1"/>
    <col min="4" max="4" width="10.44140625" style="15" customWidth="1"/>
    <col min="5" max="5" width="12.109375" style="15" customWidth="1"/>
    <col min="6" max="6" width="9.44140625" style="15" customWidth="1"/>
    <col min="7" max="7" width="10.109375" style="15" customWidth="1"/>
    <col min="8" max="8" width="11.33203125" style="15" customWidth="1"/>
    <col min="9" max="9" width="13.5546875" style="15" customWidth="1"/>
    <col min="10" max="10" width="10" style="15" customWidth="1"/>
    <col min="11" max="12" width="8.33203125" style="15" customWidth="1"/>
    <col min="13" max="13" width="10.6640625" style="15" customWidth="1"/>
    <col min="14" max="16" width="8.33203125" style="15" customWidth="1"/>
    <col min="17" max="17" width="11.33203125" style="15" customWidth="1"/>
    <col min="18" max="16384" width="11.44140625" style="15"/>
  </cols>
  <sheetData>
    <row r="2" spans="1:17" ht="12" x14ac:dyDescent="0.2">
      <c r="A2" s="23" t="s">
        <v>83</v>
      </c>
      <c r="B2" s="23"/>
    </row>
    <row r="3" spans="1:17" x14ac:dyDescent="0.2">
      <c r="A3" s="23"/>
      <c r="B3" s="23"/>
    </row>
    <row r="4" spans="1:17" s="22" customFormat="1" ht="45.75" customHeight="1" x14ac:dyDescent="0.25">
      <c r="A4" s="32" t="s">
        <v>76</v>
      </c>
      <c r="B4" s="39" t="s">
        <v>42</v>
      </c>
      <c r="C4" s="39" t="s">
        <v>4</v>
      </c>
      <c r="D4" s="39" t="s">
        <v>5</v>
      </c>
      <c r="E4" s="39" t="s">
        <v>6</v>
      </c>
      <c r="F4" s="39" t="s">
        <v>7</v>
      </c>
      <c r="G4" s="39" t="s">
        <v>8</v>
      </c>
      <c r="H4" s="39" t="s">
        <v>9</v>
      </c>
      <c r="I4" s="39" t="s">
        <v>10</v>
      </c>
      <c r="J4" s="39" t="s">
        <v>11</v>
      </c>
      <c r="K4" s="39" t="s">
        <v>12</v>
      </c>
      <c r="L4" s="39" t="s">
        <v>13</v>
      </c>
      <c r="M4" s="39" t="s">
        <v>47</v>
      </c>
      <c r="N4" s="39" t="s">
        <v>15</v>
      </c>
      <c r="O4" s="39" t="s">
        <v>16</v>
      </c>
      <c r="P4" s="39" t="s">
        <v>17</v>
      </c>
      <c r="Q4" s="39" t="s">
        <v>18</v>
      </c>
    </row>
    <row r="5" spans="1:17" s="22" customFormat="1" x14ac:dyDescent="0.25">
      <c r="A5" s="33" t="s">
        <v>3</v>
      </c>
      <c r="B5" s="34">
        <f>SUM(B6+B10+B12+B15+B18+B23+B26+B33+B39+B42+B44)</f>
        <v>1329</v>
      </c>
      <c r="C5" s="34">
        <f t="shared" ref="C5:Q5" si="0">SUM(C6+C10+C12+C15+C18+C23+C26+C33+C39+C42+C44)</f>
        <v>17</v>
      </c>
      <c r="D5" s="34">
        <f t="shared" si="0"/>
        <v>21</v>
      </c>
      <c r="E5" s="34">
        <f t="shared" si="0"/>
        <v>28</v>
      </c>
      <c r="F5" s="34">
        <f t="shared" si="0"/>
        <v>8</v>
      </c>
      <c r="G5" s="34">
        <f t="shared" si="0"/>
        <v>37</v>
      </c>
      <c r="H5" s="34">
        <f t="shared" si="0"/>
        <v>188</v>
      </c>
      <c r="I5" s="34">
        <f t="shared" si="0"/>
        <v>692</v>
      </c>
      <c r="J5" s="34">
        <f t="shared" si="0"/>
        <v>34</v>
      </c>
      <c r="K5" s="34">
        <f t="shared" si="0"/>
        <v>50</v>
      </c>
      <c r="L5" s="34">
        <f t="shared" si="0"/>
        <v>128</v>
      </c>
      <c r="M5" s="34">
        <f t="shared" si="0"/>
        <v>54</v>
      </c>
      <c r="N5" s="34">
        <f t="shared" si="0"/>
        <v>18</v>
      </c>
      <c r="O5" s="34">
        <f t="shared" si="0"/>
        <v>42</v>
      </c>
      <c r="P5" s="34">
        <f t="shared" si="0"/>
        <v>1</v>
      </c>
      <c r="Q5" s="34">
        <f t="shared" si="0"/>
        <v>11</v>
      </c>
    </row>
    <row r="6" spans="1:17" s="23" customFormat="1" x14ac:dyDescent="0.2">
      <c r="A6" s="28" t="s">
        <v>21</v>
      </c>
      <c r="B6" s="29">
        <f t="shared" ref="B6:B45" si="1">SUM(C6:Q6)</f>
        <v>24</v>
      </c>
      <c r="C6" s="29">
        <f>SUM(C7:C9)</f>
        <v>0</v>
      </c>
      <c r="D6" s="29">
        <f t="shared" ref="D6:Q6" si="2">SUM(D7:D9)</f>
        <v>0</v>
      </c>
      <c r="E6" s="29">
        <f t="shared" si="2"/>
        <v>0</v>
      </c>
      <c r="F6" s="29">
        <f t="shared" si="2"/>
        <v>0</v>
      </c>
      <c r="G6" s="29">
        <f t="shared" si="2"/>
        <v>0</v>
      </c>
      <c r="H6" s="29">
        <f t="shared" si="2"/>
        <v>4</v>
      </c>
      <c r="I6" s="29">
        <f t="shared" si="2"/>
        <v>18</v>
      </c>
      <c r="J6" s="29">
        <f t="shared" si="2"/>
        <v>0</v>
      </c>
      <c r="K6" s="29">
        <f t="shared" si="2"/>
        <v>0</v>
      </c>
      <c r="L6" s="29">
        <f t="shared" si="2"/>
        <v>2</v>
      </c>
      <c r="M6" s="29">
        <f t="shared" si="2"/>
        <v>0</v>
      </c>
      <c r="N6" s="29">
        <f t="shared" si="2"/>
        <v>0</v>
      </c>
      <c r="O6" s="29">
        <f t="shared" si="2"/>
        <v>0</v>
      </c>
      <c r="P6" s="29">
        <f t="shared" si="2"/>
        <v>0</v>
      </c>
      <c r="Q6" s="29">
        <f t="shared" si="2"/>
        <v>0</v>
      </c>
    </row>
    <row r="7" spans="1:17" x14ac:dyDescent="0.2">
      <c r="A7" s="31" t="s">
        <v>54</v>
      </c>
      <c r="B7" s="29">
        <f t="shared" si="1"/>
        <v>12</v>
      </c>
      <c r="C7" s="35">
        <v>0</v>
      </c>
      <c r="D7" s="35">
        <v>0</v>
      </c>
      <c r="E7" s="35">
        <v>0</v>
      </c>
      <c r="F7" s="35">
        <v>0</v>
      </c>
      <c r="G7" s="35">
        <v>0</v>
      </c>
      <c r="H7" s="35">
        <v>2</v>
      </c>
      <c r="I7" s="35">
        <v>9</v>
      </c>
      <c r="J7" s="35">
        <v>0</v>
      </c>
      <c r="K7" s="35">
        <v>0</v>
      </c>
      <c r="L7" s="35">
        <v>1</v>
      </c>
      <c r="M7" s="35">
        <v>0</v>
      </c>
      <c r="N7" s="35">
        <v>0</v>
      </c>
      <c r="O7" s="35">
        <v>0</v>
      </c>
      <c r="P7" s="35">
        <v>0</v>
      </c>
      <c r="Q7" s="35">
        <v>0</v>
      </c>
    </row>
    <row r="8" spans="1:17" x14ac:dyDescent="0.2">
      <c r="A8" s="31" t="s">
        <v>53</v>
      </c>
      <c r="B8" s="29">
        <f t="shared" si="1"/>
        <v>10</v>
      </c>
      <c r="C8" s="35">
        <v>0</v>
      </c>
      <c r="D8" s="35">
        <v>0</v>
      </c>
      <c r="E8" s="35">
        <v>0</v>
      </c>
      <c r="F8" s="35">
        <v>0</v>
      </c>
      <c r="G8" s="35">
        <v>0</v>
      </c>
      <c r="H8" s="35">
        <v>1</v>
      </c>
      <c r="I8" s="35">
        <v>8</v>
      </c>
      <c r="J8" s="35">
        <v>0</v>
      </c>
      <c r="K8" s="35">
        <v>0</v>
      </c>
      <c r="L8" s="35">
        <v>1</v>
      </c>
      <c r="M8" s="35">
        <v>0</v>
      </c>
      <c r="N8" s="35">
        <v>0</v>
      </c>
      <c r="O8" s="35">
        <v>0</v>
      </c>
      <c r="P8" s="35">
        <v>0</v>
      </c>
      <c r="Q8" s="35">
        <v>0</v>
      </c>
    </row>
    <row r="9" spans="1:17" x14ac:dyDescent="0.2">
      <c r="A9" s="31" t="s">
        <v>22</v>
      </c>
      <c r="B9" s="29">
        <f t="shared" si="1"/>
        <v>2</v>
      </c>
      <c r="C9" s="35">
        <v>0</v>
      </c>
      <c r="D9" s="35">
        <v>0</v>
      </c>
      <c r="E9" s="35">
        <v>0</v>
      </c>
      <c r="F9" s="35">
        <v>0</v>
      </c>
      <c r="G9" s="35">
        <v>0</v>
      </c>
      <c r="H9" s="35">
        <v>1</v>
      </c>
      <c r="I9" s="35">
        <v>1</v>
      </c>
      <c r="J9" s="35">
        <v>0</v>
      </c>
      <c r="K9" s="35">
        <v>0</v>
      </c>
      <c r="L9" s="35">
        <v>0</v>
      </c>
      <c r="M9" s="35">
        <v>0</v>
      </c>
      <c r="N9" s="35">
        <v>0</v>
      </c>
      <c r="O9" s="35">
        <v>0</v>
      </c>
      <c r="P9" s="35">
        <v>0</v>
      </c>
      <c r="Q9" s="35">
        <v>0</v>
      </c>
    </row>
    <row r="10" spans="1:17" s="23" customFormat="1" x14ac:dyDescent="0.2">
      <c r="A10" s="28" t="s">
        <v>23</v>
      </c>
      <c r="B10" s="29">
        <f t="shared" si="1"/>
        <v>3</v>
      </c>
      <c r="C10" s="29">
        <f>SUM(C11)</f>
        <v>0</v>
      </c>
      <c r="D10" s="29">
        <f t="shared" ref="D10:Q10" si="3">SUM(D11)</f>
        <v>0</v>
      </c>
      <c r="E10" s="29">
        <f t="shared" si="3"/>
        <v>0</v>
      </c>
      <c r="F10" s="29">
        <f t="shared" si="3"/>
        <v>0</v>
      </c>
      <c r="G10" s="29">
        <f t="shared" si="3"/>
        <v>0</v>
      </c>
      <c r="H10" s="29">
        <f t="shared" si="3"/>
        <v>0</v>
      </c>
      <c r="I10" s="29">
        <f t="shared" si="3"/>
        <v>3</v>
      </c>
      <c r="J10" s="29">
        <f t="shared" si="3"/>
        <v>0</v>
      </c>
      <c r="K10" s="29">
        <f t="shared" si="3"/>
        <v>0</v>
      </c>
      <c r="L10" s="29">
        <f t="shared" si="3"/>
        <v>0</v>
      </c>
      <c r="M10" s="29">
        <f t="shared" si="3"/>
        <v>0</v>
      </c>
      <c r="N10" s="29">
        <f t="shared" si="3"/>
        <v>0</v>
      </c>
      <c r="O10" s="29">
        <f t="shared" si="3"/>
        <v>0</v>
      </c>
      <c r="P10" s="29">
        <f t="shared" si="3"/>
        <v>0</v>
      </c>
      <c r="Q10" s="29">
        <f t="shared" si="3"/>
        <v>0</v>
      </c>
    </row>
    <row r="11" spans="1:17" x14ac:dyDescent="0.2">
      <c r="A11" s="31" t="s">
        <v>24</v>
      </c>
      <c r="B11" s="29">
        <f t="shared" si="1"/>
        <v>3</v>
      </c>
      <c r="C11" s="35">
        <v>0</v>
      </c>
      <c r="D11" s="35">
        <v>0</v>
      </c>
      <c r="E11" s="35">
        <v>0</v>
      </c>
      <c r="F11" s="35">
        <v>0</v>
      </c>
      <c r="G11" s="35">
        <v>0</v>
      </c>
      <c r="H11" s="35">
        <v>0</v>
      </c>
      <c r="I11" s="35">
        <v>3</v>
      </c>
      <c r="J11" s="35">
        <v>0</v>
      </c>
      <c r="K11" s="35">
        <v>0</v>
      </c>
      <c r="L11" s="35">
        <v>0</v>
      </c>
      <c r="M11" s="35">
        <v>0</v>
      </c>
      <c r="N11" s="35">
        <v>0</v>
      </c>
      <c r="O11" s="35">
        <v>0</v>
      </c>
      <c r="P11" s="35">
        <v>0</v>
      </c>
      <c r="Q11" s="35">
        <v>0</v>
      </c>
    </row>
    <row r="12" spans="1:17" s="23" customFormat="1" x14ac:dyDescent="0.2">
      <c r="A12" s="28" t="s">
        <v>69</v>
      </c>
      <c r="B12" s="29">
        <f t="shared" si="1"/>
        <v>55</v>
      </c>
      <c r="C12" s="29">
        <f>SUM(C13:C14)</f>
        <v>0</v>
      </c>
      <c r="D12" s="29">
        <f t="shared" ref="D12:Q12" si="4">SUM(D13:D14)</f>
        <v>0</v>
      </c>
      <c r="E12" s="29">
        <f t="shared" si="4"/>
        <v>0</v>
      </c>
      <c r="F12" s="29">
        <f t="shared" si="4"/>
        <v>0</v>
      </c>
      <c r="G12" s="29">
        <f t="shared" si="4"/>
        <v>0</v>
      </c>
      <c r="H12" s="29">
        <f t="shared" si="4"/>
        <v>8</v>
      </c>
      <c r="I12" s="29">
        <f t="shared" si="4"/>
        <v>40</v>
      </c>
      <c r="J12" s="29">
        <f t="shared" si="4"/>
        <v>0</v>
      </c>
      <c r="K12" s="29">
        <f t="shared" si="4"/>
        <v>0</v>
      </c>
      <c r="L12" s="29">
        <f t="shared" si="4"/>
        <v>5</v>
      </c>
      <c r="M12" s="29">
        <f t="shared" si="4"/>
        <v>1</v>
      </c>
      <c r="N12" s="29">
        <f t="shared" si="4"/>
        <v>1</v>
      </c>
      <c r="O12" s="29">
        <f t="shared" si="4"/>
        <v>0</v>
      </c>
      <c r="P12" s="29">
        <f t="shared" si="4"/>
        <v>0</v>
      </c>
      <c r="Q12" s="29">
        <f t="shared" si="4"/>
        <v>0</v>
      </c>
    </row>
    <row r="13" spans="1:17" x14ac:dyDescent="0.2">
      <c r="A13" s="31" t="s">
        <v>56</v>
      </c>
      <c r="B13" s="29">
        <f t="shared" si="1"/>
        <v>40</v>
      </c>
      <c r="C13" s="35">
        <v>0</v>
      </c>
      <c r="D13" s="35">
        <v>0</v>
      </c>
      <c r="E13" s="35">
        <v>0</v>
      </c>
      <c r="F13" s="35">
        <v>0</v>
      </c>
      <c r="G13" s="35">
        <v>0</v>
      </c>
      <c r="H13" s="35">
        <v>4</v>
      </c>
      <c r="I13" s="35">
        <v>29</v>
      </c>
      <c r="J13" s="35">
        <v>0</v>
      </c>
      <c r="K13" s="35">
        <v>0</v>
      </c>
      <c r="L13" s="35">
        <v>5</v>
      </c>
      <c r="M13" s="35">
        <v>1</v>
      </c>
      <c r="N13" s="35">
        <v>1</v>
      </c>
      <c r="O13" s="35">
        <v>0</v>
      </c>
      <c r="P13" s="35">
        <v>0</v>
      </c>
      <c r="Q13" s="35">
        <v>0</v>
      </c>
    </row>
    <row r="14" spans="1:17" x14ac:dyDescent="0.2">
      <c r="A14" s="31" t="s">
        <v>25</v>
      </c>
      <c r="B14" s="29">
        <f t="shared" si="1"/>
        <v>15</v>
      </c>
      <c r="C14" s="35">
        <v>0</v>
      </c>
      <c r="D14" s="35">
        <v>0</v>
      </c>
      <c r="E14" s="35">
        <v>0</v>
      </c>
      <c r="F14" s="35">
        <v>0</v>
      </c>
      <c r="G14" s="35">
        <v>0</v>
      </c>
      <c r="H14" s="35">
        <v>4</v>
      </c>
      <c r="I14" s="35">
        <v>11</v>
      </c>
      <c r="J14" s="35">
        <v>0</v>
      </c>
      <c r="K14" s="35">
        <v>0</v>
      </c>
      <c r="L14" s="35">
        <v>0</v>
      </c>
      <c r="M14" s="35">
        <v>0</v>
      </c>
      <c r="N14" s="35">
        <v>0</v>
      </c>
      <c r="O14" s="35">
        <v>0</v>
      </c>
      <c r="P14" s="35">
        <v>0</v>
      </c>
      <c r="Q14" s="35">
        <v>0</v>
      </c>
    </row>
    <row r="15" spans="1:17" s="23" customFormat="1" x14ac:dyDescent="0.2">
      <c r="A15" s="28" t="s">
        <v>26</v>
      </c>
      <c r="B15" s="29">
        <f t="shared" si="1"/>
        <v>32</v>
      </c>
      <c r="C15" s="29">
        <f>SUM(C16:C17)</f>
        <v>0</v>
      </c>
      <c r="D15" s="29">
        <f t="shared" ref="D15:Q15" si="5">SUM(D16:D17)</f>
        <v>0</v>
      </c>
      <c r="E15" s="29">
        <f t="shared" si="5"/>
        <v>0</v>
      </c>
      <c r="F15" s="29">
        <f t="shared" si="5"/>
        <v>0</v>
      </c>
      <c r="G15" s="29">
        <f t="shared" si="5"/>
        <v>0</v>
      </c>
      <c r="H15" s="29">
        <f t="shared" si="5"/>
        <v>4</v>
      </c>
      <c r="I15" s="29">
        <f t="shared" si="5"/>
        <v>28</v>
      </c>
      <c r="J15" s="29">
        <f t="shared" si="5"/>
        <v>0</v>
      </c>
      <c r="K15" s="29">
        <f t="shared" si="5"/>
        <v>0</v>
      </c>
      <c r="L15" s="29">
        <f t="shared" si="5"/>
        <v>0</v>
      </c>
      <c r="M15" s="29">
        <f t="shared" si="5"/>
        <v>0</v>
      </c>
      <c r="N15" s="29">
        <f t="shared" si="5"/>
        <v>0</v>
      </c>
      <c r="O15" s="29">
        <f t="shared" si="5"/>
        <v>0</v>
      </c>
      <c r="P15" s="29">
        <f t="shared" si="5"/>
        <v>0</v>
      </c>
      <c r="Q15" s="29">
        <f t="shared" si="5"/>
        <v>0</v>
      </c>
    </row>
    <row r="16" spans="1:17" x14ac:dyDescent="0.2">
      <c r="A16" s="31" t="s">
        <v>27</v>
      </c>
      <c r="B16" s="29">
        <f t="shared" si="1"/>
        <v>8</v>
      </c>
      <c r="C16" s="35">
        <v>0</v>
      </c>
      <c r="D16" s="35">
        <v>0</v>
      </c>
      <c r="E16" s="35">
        <v>0</v>
      </c>
      <c r="F16" s="35">
        <v>0</v>
      </c>
      <c r="G16" s="35">
        <v>0</v>
      </c>
      <c r="H16" s="35"/>
      <c r="I16" s="35">
        <v>8</v>
      </c>
      <c r="J16" s="35">
        <v>0</v>
      </c>
      <c r="K16" s="35">
        <v>0</v>
      </c>
      <c r="L16" s="35">
        <v>0</v>
      </c>
      <c r="M16" s="35">
        <v>0</v>
      </c>
      <c r="N16" s="35">
        <v>0</v>
      </c>
      <c r="O16" s="35">
        <v>0</v>
      </c>
      <c r="P16" s="35">
        <v>0</v>
      </c>
      <c r="Q16" s="35">
        <v>0</v>
      </c>
    </row>
    <row r="17" spans="1:17" x14ac:dyDescent="0.2">
      <c r="A17" s="31" t="s">
        <v>28</v>
      </c>
      <c r="B17" s="29">
        <f t="shared" si="1"/>
        <v>24</v>
      </c>
      <c r="C17" s="35">
        <v>0</v>
      </c>
      <c r="D17" s="35">
        <v>0</v>
      </c>
      <c r="E17" s="35">
        <v>0</v>
      </c>
      <c r="F17" s="35">
        <v>0</v>
      </c>
      <c r="G17" s="35">
        <v>0</v>
      </c>
      <c r="H17" s="35">
        <v>4</v>
      </c>
      <c r="I17" s="35">
        <v>20</v>
      </c>
      <c r="J17" s="35">
        <v>0</v>
      </c>
      <c r="K17" s="35">
        <v>0</v>
      </c>
      <c r="L17" s="35">
        <v>0</v>
      </c>
      <c r="M17" s="35">
        <v>0</v>
      </c>
      <c r="N17" s="35">
        <v>0</v>
      </c>
      <c r="O17" s="35">
        <v>0</v>
      </c>
      <c r="P17" s="35">
        <v>0</v>
      </c>
      <c r="Q17" s="35">
        <v>0</v>
      </c>
    </row>
    <row r="18" spans="1:17" s="23" customFormat="1" x14ac:dyDescent="0.2">
      <c r="A18" s="28" t="s">
        <v>29</v>
      </c>
      <c r="B18" s="29">
        <f t="shared" si="1"/>
        <v>127</v>
      </c>
      <c r="C18" s="29">
        <f>SUM(C19:C22)</f>
        <v>1</v>
      </c>
      <c r="D18" s="29">
        <f t="shared" ref="D18:Q18" si="6">SUM(D19:D22)</f>
        <v>1</v>
      </c>
      <c r="E18" s="29">
        <f t="shared" si="6"/>
        <v>2</v>
      </c>
      <c r="F18" s="29">
        <f t="shared" si="6"/>
        <v>0</v>
      </c>
      <c r="G18" s="29">
        <f t="shared" si="6"/>
        <v>2</v>
      </c>
      <c r="H18" s="29">
        <f t="shared" si="6"/>
        <v>13</v>
      </c>
      <c r="I18" s="29">
        <f t="shared" si="6"/>
        <v>83</v>
      </c>
      <c r="J18" s="29">
        <f t="shared" si="6"/>
        <v>1</v>
      </c>
      <c r="K18" s="29">
        <f t="shared" si="6"/>
        <v>3</v>
      </c>
      <c r="L18" s="29">
        <f t="shared" si="6"/>
        <v>4</v>
      </c>
      <c r="M18" s="29">
        <f t="shared" si="6"/>
        <v>13</v>
      </c>
      <c r="N18" s="29">
        <f t="shared" si="6"/>
        <v>3</v>
      </c>
      <c r="O18" s="29">
        <f t="shared" si="6"/>
        <v>1</v>
      </c>
      <c r="P18" s="29">
        <f t="shared" si="6"/>
        <v>0</v>
      </c>
      <c r="Q18" s="29">
        <f t="shared" si="6"/>
        <v>0</v>
      </c>
    </row>
    <row r="19" spans="1:17" x14ac:dyDescent="0.2">
      <c r="A19" s="31" t="s">
        <v>30</v>
      </c>
      <c r="B19" s="29">
        <f t="shared" si="1"/>
        <v>80</v>
      </c>
      <c r="C19" s="35">
        <v>0</v>
      </c>
      <c r="D19" s="35">
        <v>0</v>
      </c>
      <c r="E19" s="35">
        <v>0</v>
      </c>
      <c r="F19" s="35">
        <v>0</v>
      </c>
      <c r="G19" s="35">
        <v>2</v>
      </c>
      <c r="H19" s="35">
        <v>6</v>
      </c>
      <c r="I19" s="35">
        <v>56</v>
      </c>
      <c r="J19" s="35">
        <v>0</v>
      </c>
      <c r="K19" s="35">
        <v>3</v>
      </c>
      <c r="L19" s="35">
        <v>0</v>
      </c>
      <c r="M19" s="35">
        <v>12</v>
      </c>
      <c r="N19" s="35">
        <v>1</v>
      </c>
      <c r="O19" s="35">
        <v>0</v>
      </c>
      <c r="P19" s="35">
        <v>0</v>
      </c>
      <c r="Q19" s="35">
        <v>0</v>
      </c>
    </row>
    <row r="20" spans="1:17" x14ac:dyDescent="0.2">
      <c r="A20" s="31" t="s">
        <v>58</v>
      </c>
      <c r="B20" s="29">
        <f t="shared" si="1"/>
        <v>3</v>
      </c>
      <c r="C20" s="35">
        <v>0</v>
      </c>
      <c r="D20" s="35">
        <v>0</v>
      </c>
      <c r="E20" s="35">
        <v>0</v>
      </c>
      <c r="F20" s="35">
        <v>0</v>
      </c>
      <c r="G20" s="35">
        <v>0</v>
      </c>
      <c r="H20" s="35">
        <v>0</v>
      </c>
      <c r="I20" s="35">
        <v>3</v>
      </c>
      <c r="J20" s="35">
        <v>0</v>
      </c>
      <c r="K20" s="35">
        <v>0</v>
      </c>
      <c r="L20" s="35">
        <v>0</v>
      </c>
      <c r="M20" s="35">
        <v>0</v>
      </c>
      <c r="N20" s="35">
        <v>0</v>
      </c>
      <c r="O20" s="35">
        <v>0</v>
      </c>
      <c r="P20" s="35">
        <v>0</v>
      </c>
      <c r="Q20" s="35">
        <v>0</v>
      </c>
    </row>
    <row r="21" spans="1:17" x14ac:dyDescent="0.2">
      <c r="A21" s="31" t="s">
        <v>57</v>
      </c>
      <c r="B21" s="29">
        <f t="shared" si="1"/>
        <v>40</v>
      </c>
      <c r="C21" s="35">
        <v>1</v>
      </c>
      <c r="D21" s="35">
        <v>1</v>
      </c>
      <c r="E21" s="35">
        <v>2</v>
      </c>
      <c r="F21" s="35">
        <v>0</v>
      </c>
      <c r="G21" s="35">
        <v>0</v>
      </c>
      <c r="H21" s="35">
        <v>7</v>
      </c>
      <c r="I21" s="35">
        <v>20</v>
      </c>
      <c r="J21" s="35">
        <v>1</v>
      </c>
      <c r="K21" s="35">
        <v>0</v>
      </c>
      <c r="L21" s="35">
        <v>4</v>
      </c>
      <c r="M21" s="35">
        <v>1</v>
      </c>
      <c r="N21" s="35">
        <v>2</v>
      </c>
      <c r="O21" s="35">
        <v>1</v>
      </c>
      <c r="P21" s="35">
        <v>0</v>
      </c>
      <c r="Q21" s="35">
        <v>0</v>
      </c>
    </row>
    <row r="22" spans="1:17" x14ac:dyDescent="0.2">
      <c r="A22" s="31" t="s">
        <v>59</v>
      </c>
      <c r="B22" s="29">
        <f t="shared" si="1"/>
        <v>4</v>
      </c>
      <c r="C22" s="35">
        <v>0</v>
      </c>
      <c r="D22" s="35">
        <v>0</v>
      </c>
      <c r="E22" s="35">
        <v>0</v>
      </c>
      <c r="F22" s="35">
        <v>0</v>
      </c>
      <c r="G22" s="35">
        <v>0</v>
      </c>
      <c r="H22" s="35">
        <v>0</v>
      </c>
      <c r="I22" s="35">
        <v>4</v>
      </c>
      <c r="J22" s="35">
        <v>0</v>
      </c>
      <c r="K22" s="35">
        <v>0</v>
      </c>
      <c r="L22" s="35">
        <v>0</v>
      </c>
      <c r="M22" s="35">
        <v>0</v>
      </c>
      <c r="N22" s="35">
        <v>0</v>
      </c>
      <c r="O22" s="35">
        <v>0</v>
      </c>
      <c r="P22" s="35">
        <v>0</v>
      </c>
      <c r="Q22" s="35">
        <v>0</v>
      </c>
    </row>
    <row r="23" spans="1:17" s="23" customFormat="1" x14ac:dyDescent="0.2">
      <c r="A23" s="28" t="s">
        <v>70</v>
      </c>
      <c r="B23" s="29">
        <f t="shared" si="1"/>
        <v>61</v>
      </c>
      <c r="C23" s="29">
        <f>SUM(C24:C25)</f>
        <v>2</v>
      </c>
      <c r="D23" s="29">
        <f t="shared" ref="D23:Q23" si="7">SUM(D24:D25)</f>
        <v>1</v>
      </c>
      <c r="E23" s="29">
        <f t="shared" si="7"/>
        <v>0</v>
      </c>
      <c r="F23" s="29">
        <f t="shared" si="7"/>
        <v>0</v>
      </c>
      <c r="G23" s="29">
        <f t="shared" si="7"/>
        <v>2</v>
      </c>
      <c r="H23" s="29">
        <f t="shared" si="7"/>
        <v>8</v>
      </c>
      <c r="I23" s="29">
        <f t="shared" si="7"/>
        <v>35</v>
      </c>
      <c r="J23" s="29">
        <f t="shared" si="7"/>
        <v>1</v>
      </c>
      <c r="K23" s="29">
        <f t="shared" si="7"/>
        <v>1</v>
      </c>
      <c r="L23" s="29">
        <f t="shared" si="7"/>
        <v>6</v>
      </c>
      <c r="M23" s="29">
        <f t="shared" si="7"/>
        <v>1</v>
      </c>
      <c r="N23" s="29">
        <f t="shared" si="7"/>
        <v>2</v>
      </c>
      <c r="O23" s="29">
        <f t="shared" si="7"/>
        <v>1</v>
      </c>
      <c r="P23" s="29">
        <f t="shared" si="7"/>
        <v>0</v>
      </c>
      <c r="Q23" s="29">
        <f t="shared" si="7"/>
        <v>1</v>
      </c>
    </row>
    <row r="24" spans="1:17" x14ac:dyDescent="0.2">
      <c r="A24" s="31" t="s">
        <v>31</v>
      </c>
      <c r="B24" s="29">
        <f t="shared" si="1"/>
        <v>14</v>
      </c>
      <c r="C24" s="35">
        <v>1</v>
      </c>
      <c r="D24" s="35">
        <v>1</v>
      </c>
      <c r="E24" s="35">
        <v>0</v>
      </c>
      <c r="F24" s="35">
        <v>0</v>
      </c>
      <c r="G24" s="35">
        <v>1</v>
      </c>
      <c r="H24" s="35">
        <v>1</v>
      </c>
      <c r="I24" s="35">
        <v>4</v>
      </c>
      <c r="J24" s="35">
        <v>1</v>
      </c>
      <c r="K24" s="35">
        <v>1</v>
      </c>
      <c r="L24" s="35">
        <v>1</v>
      </c>
      <c r="M24" s="35">
        <v>1</v>
      </c>
      <c r="N24" s="35">
        <v>0</v>
      </c>
      <c r="O24" s="35">
        <v>1</v>
      </c>
      <c r="P24" s="35">
        <v>0</v>
      </c>
      <c r="Q24" s="35">
        <v>1</v>
      </c>
    </row>
    <row r="25" spans="1:17" x14ac:dyDescent="0.2">
      <c r="A25" s="31" t="s">
        <v>32</v>
      </c>
      <c r="B25" s="29">
        <f t="shared" si="1"/>
        <v>47</v>
      </c>
      <c r="C25" s="35">
        <v>1</v>
      </c>
      <c r="D25" s="35">
        <v>0</v>
      </c>
      <c r="E25" s="35">
        <v>0</v>
      </c>
      <c r="F25" s="35">
        <v>0</v>
      </c>
      <c r="G25" s="35">
        <v>1</v>
      </c>
      <c r="H25" s="35">
        <v>7</v>
      </c>
      <c r="I25" s="35">
        <v>31</v>
      </c>
      <c r="J25" s="35">
        <v>0</v>
      </c>
      <c r="K25" s="35">
        <v>0</v>
      </c>
      <c r="L25" s="35">
        <v>5</v>
      </c>
      <c r="M25" s="35">
        <v>0</v>
      </c>
      <c r="N25" s="35">
        <v>2</v>
      </c>
      <c r="O25" s="35">
        <v>0</v>
      </c>
      <c r="P25" s="35">
        <v>0</v>
      </c>
      <c r="Q25" s="35">
        <v>0</v>
      </c>
    </row>
    <row r="26" spans="1:17" s="23" customFormat="1" x14ac:dyDescent="0.2">
      <c r="A26" s="28" t="s">
        <v>33</v>
      </c>
      <c r="B26" s="29">
        <f t="shared" si="1"/>
        <v>74</v>
      </c>
      <c r="C26" s="29">
        <f>SUM(C27:C32)</f>
        <v>0</v>
      </c>
      <c r="D26" s="29">
        <f t="shared" ref="D26:Q26" si="8">SUM(D27:D32)</f>
        <v>0</v>
      </c>
      <c r="E26" s="29">
        <f t="shared" si="8"/>
        <v>0</v>
      </c>
      <c r="F26" s="29">
        <f t="shared" si="8"/>
        <v>0</v>
      </c>
      <c r="G26" s="29">
        <f t="shared" si="8"/>
        <v>0</v>
      </c>
      <c r="H26" s="29">
        <f t="shared" si="8"/>
        <v>8</v>
      </c>
      <c r="I26" s="29">
        <f t="shared" si="8"/>
        <v>59</v>
      </c>
      <c r="J26" s="29">
        <f t="shared" si="8"/>
        <v>0</v>
      </c>
      <c r="K26" s="29">
        <f t="shared" si="8"/>
        <v>2</v>
      </c>
      <c r="L26" s="29">
        <f t="shared" si="8"/>
        <v>4</v>
      </c>
      <c r="M26" s="29">
        <f t="shared" si="8"/>
        <v>1</v>
      </c>
      <c r="N26" s="29">
        <f t="shared" si="8"/>
        <v>0</v>
      </c>
      <c r="O26" s="29">
        <f t="shared" si="8"/>
        <v>0</v>
      </c>
      <c r="P26" s="29">
        <f t="shared" si="8"/>
        <v>0</v>
      </c>
      <c r="Q26" s="29">
        <f t="shared" si="8"/>
        <v>0</v>
      </c>
    </row>
    <row r="27" spans="1:17" x14ac:dyDescent="0.2">
      <c r="A27" s="31" t="s">
        <v>60</v>
      </c>
      <c r="B27" s="29">
        <f t="shared" si="1"/>
        <v>10</v>
      </c>
      <c r="C27" s="35">
        <v>0</v>
      </c>
      <c r="D27" s="35">
        <v>0</v>
      </c>
      <c r="E27" s="35">
        <v>0</v>
      </c>
      <c r="F27" s="35">
        <v>0</v>
      </c>
      <c r="G27" s="35">
        <v>0</v>
      </c>
      <c r="H27" s="35">
        <v>2</v>
      </c>
      <c r="I27" s="35">
        <v>8</v>
      </c>
      <c r="J27" s="35">
        <v>0</v>
      </c>
      <c r="K27" s="35">
        <v>0</v>
      </c>
      <c r="L27" s="35">
        <v>0</v>
      </c>
      <c r="M27" s="35">
        <v>0</v>
      </c>
      <c r="N27" s="29">
        <v>0</v>
      </c>
      <c r="O27" s="35">
        <v>0</v>
      </c>
      <c r="P27" s="35">
        <v>0</v>
      </c>
      <c r="Q27" s="35">
        <v>0</v>
      </c>
    </row>
    <row r="28" spans="1:17" x14ac:dyDescent="0.2">
      <c r="A28" s="31" t="s">
        <v>34</v>
      </c>
      <c r="B28" s="29">
        <f t="shared" si="1"/>
        <v>14</v>
      </c>
      <c r="C28" s="35">
        <v>0</v>
      </c>
      <c r="D28" s="35">
        <v>0</v>
      </c>
      <c r="E28" s="35">
        <v>0</v>
      </c>
      <c r="F28" s="35">
        <v>0</v>
      </c>
      <c r="G28" s="35">
        <v>0</v>
      </c>
      <c r="H28" s="35">
        <v>3</v>
      </c>
      <c r="I28" s="35">
        <v>11</v>
      </c>
      <c r="J28" s="35">
        <v>0</v>
      </c>
      <c r="K28" s="35">
        <v>0</v>
      </c>
      <c r="L28" s="35">
        <v>0</v>
      </c>
      <c r="M28" s="35">
        <v>0</v>
      </c>
      <c r="N28" s="29">
        <v>0</v>
      </c>
      <c r="O28" s="35">
        <v>0</v>
      </c>
      <c r="P28" s="35">
        <v>0</v>
      </c>
      <c r="Q28" s="35">
        <v>0</v>
      </c>
    </row>
    <row r="29" spans="1:17" x14ac:dyDescent="0.2">
      <c r="A29" s="31" t="s">
        <v>61</v>
      </c>
      <c r="B29" s="29">
        <f t="shared" si="1"/>
        <v>25</v>
      </c>
      <c r="C29" s="35">
        <v>0</v>
      </c>
      <c r="D29" s="35">
        <v>0</v>
      </c>
      <c r="E29" s="35">
        <v>0</v>
      </c>
      <c r="F29" s="35">
        <v>0</v>
      </c>
      <c r="G29" s="35">
        <v>0</v>
      </c>
      <c r="H29" s="35">
        <v>2</v>
      </c>
      <c r="I29" s="35">
        <v>19</v>
      </c>
      <c r="J29" s="35">
        <v>0</v>
      </c>
      <c r="K29" s="35">
        <v>1</v>
      </c>
      <c r="L29" s="35">
        <v>2</v>
      </c>
      <c r="M29" s="35">
        <v>1</v>
      </c>
      <c r="N29" s="29">
        <v>0</v>
      </c>
      <c r="O29" s="35">
        <v>0</v>
      </c>
      <c r="P29" s="35">
        <v>0</v>
      </c>
      <c r="Q29" s="35">
        <v>0</v>
      </c>
    </row>
    <row r="30" spans="1:17" x14ac:dyDescent="0.2">
      <c r="A30" s="31" t="s">
        <v>63</v>
      </c>
      <c r="B30" s="29">
        <f t="shared" si="1"/>
        <v>1</v>
      </c>
      <c r="C30" s="35">
        <v>0</v>
      </c>
      <c r="D30" s="35">
        <v>0</v>
      </c>
      <c r="E30" s="35">
        <v>0</v>
      </c>
      <c r="F30" s="35">
        <v>0</v>
      </c>
      <c r="G30" s="35">
        <v>0</v>
      </c>
      <c r="H30" s="35">
        <v>0</v>
      </c>
      <c r="I30" s="35">
        <v>1</v>
      </c>
      <c r="J30" s="35">
        <v>0</v>
      </c>
      <c r="K30" s="35">
        <v>0</v>
      </c>
      <c r="L30" s="35">
        <v>0</v>
      </c>
      <c r="M30" s="35">
        <v>0</v>
      </c>
      <c r="N30" s="29">
        <v>0</v>
      </c>
      <c r="O30" s="35">
        <v>0</v>
      </c>
      <c r="P30" s="35">
        <v>0</v>
      </c>
      <c r="Q30" s="35">
        <v>0</v>
      </c>
    </row>
    <row r="31" spans="1:17" x14ac:dyDescent="0.2">
      <c r="A31" s="31" t="s">
        <v>35</v>
      </c>
      <c r="B31" s="29">
        <f t="shared" si="1"/>
        <v>2</v>
      </c>
      <c r="C31" s="35">
        <v>0</v>
      </c>
      <c r="D31" s="35">
        <v>0</v>
      </c>
      <c r="E31" s="35">
        <v>0</v>
      </c>
      <c r="F31" s="35">
        <v>0</v>
      </c>
      <c r="G31" s="35">
        <v>0</v>
      </c>
      <c r="H31" s="35">
        <v>0</v>
      </c>
      <c r="I31" s="35">
        <v>2</v>
      </c>
      <c r="J31" s="35">
        <v>0</v>
      </c>
      <c r="K31" s="35">
        <v>0</v>
      </c>
      <c r="L31" s="35">
        <v>0</v>
      </c>
      <c r="M31" s="35">
        <v>0</v>
      </c>
      <c r="N31" s="29">
        <v>0</v>
      </c>
      <c r="O31" s="35">
        <v>0</v>
      </c>
      <c r="P31" s="35">
        <v>0</v>
      </c>
      <c r="Q31" s="35">
        <v>0</v>
      </c>
    </row>
    <row r="32" spans="1:17" x14ac:dyDescent="0.2">
      <c r="A32" s="31" t="s">
        <v>62</v>
      </c>
      <c r="B32" s="29">
        <f t="shared" si="1"/>
        <v>22</v>
      </c>
      <c r="C32" s="35">
        <v>0</v>
      </c>
      <c r="D32" s="35">
        <v>0</v>
      </c>
      <c r="E32" s="35">
        <v>0</v>
      </c>
      <c r="F32" s="35">
        <v>0</v>
      </c>
      <c r="G32" s="35">
        <v>0</v>
      </c>
      <c r="H32" s="35">
        <v>1</v>
      </c>
      <c r="I32" s="35">
        <v>18</v>
      </c>
      <c r="J32" s="35">
        <v>0</v>
      </c>
      <c r="K32" s="35">
        <v>1</v>
      </c>
      <c r="L32" s="35">
        <v>2</v>
      </c>
      <c r="M32" s="35">
        <v>0</v>
      </c>
      <c r="N32" s="29">
        <v>0</v>
      </c>
      <c r="O32" s="35">
        <v>0</v>
      </c>
      <c r="P32" s="35">
        <v>0</v>
      </c>
      <c r="Q32" s="35">
        <v>0</v>
      </c>
    </row>
    <row r="33" spans="1:18" s="23" customFormat="1" x14ac:dyDescent="0.2">
      <c r="A33" s="28" t="s">
        <v>64</v>
      </c>
      <c r="B33" s="29">
        <f t="shared" si="1"/>
        <v>370</v>
      </c>
      <c r="C33" s="29">
        <f>SUM(C34:C38)</f>
        <v>5</v>
      </c>
      <c r="D33" s="29">
        <f>SUM(D34:D38)</f>
        <v>6</v>
      </c>
      <c r="E33" s="29">
        <f t="shared" ref="E33:Q33" si="9">SUM(E34:E38)</f>
        <v>10</v>
      </c>
      <c r="F33" s="29">
        <f t="shared" si="9"/>
        <v>3</v>
      </c>
      <c r="G33" s="29">
        <f t="shared" si="9"/>
        <v>13</v>
      </c>
      <c r="H33" s="29">
        <f t="shared" si="9"/>
        <v>48</v>
      </c>
      <c r="I33" s="29">
        <f t="shared" si="9"/>
        <v>209</v>
      </c>
      <c r="J33" s="29">
        <f t="shared" si="9"/>
        <v>5</v>
      </c>
      <c r="K33" s="29">
        <f t="shared" si="9"/>
        <v>8</v>
      </c>
      <c r="L33" s="29">
        <f t="shared" si="9"/>
        <v>36</v>
      </c>
      <c r="M33" s="29">
        <f t="shared" si="9"/>
        <v>11</v>
      </c>
      <c r="N33" s="29">
        <f t="shared" si="9"/>
        <v>3</v>
      </c>
      <c r="O33" s="29">
        <f t="shared" si="9"/>
        <v>11</v>
      </c>
      <c r="P33" s="29">
        <f t="shared" si="9"/>
        <v>0</v>
      </c>
      <c r="Q33" s="29">
        <f t="shared" si="9"/>
        <v>2</v>
      </c>
    </row>
    <row r="34" spans="1:18" x14ac:dyDescent="0.2">
      <c r="A34" s="31" t="s">
        <v>36</v>
      </c>
      <c r="B34" s="29">
        <f t="shared" si="1"/>
        <v>65</v>
      </c>
      <c r="C34" s="35">
        <v>1</v>
      </c>
      <c r="D34" s="35">
        <v>2</v>
      </c>
      <c r="E34" s="35">
        <v>1</v>
      </c>
      <c r="F34" s="35">
        <v>0</v>
      </c>
      <c r="G34" s="35">
        <v>3</v>
      </c>
      <c r="H34" s="35">
        <v>10</v>
      </c>
      <c r="I34" s="35">
        <v>31</v>
      </c>
      <c r="J34" s="35">
        <v>0</v>
      </c>
      <c r="K34" s="35">
        <v>1</v>
      </c>
      <c r="L34" s="35">
        <v>8</v>
      </c>
      <c r="M34" s="35">
        <v>3</v>
      </c>
      <c r="N34" s="35">
        <v>1</v>
      </c>
      <c r="O34" s="35">
        <v>3</v>
      </c>
      <c r="P34" s="35">
        <v>0</v>
      </c>
      <c r="Q34" s="35">
        <v>1</v>
      </c>
    </row>
    <row r="35" spans="1:18" x14ac:dyDescent="0.2">
      <c r="A35" s="31" t="s">
        <v>50</v>
      </c>
      <c r="B35" s="29">
        <f t="shared" si="1"/>
        <v>32</v>
      </c>
      <c r="C35" s="35">
        <v>1</v>
      </c>
      <c r="D35" s="35">
        <v>0</v>
      </c>
      <c r="E35" s="35">
        <v>2</v>
      </c>
      <c r="F35" s="35">
        <v>1</v>
      </c>
      <c r="G35" s="35">
        <v>0</v>
      </c>
      <c r="H35" s="35">
        <v>6</v>
      </c>
      <c r="I35" s="35">
        <v>15</v>
      </c>
      <c r="J35" s="35">
        <v>2</v>
      </c>
      <c r="K35" s="35">
        <v>1</v>
      </c>
      <c r="L35" s="35">
        <v>2</v>
      </c>
      <c r="M35" s="35">
        <v>1</v>
      </c>
      <c r="N35" s="29">
        <v>0</v>
      </c>
      <c r="O35" s="35">
        <v>1</v>
      </c>
      <c r="P35" s="35">
        <v>0</v>
      </c>
      <c r="Q35" s="35">
        <v>0</v>
      </c>
    </row>
    <row r="36" spans="1:18" x14ac:dyDescent="0.2">
      <c r="A36" s="31" t="s">
        <v>37</v>
      </c>
      <c r="B36" s="29">
        <f t="shared" si="1"/>
        <v>203</v>
      </c>
      <c r="C36" s="35">
        <v>3</v>
      </c>
      <c r="D36" s="35">
        <v>3</v>
      </c>
      <c r="E36" s="35">
        <v>7</v>
      </c>
      <c r="F36" s="35">
        <v>2</v>
      </c>
      <c r="G36" s="35">
        <v>9</v>
      </c>
      <c r="H36" s="35">
        <v>25</v>
      </c>
      <c r="I36" s="35">
        <v>107</v>
      </c>
      <c r="J36" s="35">
        <v>3</v>
      </c>
      <c r="K36" s="35">
        <v>6</v>
      </c>
      <c r="L36" s="35">
        <v>22</v>
      </c>
      <c r="M36" s="35">
        <v>6</v>
      </c>
      <c r="N36" s="35">
        <v>2</v>
      </c>
      <c r="O36" s="35">
        <v>7</v>
      </c>
      <c r="P36" s="35">
        <v>0</v>
      </c>
      <c r="Q36" s="35">
        <v>1</v>
      </c>
    </row>
    <row r="37" spans="1:18" x14ac:dyDescent="0.2">
      <c r="A37" s="31" t="s">
        <v>38</v>
      </c>
      <c r="B37" s="29">
        <f t="shared" si="1"/>
        <v>42</v>
      </c>
      <c r="C37" s="35">
        <v>0</v>
      </c>
      <c r="D37" s="35">
        <v>1</v>
      </c>
      <c r="E37" s="35">
        <v>0</v>
      </c>
      <c r="F37" s="35">
        <v>0</v>
      </c>
      <c r="G37" s="35">
        <v>1</v>
      </c>
      <c r="H37" s="35">
        <v>4</v>
      </c>
      <c r="I37" s="35">
        <v>34</v>
      </c>
      <c r="J37" s="35">
        <v>0</v>
      </c>
      <c r="K37" s="35">
        <v>0</v>
      </c>
      <c r="L37" s="35">
        <v>1</v>
      </c>
      <c r="M37" s="35">
        <v>1</v>
      </c>
      <c r="N37" s="29">
        <v>0</v>
      </c>
      <c r="O37" s="35">
        <v>0</v>
      </c>
      <c r="P37" s="35">
        <v>0</v>
      </c>
      <c r="Q37" s="35">
        <v>0</v>
      </c>
    </row>
    <row r="38" spans="1:18" x14ac:dyDescent="0.2">
      <c r="A38" s="31" t="s">
        <v>39</v>
      </c>
      <c r="B38" s="29">
        <f t="shared" si="1"/>
        <v>28</v>
      </c>
      <c r="C38" s="35">
        <v>0</v>
      </c>
      <c r="D38" s="35">
        <v>0</v>
      </c>
      <c r="E38" s="35">
        <v>0</v>
      </c>
      <c r="F38" s="35">
        <v>0</v>
      </c>
      <c r="G38" s="35">
        <v>0</v>
      </c>
      <c r="H38" s="35">
        <v>3</v>
      </c>
      <c r="I38" s="35">
        <v>22</v>
      </c>
      <c r="J38" s="35">
        <v>0</v>
      </c>
      <c r="K38" s="35">
        <v>0</v>
      </c>
      <c r="L38" s="35">
        <v>3</v>
      </c>
      <c r="M38" s="35">
        <v>0</v>
      </c>
      <c r="N38" s="29">
        <v>0</v>
      </c>
      <c r="O38" s="35">
        <v>0</v>
      </c>
      <c r="P38" s="35">
        <v>0</v>
      </c>
      <c r="Q38" s="35">
        <v>0</v>
      </c>
    </row>
    <row r="39" spans="1:18" s="23" customFormat="1" x14ac:dyDescent="0.2">
      <c r="A39" s="28" t="s">
        <v>65</v>
      </c>
      <c r="B39" s="29">
        <f t="shared" si="1"/>
        <v>21</v>
      </c>
      <c r="C39" s="29">
        <f>SUM(C40:C41)</f>
        <v>0</v>
      </c>
      <c r="D39" s="29">
        <f t="shared" ref="D39:Q39" si="10">SUM(D40:D41)</f>
        <v>0</v>
      </c>
      <c r="E39" s="29">
        <f t="shared" si="10"/>
        <v>0</v>
      </c>
      <c r="F39" s="29">
        <f t="shared" si="10"/>
        <v>0</v>
      </c>
      <c r="G39" s="29">
        <f t="shared" si="10"/>
        <v>0</v>
      </c>
      <c r="H39" s="29">
        <f t="shared" si="10"/>
        <v>2</v>
      </c>
      <c r="I39" s="29">
        <f t="shared" si="10"/>
        <v>18</v>
      </c>
      <c r="J39" s="29">
        <f t="shared" si="10"/>
        <v>0</v>
      </c>
      <c r="K39" s="29">
        <f t="shared" si="10"/>
        <v>0</v>
      </c>
      <c r="L39" s="29">
        <f t="shared" si="10"/>
        <v>0</v>
      </c>
      <c r="M39" s="29">
        <f t="shared" si="10"/>
        <v>0</v>
      </c>
      <c r="N39" s="29">
        <f t="shared" si="10"/>
        <v>1</v>
      </c>
      <c r="O39" s="29">
        <f t="shared" si="10"/>
        <v>0</v>
      </c>
      <c r="P39" s="29">
        <f t="shared" si="10"/>
        <v>0</v>
      </c>
      <c r="Q39" s="29">
        <f t="shared" si="10"/>
        <v>0</v>
      </c>
    </row>
    <row r="40" spans="1:18" x14ac:dyDescent="0.2">
      <c r="A40" s="31" t="s">
        <v>67</v>
      </c>
      <c r="B40" s="29">
        <f t="shared" si="1"/>
        <v>13</v>
      </c>
      <c r="C40" s="35">
        <v>0</v>
      </c>
      <c r="D40" s="35">
        <v>0</v>
      </c>
      <c r="E40" s="35">
        <v>0</v>
      </c>
      <c r="F40" s="35">
        <v>0</v>
      </c>
      <c r="G40" s="35">
        <v>0</v>
      </c>
      <c r="H40" s="35">
        <v>1</v>
      </c>
      <c r="I40" s="35">
        <v>11</v>
      </c>
      <c r="J40" s="35">
        <v>0</v>
      </c>
      <c r="K40" s="35">
        <v>0</v>
      </c>
      <c r="L40" s="29">
        <v>0</v>
      </c>
      <c r="M40" s="35">
        <v>0</v>
      </c>
      <c r="N40" s="35">
        <v>1</v>
      </c>
      <c r="O40" s="35">
        <v>0</v>
      </c>
      <c r="P40" s="35">
        <v>0</v>
      </c>
      <c r="Q40" s="35">
        <v>0</v>
      </c>
    </row>
    <row r="41" spans="1:18" x14ac:dyDescent="0.2">
      <c r="A41" s="31" t="s">
        <v>66</v>
      </c>
      <c r="B41" s="29">
        <f t="shared" si="1"/>
        <v>8</v>
      </c>
      <c r="C41" s="35">
        <v>0</v>
      </c>
      <c r="D41" s="35">
        <v>0</v>
      </c>
      <c r="E41" s="35">
        <v>0</v>
      </c>
      <c r="F41" s="35">
        <v>0</v>
      </c>
      <c r="G41" s="35">
        <v>0</v>
      </c>
      <c r="H41" s="35">
        <v>1</v>
      </c>
      <c r="I41" s="35">
        <v>7</v>
      </c>
      <c r="J41" s="35">
        <v>0</v>
      </c>
      <c r="K41" s="35">
        <v>0</v>
      </c>
      <c r="L41" s="29">
        <v>0</v>
      </c>
      <c r="M41" s="35">
        <v>0</v>
      </c>
      <c r="N41" s="35">
        <v>0</v>
      </c>
      <c r="O41" s="35">
        <v>0</v>
      </c>
      <c r="P41" s="35">
        <v>0</v>
      </c>
      <c r="Q41" s="35">
        <v>0</v>
      </c>
    </row>
    <row r="42" spans="1:18" s="23" customFormat="1" x14ac:dyDescent="0.2">
      <c r="A42" s="28" t="s">
        <v>40</v>
      </c>
      <c r="B42" s="29">
        <f t="shared" si="1"/>
        <v>41</v>
      </c>
      <c r="C42" s="29">
        <f>SUM(C43)</f>
        <v>0</v>
      </c>
      <c r="D42" s="29">
        <f t="shared" ref="D42:Q42" si="11">SUM(D43)</f>
        <v>1</v>
      </c>
      <c r="E42" s="29">
        <f t="shared" si="11"/>
        <v>2</v>
      </c>
      <c r="F42" s="29">
        <f t="shared" si="11"/>
        <v>0</v>
      </c>
      <c r="G42" s="29">
        <f t="shared" si="11"/>
        <v>2</v>
      </c>
      <c r="H42" s="29">
        <f t="shared" si="11"/>
        <v>4</v>
      </c>
      <c r="I42" s="29">
        <f t="shared" si="11"/>
        <v>23</v>
      </c>
      <c r="J42" s="29">
        <f t="shared" si="11"/>
        <v>0</v>
      </c>
      <c r="K42" s="29">
        <f t="shared" si="11"/>
        <v>4</v>
      </c>
      <c r="L42" s="29">
        <f t="shared" si="11"/>
        <v>4</v>
      </c>
      <c r="M42" s="29">
        <f t="shared" si="11"/>
        <v>0</v>
      </c>
      <c r="N42" s="29">
        <f t="shared" si="11"/>
        <v>0</v>
      </c>
      <c r="O42" s="29">
        <f t="shared" si="11"/>
        <v>1</v>
      </c>
      <c r="P42" s="29">
        <f t="shared" si="11"/>
        <v>0</v>
      </c>
      <c r="Q42" s="29">
        <f t="shared" si="11"/>
        <v>0</v>
      </c>
    </row>
    <row r="43" spans="1:18" x14ac:dyDescent="0.2">
      <c r="A43" s="31" t="s">
        <v>71</v>
      </c>
      <c r="B43" s="29">
        <f t="shared" si="1"/>
        <v>41</v>
      </c>
      <c r="C43" s="35">
        <v>0</v>
      </c>
      <c r="D43" s="35">
        <v>1</v>
      </c>
      <c r="E43" s="35">
        <v>2</v>
      </c>
      <c r="F43" s="35">
        <v>0</v>
      </c>
      <c r="G43" s="35">
        <v>2</v>
      </c>
      <c r="H43" s="35">
        <v>4</v>
      </c>
      <c r="I43" s="35">
        <v>23</v>
      </c>
      <c r="J43" s="35">
        <v>0</v>
      </c>
      <c r="K43" s="35">
        <v>4</v>
      </c>
      <c r="L43" s="35">
        <v>4</v>
      </c>
      <c r="M43" s="35">
        <v>0</v>
      </c>
      <c r="N43" s="35">
        <v>0</v>
      </c>
      <c r="O43" s="35">
        <v>1</v>
      </c>
      <c r="P43" s="35">
        <v>0</v>
      </c>
      <c r="Q43" s="35">
        <v>0</v>
      </c>
    </row>
    <row r="44" spans="1:18" s="23" customFormat="1" x14ac:dyDescent="0.2">
      <c r="A44" s="28" t="s">
        <v>68</v>
      </c>
      <c r="B44" s="29">
        <f t="shared" si="1"/>
        <v>521</v>
      </c>
      <c r="C44" s="29">
        <f>SUM(C45)</f>
        <v>9</v>
      </c>
      <c r="D44" s="29">
        <f t="shared" ref="D44:Q44" si="12">SUM(D45)</f>
        <v>12</v>
      </c>
      <c r="E44" s="29">
        <f t="shared" si="12"/>
        <v>14</v>
      </c>
      <c r="F44" s="29">
        <f t="shared" si="12"/>
        <v>5</v>
      </c>
      <c r="G44" s="29">
        <f t="shared" si="12"/>
        <v>18</v>
      </c>
      <c r="H44" s="29">
        <f t="shared" si="12"/>
        <v>89</v>
      </c>
      <c r="I44" s="29">
        <f t="shared" si="12"/>
        <v>176</v>
      </c>
      <c r="J44" s="29">
        <f t="shared" si="12"/>
        <v>27</v>
      </c>
      <c r="K44" s="29">
        <f t="shared" si="12"/>
        <v>32</v>
      </c>
      <c r="L44" s="29">
        <f t="shared" si="12"/>
        <v>67</v>
      </c>
      <c r="M44" s="29">
        <f t="shared" si="12"/>
        <v>27</v>
      </c>
      <c r="N44" s="29">
        <f t="shared" si="12"/>
        <v>8</v>
      </c>
      <c r="O44" s="29">
        <f t="shared" si="12"/>
        <v>28</v>
      </c>
      <c r="P44" s="29">
        <f t="shared" si="12"/>
        <v>1</v>
      </c>
      <c r="Q44" s="29">
        <f t="shared" si="12"/>
        <v>8</v>
      </c>
    </row>
    <row r="45" spans="1:18" x14ac:dyDescent="0.2">
      <c r="A45" s="31" t="s">
        <v>41</v>
      </c>
      <c r="B45" s="29">
        <f t="shared" si="1"/>
        <v>521</v>
      </c>
      <c r="C45" s="35">
        <v>9</v>
      </c>
      <c r="D45" s="35">
        <v>12</v>
      </c>
      <c r="E45" s="35">
        <v>14</v>
      </c>
      <c r="F45" s="35">
        <v>5</v>
      </c>
      <c r="G45" s="35">
        <v>18</v>
      </c>
      <c r="H45" s="35">
        <v>89</v>
      </c>
      <c r="I45" s="35">
        <v>176</v>
      </c>
      <c r="J45" s="35">
        <v>27</v>
      </c>
      <c r="K45" s="35">
        <v>32</v>
      </c>
      <c r="L45" s="35">
        <v>67</v>
      </c>
      <c r="M45" s="35">
        <v>27</v>
      </c>
      <c r="N45" s="35">
        <v>8</v>
      </c>
      <c r="O45" s="35">
        <v>28</v>
      </c>
      <c r="P45" s="35">
        <v>1</v>
      </c>
      <c r="Q45" s="35">
        <v>8</v>
      </c>
    </row>
    <row r="46" spans="1:18" x14ac:dyDescent="0.2">
      <c r="A46" s="31"/>
      <c r="B46" s="29"/>
      <c r="C46" s="35"/>
      <c r="D46" s="35"/>
      <c r="E46" s="35"/>
      <c r="F46" s="35"/>
      <c r="G46" s="35"/>
      <c r="H46" s="35"/>
      <c r="I46" s="35"/>
      <c r="J46" s="35"/>
      <c r="K46" s="35"/>
      <c r="L46" s="35"/>
      <c r="M46" s="35"/>
      <c r="N46" s="35"/>
      <c r="O46" s="35"/>
      <c r="P46" s="35"/>
      <c r="Q46" s="35"/>
    </row>
    <row r="47" spans="1:18" ht="10.5" customHeight="1" x14ac:dyDescent="0.2">
      <c r="A47" s="46" t="s">
        <v>89</v>
      </c>
      <c r="B47" s="46"/>
      <c r="C47" s="46"/>
      <c r="D47" s="46"/>
      <c r="E47" s="46"/>
      <c r="F47" s="46"/>
      <c r="G47" s="46"/>
      <c r="H47" s="46"/>
      <c r="I47" s="35"/>
      <c r="J47" s="35"/>
      <c r="K47" s="35"/>
      <c r="L47" s="35"/>
      <c r="M47" s="35"/>
      <c r="N47" s="35"/>
      <c r="O47" s="35"/>
      <c r="P47" s="35"/>
      <c r="Q47" s="35"/>
    </row>
    <row r="48" spans="1:18" x14ac:dyDescent="0.2">
      <c r="A48" s="11" t="s">
        <v>19</v>
      </c>
      <c r="B48" s="31"/>
      <c r="C48" s="40"/>
      <c r="D48" s="40"/>
      <c r="E48" s="40"/>
      <c r="F48" s="40"/>
      <c r="G48" s="40"/>
      <c r="H48" s="40"/>
      <c r="I48" s="40"/>
      <c r="J48" s="40"/>
      <c r="K48" s="40"/>
      <c r="L48" s="40"/>
      <c r="M48" s="40"/>
      <c r="N48" s="40"/>
      <c r="O48" s="40"/>
      <c r="P48" s="40"/>
      <c r="Q48" s="40"/>
      <c r="R48" s="40"/>
    </row>
    <row r="49" spans="1:10" x14ac:dyDescent="0.2">
      <c r="A49" s="41" t="s">
        <v>79</v>
      </c>
      <c r="B49" s="41"/>
      <c r="C49" s="41"/>
      <c r="D49" s="41"/>
      <c r="E49" s="41"/>
      <c r="F49" s="42"/>
      <c r="G49" s="42"/>
      <c r="H49" s="42"/>
      <c r="I49" s="42"/>
      <c r="J49" s="42"/>
    </row>
  </sheetData>
  <mergeCells count="1">
    <mergeCell ref="A47:H47"/>
  </mergeCells>
  <pageMargins left="0.70866141732283472" right="0.28000000000000003" top="0.74803149606299213" bottom="0.74803149606299213" header="0.31496062992125984" footer="0.31496062992125984"/>
  <pageSetup paperSize="14" scale="75" orientation="landscape" verticalDpi="599"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125D7-890C-4985-8F23-94062EE4F137}">
  <sheetPr codeName="Hoja50"/>
  <dimension ref="A2:I99"/>
  <sheetViews>
    <sheetView showGridLines="0" zoomScaleNormal="100" workbookViewId="0">
      <selection activeCell="B31" sqref="B31"/>
    </sheetView>
  </sheetViews>
  <sheetFormatPr baseColWidth="10" defaultColWidth="11.44140625" defaultRowHeight="10.199999999999999" x14ac:dyDescent="0.25"/>
  <cols>
    <col min="1" max="1" width="23.33203125" style="508" customWidth="1"/>
    <col min="2" max="2" width="9.44140625" style="508" customWidth="1"/>
    <col min="3" max="4" width="11.88671875" style="527" customWidth="1"/>
    <col min="5" max="6" width="13.88671875" style="527" customWidth="1"/>
    <col min="7" max="7" width="11.88671875" style="527" customWidth="1"/>
    <col min="8" max="8" width="13" style="527" customWidth="1"/>
    <col min="9" max="9" width="11.44140625" style="519"/>
    <col min="10" max="10" width="22.44140625" style="508" customWidth="1"/>
    <col min="11" max="16384" width="11.44140625" style="508"/>
  </cols>
  <sheetData>
    <row r="2" spans="1:9" ht="39.75" customHeight="1" x14ac:dyDescent="0.25">
      <c r="A2" s="64" t="s">
        <v>812</v>
      </c>
      <c r="B2" s="64"/>
      <c r="C2" s="64"/>
      <c r="D2" s="64"/>
      <c r="E2" s="64"/>
      <c r="F2" s="64"/>
      <c r="G2" s="64"/>
      <c r="H2" s="64"/>
    </row>
    <row r="4" spans="1:9" x14ac:dyDescent="0.25">
      <c r="A4" s="520" t="s">
        <v>937</v>
      </c>
      <c r="B4" s="497" t="s">
        <v>42</v>
      </c>
      <c r="C4" s="497" t="s">
        <v>858</v>
      </c>
      <c r="D4" s="497"/>
      <c r="E4" s="497"/>
      <c r="F4" s="497"/>
      <c r="G4" s="497"/>
      <c r="H4" s="497"/>
      <c r="I4" s="508"/>
    </row>
    <row r="5" spans="1:9" ht="135.75" customHeight="1" x14ac:dyDescent="0.25">
      <c r="A5" s="521"/>
      <c r="B5" s="497"/>
      <c r="C5" s="502" t="s">
        <v>938</v>
      </c>
      <c r="D5" s="502" t="s">
        <v>939</v>
      </c>
      <c r="E5" s="502" t="s">
        <v>940</v>
      </c>
      <c r="F5" s="502" t="s">
        <v>868</v>
      </c>
      <c r="G5" s="502" t="s">
        <v>869</v>
      </c>
      <c r="H5" s="502" t="s">
        <v>941</v>
      </c>
      <c r="I5" s="508"/>
    </row>
    <row r="6" spans="1:9" x14ac:dyDescent="0.25">
      <c r="A6" s="522" t="s">
        <v>3</v>
      </c>
      <c r="B6" s="523">
        <f>+B7+B14+B22+B27+B32+B34+B60+B67+B71+B80+B84+B86+B90+B92+B41</f>
        <v>288</v>
      </c>
      <c r="C6" s="523">
        <f t="shared" ref="C6:H6" si="0">+C7+C14+C22+C27+C32+C34+C60+C67+C71+C80+C84+C86+C90+C92+C41</f>
        <v>13</v>
      </c>
      <c r="D6" s="523">
        <f t="shared" si="0"/>
        <v>34</v>
      </c>
      <c r="E6" s="523">
        <f t="shared" si="0"/>
        <v>16</v>
      </c>
      <c r="F6" s="523">
        <f t="shared" si="0"/>
        <v>4</v>
      </c>
      <c r="G6" s="523">
        <f t="shared" si="0"/>
        <v>179</v>
      </c>
      <c r="H6" s="523">
        <f t="shared" si="0"/>
        <v>42</v>
      </c>
      <c r="I6" s="508"/>
    </row>
    <row r="7" spans="1:9" ht="11.25" customHeight="1" x14ac:dyDescent="0.2">
      <c r="A7" s="512" t="s">
        <v>4</v>
      </c>
      <c r="B7" s="196">
        <f t="shared" ref="B7:B38" si="1">SUM(C7:H7)</f>
        <v>8</v>
      </c>
      <c r="C7" s="524">
        <f t="shared" ref="C7:H7" si="2">SUM(C8:C13)</f>
        <v>0</v>
      </c>
      <c r="D7" s="524">
        <f t="shared" si="2"/>
        <v>0</v>
      </c>
      <c r="E7" s="524">
        <f t="shared" si="2"/>
        <v>0</v>
      </c>
      <c r="F7" s="524">
        <f t="shared" si="2"/>
        <v>0</v>
      </c>
      <c r="G7" s="524">
        <f t="shared" si="2"/>
        <v>5</v>
      </c>
      <c r="H7" s="524">
        <f t="shared" si="2"/>
        <v>3</v>
      </c>
      <c r="I7" s="508"/>
    </row>
    <row r="8" spans="1:9" x14ac:dyDescent="0.2">
      <c r="A8" s="493" t="s">
        <v>942</v>
      </c>
      <c r="B8" s="196">
        <f t="shared" si="1"/>
        <v>2</v>
      </c>
      <c r="C8" s="525">
        <v>0</v>
      </c>
      <c r="D8" s="525">
        <v>0</v>
      </c>
      <c r="E8" s="525">
        <v>0</v>
      </c>
      <c r="F8" s="525">
        <v>0</v>
      </c>
      <c r="G8" s="525">
        <v>0</v>
      </c>
      <c r="H8" s="525">
        <v>2</v>
      </c>
      <c r="I8" s="508"/>
    </row>
    <row r="9" spans="1:9" x14ac:dyDescent="0.2">
      <c r="A9" s="493" t="s">
        <v>943</v>
      </c>
      <c r="B9" s="196">
        <f t="shared" si="1"/>
        <v>1</v>
      </c>
      <c r="C9" s="525">
        <v>0</v>
      </c>
      <c r="D9" s="525">
        <v>0</v>
      </c>
      <c r="E9" s="525">
        <v>0</v>
      </c>
      <c r="F9" s="525">
        <v>0</v>
      </c>
      <c r="G9" s="525">
        <v>1</v>
      </c>
      <c r="H9" s="525">
        <v>0</v>
      </c>
      <c r="I9" s="508"/>
    </row>
    <row r="10" spans="1:9" x14ac:dyDescent="0.2">
      <c r="A10" s="493" t="s">
        <v>944</v>
      </c>
      <c r="B10" s="196">
        <f t="shared" si="1"/>
        <v>1</v>
      </c>
      <c r="C10" s="525">
        <v>0</v>
      </c>
      <c r="D10" s="525">
        <v>0</v>
      </c>
      <c r="E10" s="525">
        <v>0</v>
      </c>
      <c r="F10" s="525">
        <v>0</v>
      </c>
      <c r="G10" s="525">
        <v>1</v>
      </c>
      <c r="H10" s="525">
        <v>0</v>
      </c>
      <c r="I10" s="508"/>
    </row>
    <row r="11" spans="1:9" x14ac:dyDescent="0.2">
      <c r="A11" s="493" t="s">
        <v>945</v>
      </c>
      <c r="B11" s="196">
        <f t="shared" si="1"/>
        <v>2</v>
      </c>
      <c r="C11" s="525">
        <v>0</v>
      </c>
      <c r="D11" s="525">
        <v>0</v>
      </c>
      <c r="E11" s="525">
        <v>0</v>
      </c>
      <c r="F11" s="525">
        <v>0</v>
      </c>
      <c r="G11" s="525">
        <v>2</v>
      </c>
      <c r="H11" s="525">
        <v>0</v>
      </c>
      <c r="I11" s="508"/>
    </row>
    <row r="12" spans="1:9" x14ac:dyDescent="0.2">
      <c r="A12" s="493" t="s">
        <v>946</v>
      </c>
      <c r="B12" s="196">
        <f t="shared" si="1"/>
        <v>1</v>
      </c>
      <c r="C12" s="525">
        <v>0</v>
      </c>
      <c r="D12" s="525">
        <v>0</v>
      </c>
      <c r="E12" s="525">
        <v>0</v>
      </c>
      <c r="F12" s="525">
        <v>0</v>
      </c>
      <c r="G12" s="525">
        <v>1</v>
      </c>
      <c r="H12" s="525">
        <v>0</v>
      </c>
      <c r="I12" s="508"/>
    </row>
    <row r="13" spans="1:9" x14ac:dyDescent="0.2">
      <c r="A13" s="493" t="s">
        <v>874</v>
      </c>
      <c r="B13" s="196">
        <f t="shared" si="1"/>
        <v>1</v>
      </c>
      <c r="C13" s="525">
        <v>0</v>
      </c>
      <c r="D13" s="525">
        <v>0</v>
      </c>
      <c r="E13" s="525">
        <v>0</v>
      </c>
      <c r="F13" s="525">
        <v>0</v>
      </c>
      <c r="G13" s="525">
        <v>0</v>
      </c>
      <c r="H13" s="525">
        <v>1</v>
      </c>
      <c r="I13" s="508"/>
    </row>
    <row r="14" spans="1:9" x14ac:dyDescent="0.2">
      <c r="A14" s="116" t="s">
        <v>5</v>
      </c>
      <c r="B14" s="196">
        <f t="shared" si="1"/>
        <v>26</v>
      </c>
      <c r="C14" s="524">
        <f t="shared" ref="C14:H14" si="3">SUM(C15:C21)</f>
        <v>0</v>
      </c>
      <c r="D14" s="524">
        <f t="shared" si="3"/>
        <v>2</v>
      </c>
      <c r="E14" s="524">
        <f t="shared" si="3"/>
        <v>15</v>
      </c>
      <c r="F14" s="524">
        <f t="shared" si="3"/>
        <v>0</v>
      </c>
      <c r="G14" s="524">
        <f t="shared" si="3"/>
        <v>9</v>
      </c>
      <c r="H14" s="524">
        <f t="shared" si="3"/>
        <v>0</v>
      </c>
      <c r="I14" s="508"/>
    </row>
    <row r="15" spans="1:9" x14ac:dyDescent="0.2">
      <c r="A15" s="493" t="s">
        <v>947</v>
      </c>
      <c r="B15" s="196">
        <f t="shared" si="1"/>
        <v>3</v>
      </c>
      <c r="C15" s="525">
        <v>0</v>
      </c>
      <c r="D15" s="525">
        <v>0</v>
      </c>
      <c r="E15" s="525">
        <v>1</v>
      </c>
      <c r="F15" s="525">
        <v>0</v>
      </c>
      <c r="G15" s="525">
        <v>2</v>
      </c>
      <c r="H15" s="525">
        <v>0</v>
      </c>
      <c r="I15" s="508"/>
    </row>
    <row r="16" spans="1:9" x14ac:dyDescent="0.2">
      <c r="A16" s="493" t="s">
        <v>948</v>
      </c>
      <c r="B16" s="196">
        <f t="shared" si="1"/>
        <v>2</v>
      </c>
      <c r="C16" s="525">
        <v>0</v>
      </c>
      <c r="D16" s="525">
        <v>0</v>
      </c>
      <c r="E16" s="525">
        <v>2</v>
      </c>
      <c r="F16" s="525">
        <v>0</v>
      </c>
      <c r="G16" s="525">
        <v>0</v>
      </c>
      <c r="H16" s="525">
        <v>0</v>
      </c>
      <c r="I16" s="508"/>
    </row>
    <row r="17" spans="1:9" x14ac:dyDescent="0.2">
      <c r="A17" s="493" t="s">
        <v>949</v>
      </c>
      <c r="B17" s="196">
        <f t="shared" si="1"/>
        <v>11</v>
      </c>
      <c r="C17" s="525">
        <v>0</v>
      </c>
      <c r="D17" s="525">
        <v>0</v>
      </c>
      <c r="E17" s="525">
        <v>10</v>
      </c>
      <c r="F17" s="525">
        <v>0</v>
      </c>
      <c r="G17" s="525">
        <v>1</v>
      </c>
      <c r="H17" s="525">
        <v>0</v>
      </c>
      <c r="I17" s="508"/>
    </row>
    <row r="18" spans="1:9" x14ac:dyDescent="0.2">
      <c r="A18" s="493" t="s">
        <v>944</v>
      </c>
      <c r="B18" s="196">
        <f t="shared" si="1"/>
        <v>1</v>
      </c>
      <c r="C18" s="525">
        <v>0</v>
      </c>
      <c r="D18" s="525">
        <v>0</v>
      </c>
      <c r="E18" s="525">
        <v>1</v>
      </c>
      <c r="F18" s="525">
        <v>0</v>
      </c>
      <c r="G18" s="525">
        <v>0</v>
      </c>
      <c r="H18" s="525">
        <v>0</v>
      </c>
      <c r="I18" s="508"/>
    </row>
    <row r="19" spans="1:9" x14ac:dyDescent="0.2">
      <c r="A19" s="493" t="s">
        <v>874</v>
      </c>
      <c r="B19" s="196">
        <f t="shared" si="1"/>
        <v>4</v>
      </c>
      <c r="C19" s="525">
        <v>0</v>
      </c>
      <c r="D19" s="525">
        <v>0</v>
      </c>
      <c r="E19" s="525">
        <v>1</v>
      </c>
      <c r="F19" s="525">
        <v>0</v>
      </c>
      <c r="G19" s="525">
        <v>3</v>
      </c>
      <c r="H19" s="525">
        <v>0</v>
      </c>
      <c r="I19" s="508"/>
    </row>
    <row r="20" spans="1:9" x14ac:dyDescent="0.2">
      <c r="A20" s="493" t="s">
        <v>950</v>
      </c>
      <c r="B20" s="196">
        <f t="shared" si="1"/>
        <v>2</v>
      </c>
      <c r="C20" s="525">
        <v>0</v>
      </c>
      <c r="D20" s="525">
        <v>0</v>
      </c>
      <c r="E20" s="525">
        <v>0</v>
      </c>
      <c r="F20" s="525">
        <v>0</v>
      </c>
      <c r="G20" s="525">
        <v>2</v>
      </c>
      <c r="H20" s="525">
        <v>0</v>
      </c>
      <c r="I20" s="508"/>
    </row>
    <row r="21" spans="1:9" x14ac:dyDescent="0.2">
      <c r="A21" s="493" t="s">
        <v>951</v>
      </c>
      <c r="B21" s="196">
        <f t="shared" si="1"/>
        <v>3</v>
      </c>
      <c r="C21" s="525">
        <v>0</v>
      </c>
      <c r="D21" s="525">
        <v>2</v>
      </c>
      <c r="E21" s="525">
        <v>0</v>
      </c>
      <c r="F21" s="525">
        <v>0</v>
      </c>
      <c r="G21" s="525">
        <v>1</v>
      </c>
      <c r="H21" s="525">
        <v>0</v>
      </c>
      <c r="I21" s="508"/>
    </row>
    <row r="22" spans="1:9" x14ac:dyDescent="0.2">
      <c r="A22" s="512" t="s">
        <v>6</v>
      </c>
      <c r="B22" s="196">
        <f t="shared" si="1"/>
        <v>6</v>
      </c>
      <c r="C22" s="524">
        <f t="shared" ref="C22:H22" si="4">SUM(C23:C26)</f>
        <v>0</v>
      </c>
      <c r="D22" s="524">
        <f t="shared" si="4"/>
        <v>2</v>
      </c>
      <c r="E22" s="524">
        <f t="shared" si="4"/>
        <v>0</v>
      </c>
      <c r="F22" s="524">
        <f t="shared" si="4"/>
        <v>0</v>
      </c>
      <c r="G22" s="524">
        <f t="shared" si="4"/>
        <v>4</v>
      </c>
      <c r="H22" s="524">
        <f t="shared" si="4"/>
        <v>0</v>
      </c>
      <c r="I22" s="508"/>
    </row>
    <row r="23" spans="1:9" x14ac:dyDescent="0.2">
      <c r="A23" s="493" t="s">
        <v>946</v>
      </c>
      <c r="B23" s="196">
        <f t="shared" si="1"/>
        <v>1</v>
      </c>
      <c r="C23" s="525">
        <v>0</v>
      </c>
      <c r="D23" s="525">
        <v>0</v>
      </c>
      <c r="E23" s="525">
        <v>0</v>
      </c>
      <c r="F23" s="525">
        <v>0</v>
      </c>
      <c r="G23" s="525">
        <v>1</v>
      </c>
      <c r="H23" s="525">
        <v>0</v>
      </c>
      <c r="I23" s="508"/>
    </row>
    <row r="24" spans="1:9" x14ac:dyDescent="0.2">
      <c r="A24" s="493" t="s">
        <v>874</v>
      </c>
      <c r="B24" s="196">
        <f t="shared" si="1"/>
        <v>3</v>
      </c>
      <c r="C24" s="525">
        <v>0</v>
      </c>
      <c r="D24" s="525">
        <v>2</v>
      </c>
      <c r="E24" s="525">
        <v>0</v>
      </c>
      <c r="F24" s="525">
        <v>0</v>
      </c>
      <c r="G24" s="525">
        <v>1</v>
      </c>
      <c r="H24" s="525">
        <v>0</v>
      </c>
      <c r="I24" s="508"/>
    </row>
    <row r="25" spans="1:9" x14ac:dyDescent="0.2">
      <c r="A25" s="493" t="s">
        <v>952</v>
      </c>
      <c r="B25" s="196">
        <f t="shared" si="1"/>
        <v>1</v>
      </c>
      <c r="C25" s="525">
        <v>0</v>
      </c>
      <c r="D25" s="525">
        <v>0</v>
      </c>
      <c r="E25" s="525">
        <v>0</v>
      </c>
      <c r="F25" s="525">
        <v>0</v>
      </c>
      <c r="G25" s="525">
        <v>1</v>
      </c>
      <c r="H25" s="525">
        <v>0</v>
      </c>
      <c r="I25" s="508"/>
    </row>
    <row r="26" spans="1:9" x14ac:dyDescent="0.2">
      <c r="A26" s="493" t="s">
        <v>953</v>
      </c>
      <c r="B26" s="196">
        <f t="shared" si="1"/>
        <v>1</v>
      </c>
      <c r="C26" s="525">
        <v>0</v>
      </c>
      <c r="D26" s="525">
        <v>0</v>
      </c>
      <c r="E26" s="525">
        <v>0</v>
      </c>
      <c r="F26" s="525">
        <v>0</v>
      </c>
      <c r="G26" s="525">
        <v>1</v>
      </c>
      <c r="H26" s="525">
        <v>0</v>
      </c>
      <c r="I26" s="508"/>
    </row>
    <row r="27" spans="1:9" x14ac:dyDescent="0.2">
      <c r="A27" s="514" t="s">
        <v>7</v>
      </c>
      <c r="B27" s="196">
        <f t="shared" si="1"/>
        <v>8</v>
      </c>
      <c r="C27" s="524">
        <f t="shared" ref="C27:H27" si="5">SUM(C28:C31)</f>
        <v>1</v>
      </c>
      <c r="D27" s="524">
        <f t="shared" si="5"/>
        <v>0</v>
      </c>
      <c r="E27" s="524">
        <f t="shared" si="5"/>
        <v>0</v>
      </c>
      <c r="F27" s="524">
        <f t="shared" si="5"/>
        <v>0</v>
      </c>
      <c r="G27" s="524">
        <f t="shared" si="5"/>
        <v>5</v>
      </c>
      <c r="H27" s="524">
        <f t="shared" si="5"/>
        <v>2</v>
      </c>
      <c r="I27" s="508"/>
    </row>
    <row r="28" spans="1:9" x14ac:dyDescent="0.2">
      <c r="A28" s="493" t="s">
        <v>954</v>
      </c>
      <c r="B28" s="196">
        <f t="shared" si="1"/>
        <v>1</v>
      </c>
      <c r="C28" s="525">
        <v>0</v>
      </c>
      <c r="D28" s="525">
        <v>0</v>
      </c>
      <c r="E28" s="525">
        <v>0</v>
      </c>
      <c r="F28" s="525">
        <v>0</v>
      </c>
      <c r="G28" s="525">
        <v>0</v>
      </c>
      <c r="H28" s="525">
        <v>1</v>
      </c>
      <c r="I28" s="508"/>
    </row>
    <row r="29" spans="1:9" x14ac:dyDescent="0.2">
      <c r="A29" s="493" t="s">
        <v>955</v>
      </c>
      <c r="B29" s="196">
        <f t="shared" si="1"/>
        <v>1</v>
      </c>
      <c r="C29" s="525">
        <v>0</v>
      </c>
      <c r="D29" s="525">
        <v>0</v>
      </c>
      <c r="E29" s="525">
        <v>0</v>
      </c>
      <c r="F29" s="525">
        <v>0</v>
      </c>
      <c r="G29" s="525">
        <v>1</v>
      </c>
      <c r="H29" s="525">
        <v>0</v>
      </c>
      <c r="I29" s="508"/>
    </row>
    <row r="30" spans="1:9" x14ac:dyDescent="0.2">
      <c r="A30" s="493" t="s">
        <v>956</v>
      </c>
      <c r="B30" s="196">
        <f t="shared" si="1"/>
        <v>5</v>
      </c>
      <c r="C30" s="525">
        <v>1</v>
      </c>
      <c r="D30" s="525">
        <v>0</v>
      </c>
      <c r="E30" s="525">
        <v>0</v>
      </c>
      <c r="F30" s="525">
        <v>0</v>
      </c>
      <c r="G30" s="525">
        <v>4</v>
      </c>
      <c r="H30" s="525">
        <v>0</v>
      </c>
      <c r="I30" s="508"/>
    </row>
    <row r="31" spans="1:9" x14ac:dyDescent="0.2">
      <c r="A31" s="493" t="s">
        <v>874</v>
      </c>
      <c r="B31" s="196">
        <f t="shared" si="1"/>
        <v>1</v>
      </c>
      <c r="C31" s="525">
        <v>0</v>
      </c>
      <c r="D31" s="525">
        <v>0</v>
      </c>
      <c r="E31" s="525">
        <v>0</v>
      </c>
      <c r="F31" s="525">
        <v>0</v>
      </c>
      <c r="G31" s="525">
        <v>0</v>
      </c>
      <c r="H31" s="525">
        <v>1</v>
      </c>
      <c r="I31" s="508"/>
    </row>
    <row r="32" spans="1:9" x14ac:dyDescent="0.2">
      <c r="A32" s="512" t="s">
        <v>8</v>
      </c>
      <c r="B32" s="196">
        <f t="shared" si="1"/>
        <v>1</v>
      </c>
      <c r="C32" s="524">
        <f t="shared" ref="C32:H32" si="6">SUM(C33)</f>
        <v>0</v>
      </c>
      <c r="D32" s="524">
        <f t="shared" si="6"/>
        <v>0</v>
      </c>
      <c r="E32" s="524">
        <f t="shared" si="6"/>
        <v>0</v>
      </c>
      <c r="F32" s="524">
        <f t="shared" si="6"/>
        <v>0</v>
      </c>
      <c r="G32" s="524">
        <f t="shared" si="6"/>
        <v>1</v>
      </c>
      <c r="H32" s="524">
        <f t="shared" si="6"/>
        <v>0</v>
      </c>
      <c r="I32" s="508"/>
    </row>
    <row r="33" spans="1:9" x14ac:dyDescent="0.2">
      <c r="A33" s="493" t="s">
        <v>874</v>
      </c>
      <c r="B33" s="196">
        <f t="shared" si="1"/>
        <v>1</v>
      </c>
      <c r="C33" s="525">
        <v>0</v>
      </c>
      <c r="D33" s="525">
        <v>0</v>
      </c>
      <c r="E33" s="525">
        <v>0</v>
      </c>
      <c r="F33" s="525">
        <v>0</v>
      </c>
      <c r="G33" s="525">
        <v>1</v>
      </c>
      <c r="H33" s="525">
        <v>0</v>
      </c>
      <c r="I33" s="508"/>
    </row>
    <row r="34" spans="1:9" x14ac:dyDescent="0.2">
      <c r="A34" s="512" t="s">
        <v>9</v>
      </c>
      <c r="B34" s="196">
        <f t="shared" si="1"/>
        <v>57</v>
      </c>
      <c r="C34" s="524">
        <f t="shared" ref="C34:H34" si="7">SUM(C35:C40)</f>
        <v>3</v>
      </c>
      <c r="D34" s="524">
        <f t="shared" si="7"/>
        <v>20</v>
      </c>
      <c r="E34" s="524">
        <f t="shared" si="7"/>
        <v>0</v>
      </c>
      <c r="F34" s="524">
        <f t="shared" si="7"/>
        <v>3</v>
      </c>
      <c r="G34" s="524">
        <f t="shared" si="7"/>
        <v>19</v>
      </c>
      <c r="H34" s="524">
        <f t="shared" si="7"/>
        <v>12</v>
      </c>
      <c r="I34" s="508"/>
    </row>
    <row r="35" spans="1:9" x14ac:dyDescent="0.2">
      <c r="A35" s="493" t="s">
        <v>947</v>
      </c>
      <c r="B35" s="196">
        <f t="shared" si="1"/>
        <v>1</v>
      </c>
      <c r="C35" s="525">
        <v>0</v>
      </c>
      <c r="D35" s="525">
        <v>0</v>
      </c>
      <c r="E35" s="525">
        <v>0</v>
      </c>
      <c r="F35" s="525">
        <v>0</v>
      </c>
      <c r="G35" s="525">
        <v>0</v>
      </c>
      <c r="H35" s="525">
        <v>1</v>
      </c>
      <c r="I35" s="508"/>
    </row>
    <row r="36" spans="1:9" x14ac:dyDescent="0.2">
      <c r="A36" s="493" t="s">
        <v>942</v>
      </c>
      <c r="B36" s="196">
        <f t="shared" si="1"/>
        <v>1</v>
      </c>
      <c r="C36" s="525">
        <v>0</v>
      </c>
      <c r="D36" s="525">
        <v>0</v>
      </c>
      <c r="E36" s="525">
        <v>0</v>
      </c>
      <c r="F36" s="525">
        <v>0</v>
      </c>
      <c r="G36" s="525">
        <v>0</v>
      </c>
      <c r="H36" s="525">
        <v>1</v>
      </c>
      <c r="I36" s="508"/>
    </row>
    <row r="37" spans="1:9" x14ac:dyDescent="0.2">
      <c r="A37" s="493" t="s">
        <v>957</v>
      </c>
      <c r="B37" s="196">
        <f t="shared" si="1"/>
        <v>21</v>
      </c>
      <c r="C37" s="525">
        <v>1</v>
      </c>
      <c r="D37" s="525">
        <v>9</v>
      </c>
      <c r="E37" s="525">
        <v>0</v>
      </c>
      <c r="F37" s="525">
        <v>0</v>
      </c>
      <c r="G37" s="525">
        <v>1</v>
      </c>
      <c r="H37" s="525">
        <v>10</v>
      </c>
      <c r="I37" s="508"/>
    </row>
    <row r="38" spans="1:9" x14ac:dyDescent="0.2">
      <c r="A38" s="493" t="s">
        <v>945</v>
      </c>
      <c r="B38" s="196">
        <f t="shared" si="1"/>
        <v>2</v>
      </c>
      <c r="C38" s="525">
        <v>0</v>
      </c>
      <c r="D38" s="525">
        <v>2</v>
      </c>
      <c r="E38" s="525">
        <v>0</v>
      </c>
      <c r="F38" s="525">
        <v>0</v>
      </c>
      <c r="G38" s="525">
        <v>0</v>
      </c>
      <c r="H38" s="525">
        <v>0</v>
      </c>
      <c r="I38" s="508"/>
    </row>
    <row r="39" spans="1:9" x14ac:dyDescent="0.2">
      <c r="A39" s="493" t="s">
        <v>946</v>
      </c>
      <c r="B39" s="196">
        <f t="shared" ref="B39:B96" si="8">SUM(C39:H39)</f>
        <v>7</v>
      </c>
      <c r="C39" s="525">
        <v>0</v>
      </c>
      <c r="D39" s="525">
        <v>6</v>
      </c>
      <c r="E39" s="525">
        <v>0</v>
      </c>
      <c r="F39" s="525">
        <v>0</v>
      </c>
      <c r="G39" s="525">
        <v>1</v>
      </c>
      <c r="H39" s="525">
        <v>0</v>
      </c>
      <c r="I39" s="508"/>
    </row>
    <row r="40" spans="1:9" x14ac:dyDescent="0.2">
      <c r="A40" s="493" t="s">
        <v>874</v>
      </c>
      <c r="B40" s="196">
        <f t="shared" si="8"/>
        <v>25</v>
      </c>
      <c r="C40" s="525">
        <v>2</v>
      </c>
      <c r="D40" s="525">
        <v>3</v>
      </c>
      <c r="E40" s="525">
        <v>0</v>
      </c>
      <c r="F40" s="525">
        <v>3</v>
      </c>
      <c r="G40" s="525">
        <v>17</v>
      </c>
      <c r="H40" s="525">
        <v>0</v>
      </c>
      <c r="I40" s="508"/>
    </row>
    <row r="41" spans="1:9" x14ac:dyDescent="0.2">
      <c r="A41" s="512" t="s">
        <v>10</v>
      </c>
      <c r="B41" s="196">
        <f t="shared" si="8"/>
        <v>121</v>
      </c>
      <c r="C41" s="524">
        <f t="shared" ref="C41:H41" si="9">SUM(C42:C59)</f>
        <v>4</v>
      </c>
      <c r="D41" s="524">
        <f t="shared" si="9"/>
        <v>6</v>
      </c>
      <c r="E41" s="524">
        <f t="shared" si="9"/>
        <v>0</v>
      </c>
      <c r="F41" s="524">
        <f t="shared" si="9"/>
        <v>0</v>
      </c>
      <c r="G41" s="524">
        <f t="shared" si="9"/>
        <v>91</v>
      </c>
      <c r="H41" s="524">
        <f t="shared" si="9"/>
        <v>20</v>
      </c>
      <c r="I41" s="508"/>
    </row>
    <row r="42" spans="1:9" x14ac:dyDescent="0.2">
      <c r="A42" s="526" t="s">
        <v>947</v>
      </c>
      <c r="B42" s="196">
        <f t="shared" si="8"/>
        <v>3</v>
      </c>
      <c r="C42" s="525">
        <v>0</v>
      </c>
      <c r="D42" s="525">
        <v>0</v>
      </c>
      <c r="E42" s="525">
        <v>0</v>
      </c>
      <c r="F42" s="525">
        <v>0</v>
      </c>
      <c r="G42" s="525">
        <v>3</v>
      </c>
      <c r="H42" s="525">
        <v>0</v>
      </c>
      <c r="I42" s="508"/>
    </row>
    <row r="43" spans="1:9" x14ac:dyDescent="0.2">
      <c r="A43" s="526" t="s">
        <v>943</v>
      </c>
      <c r="B43" s="196">
        <f t="shared" si="8"/>
        <v>7</v>
      </c>
      <c r="C43" s="525">
        <v>2</v>
      </c>
      <c r="D43" s="525">
        <v>1</v>
      </c>
      <c r="E43" s="525">
        <v>0</v>
      </c>
      <c r="F43" s="525">
        <v>0</v>
      </c>
      <c r="G43" s="525">
        <v>4</v>
      </c>
      <c r="H43" s="525">
        <v>0</v>
      </c>
      <c r="I43" s="508"/>
    </row>
    <row r="44" spans="1:9" x14ac:dyDescent="0.2">
      <c r="A44" s="526" t="s">
        <v>958</v>
      </c>
      <c r="B44" s="196">
        <f t="shared" si="8"/>
        <v>1</v>
      </c>
      <c r="C44" s="525">
        <v>0</v>
      </c>
      <c r="D44" s="525">
        <v>0</v>
      </c>
      <c r="E44" s="525">
        <v>0</v>
      </c>
      <c r="F44" s="525">
        <v>0</v>
      </c>
      <c r="G44" s="525">
        <v>1</v>
      </c>
      <c r="H44" s="525">
        <v>0</v>
      </c>
      <c r="I44" s="508"/>
    </row>
    <row r="45" spans="1:9" x14ac:dyDescent="0.2">
      <c r="A45" s="526" t="s">
        <v>948</v>
      </c>
      <c r="B45" s="196">
        <f t="shared" si="8"/>
        <v>2</v>
      </c>
      <c r="C45" s="525">
        <v>0</v>
      </c>
      <c r="D45" s="525">
        <v>0</v>
      </c>
      <c r="E45" s="525">
        <v>0</v>
      </c>
      <c r="F45" s="525">
        <v>0</v>
      </c>
      <c r="G45" s="525">
        <v>2</v>
      </c>
      <c r="H45" s="525">
        <v>0</v>
      </c>
      <c r="I45" s="508"/>
    </row>
    <row r="46" spans="1:9" x14ac:dyDescent="0.2">
      <c r="A46" s="526" t="s">
        <v>959</v>
      </c>
      <c r="B46" s="196">
        <f t="shared" si="8"/>
        <v>2</v>
      </c>
      <c r="C46" s="525">
        <v>0</v>
      </c>
      <c r="D46" s="525">
        <v>0</v>
      </c>
      <c r="E46" s="525">
        <v>0</v>
      </c>
      <c r="F46" s="525">
        <v>0</v>
      </c>
      <c r="G46" s="525">
        <v>2</v>
      </c>
      <c r="H46" s="525">
        <v>0</v>
      </c>
      <c r="I46" s="508"/>
    </row>
    <row r="47" spans="1:9" x14ac:dyDescent="0.2">
      <c r="A47" s="526" t="s">
        <v>960</v>
      </c>
      <c r="B47" s="196">
        <f t="shared" si="8"/>
        <v>1</v>
      </c>
      <c r="C47" s="525">
        <v>0</v>
      </c>
      <c r="D47" s="525">
        <v>0</v>
      </c>
      <c r="E47" s="525">
        <v>0</v>
      </c>
      <c r="F47" s="525">
        <v>0</v>
      </c>
      <c r="G47" s="525">
        <v>1</v>
      </c>
      <c r="H47" s="525">
        <v>0</v>
      </c>
      <c r="I47" s="508"/>
    </row>
    <row r="48" spans="1:9" x14ac:dyDescent="0.2">
      <c r="A48" s="526" t="s">
        <v>955</v>
      </c>
      <c r="B48" s="196">
        <f t="shared" si="8"/>
        <v>13</v>
      </c>
      <c r="C48" s="525">
        <v>0</v>
      </c>
      <c r="D48" s="525">
        <v>0</v>
      </c>
      <c r="E48" s="525">
        <v>0</v>
      </c>
      <c r="F48" s="525">
        <v>0</v>
      </c>
      <c r="G48" s="525">
        <v>13</v>
      </c>
      <c r="H48" s="525">
        <v>0</v>
      </c>
      <c r="I48" s="508"/>
    </row>
    <row r="49" spans="1:9" x14ac:dyDescent="0.2">
      <c r="A49" s="526" t="s">
        <v>961</v>
      </c>
      <c r="B49" s="196">
        <f t="shared" si="8"/>
        <v>7</v>
      </c>
      <c r="C49" s="525">
        <v>0</v>
      </c>
      <c r="D49" s="525">
        <v>0</v>
      </c>
      <c r="E49" s="525">
        <v>0</v>
      </c>
      <c r="F49" s="525">
        <v>0</v>
      </c>
      <c r="G49" s="525">
        <v>7</v>
      </c>
      <c r="H49" s="525">
        <v>0</v>
      </c>
      <c r="I49" s="508"/>
    </row>
    <row r="50" spans="1:9" x14ac:dyDescent="0.2">
      <c r="A50" s="526" t="s">
        <v>949</v>
      </c>
      <c r="B50" s="196">
        <f t="shared" si="8"/>
        <v>14</v>
      </c>
      <c r="C50" s="525">
        <v>0</v>
      </c>
      <c r="D50" s="525">
        <v>0</v>
      </c>
      <c r="E50" s="525">
        <v>0</v>
      </c>
      <c r="F50" s="525">
        <v>0</v>
      </c>
      <c r="G50" s="525">
        <v>8</v>
      </c>
      <c r="H50" s="525">
        <v>6</v>
      </c>
      <c r="I50" s="508"/>
    </row>
    <row r="51" spans="1:9" x14ac:dyDescent="0.2">
      <c r="A51" s="526" t="s">
        <v>957</v>
      </c>
      <c r="B51" s="196">
        <f t="shared" si="8"/>
        <v>31</v>
      </c>
      <c r="C51" s="525">
        <v>1</v>
      </c>
      <c r="D51" s="525">
        <v>0</v>
      </c>
      <c r="E51" s="525">
        <v>0</v>
      </c>
      <c r="F51" s="525">
        <v>0</v>
      </c>
      <c r="G51" s="525">
        <v>17</v>
      </c>
      <c r="H51" s="525">
        <v>13</v>
      </c>
      <c r="I51" s="508"/>
    </row>
    <row r="52" spans="1:9" x14ac:dyDescent="0.2">
      <c r="A52" s="526" t="s">
        <v>945</v>
      </c>
      <c r="B52" s="196">
        <f t="shared" si="8"/>
        <v>4</v>
      </c>
      <c r="C52" s="525">
        <v>0</v>
      </c>
      <c r="D52" s="525">
        <v>0</v>
      </c>
      <c r="E52" s="525">
        <v>0</v>
      </c>
      <c r="F52" s="525">
        <v>0</v>
      </c>
      <c r="G52" s="525">
        <v>4</v>
      </c>
      <c r="H52" s="525">
        <v>0</v>
      </c>
      <c r="I52" s="508"/>
    </row>
    <row r="53" spans="1:9" x14ac:dyDescent="0.2">
      <c r="A53" s="526" t="s">
        <v>946</v>
      </c>
      <c r="B53" s="196">
        <f t="shared" si="8"/>
        <v>9</v>
      </c>
      <c r="C53" s="525">
        <v>0</v>
      </c>
      <c r="D53" s="525">
        <v>1</v>
      </c>
      <c r="E53" s="525">
        <v>0</v>
      </c>
      <c r="F53" s="525">
        <v>0</v>
      </c>
      <c r="G53" s="525">
        <v>8</v>
      </c>
      <c r="H53" s="525">
        <v>0</v>
      </c>
      <c r="I53" s="508"/>
    </row>
    <row r="54" spans="1:9" x14ac:dyDescent="0.2">
      <c r="A54" s="526" t="s">
        <v>874</v>
      </c>
      <c r="B54" s="196">
        <f t="shared" si="8"/>
        <v>20</v>
      </c>
      <c r="C54" s="525">
        <v>1</v>
      </c>
      <c r="D54" s="525">
        <v>4</v>
      </c>
      <c r="E54" s="525">
        <v>0</v>
      </c>
      <c r="F54" s="525">
        <v>0</v>
      </c>
      <c r="G54" s="525">
        <v>15</v>
      </c>
      <c r="H54" s="525">
        <v>0</v>
      </c>
      <c r="I54" s="508"/>
    </row>
    <row r="55" spans="1:9" x14ac:dyDescent="0.2">
      <c r="A55" s="526" t="s">
        <v>950</v>
      </c>
      <c r="B55" s="196">
        <f t="shared" si="8"/>
        <v>2</v>
      </c>
      <c r="C55" s="525">
        <v>0</v>
      </c>
      <c r="D55" s="525">
        <v>0</v>
      </c>
      <c r="E55" s="525">
        <v>0</v>
      </c>
      <c r="F55" s="525">
        <v>0</v>
      </c>
      <c r="G55" s="525">
        <v>1</v>
      </c>
      <c r="H55" s="525">
        <v>1</v>
      </c>
      <c r="I55" s="508"/>
    </row>
    <row r="56" spans="1:9" x14ac:dyDescent="0.2">
      <c r="A56" s="526" t="s">
        <v>962</v>
      </c>
      <c r="B56" s="196">
        <f t="shared" si="8"/>
        <v>1</v>
      </c>
      <c r="C56" s="525">
        <v>0</v>
      </c>
      <c r="D56" s="525">
        <v>0</v>
      </c>
      <c r="E56" s="525">
        <v>0</v>
      </c>
      <c r="F56" s="525">
        <v>0</v>
      </c>
      <c r="G56" s="525">
        <v>1</v>
      </c>
      <c r="H56" s="525">
        <v>0</v>
      </c>
      <c r="I56" s="508"/>
    </row>
    <row r="57" spans="1:9" x14ac:dyDescent="0.2">
      <c r="A57" s="526" t="s">
        <v>963</v>
      </c>
      <c r="B57" s="196">
        <f t="shared" si="8"/>
        <v>1</v>
      </c>
      <c r="C57" s="525">
        <v>0</v>
      </c>
      <c r="D57" s="525">
        <v>0</v>
      </c>
      <c r="E57" s="525">
        <v>0</v>
      </c>
      <c r="F57" s="525">
        <v>0</v>
      </c>
      <c r="G57" s="525">
        <v>1</v>
      </c>
      <c r="H57" s="525">
        <v>0</v>
      </c>
      <c r="I57" s="508"/>
    </row>
    <row r="58" spans="1:9" x14ac:dyDescent="0.2">
      <c r="A58" s="526" t="s">
        <v>964</v>
      </c>
      <c r="B58" s="196">
        <f t="shared" si="8"/>
        <v>1</v>
      </c>
      <c r="C58" s="525">
        <v>0</v>
      </c>
      <c r="D58" s="525">
        <v>0</v>
      </c>
      <c r="E58" s="525">
        <v>0</v>
      </c>
      <c r="F58" s="525">
        <v>0</v>
      </c>
      <c r="G58" s="525">
        <v>1</v>
      </c>
      <c r="H58" s="525">
        <v>0</v>
      </c>
      <c r="I58" s="508"/>
    </row>
    <row r="59" spans="1:9" x14ac:dyDescent="0.2">
      <c r="A59" s="526" t="s">
        <v>951</v>
      </c>
      <c r="B59" s="196">
        <f t="shared" si="8"/>
        <v>2</v>
      </c>
      <c r="C59" s="525">
        <v>0</v>
      </c>
      <c r="D59" s="525">
        <v>0</v>
      </c>
      <c r="E59" s="525">
        <v>0</v>
      </c>
      <c r="F59" s="525">
        <v>0</v>
      </c>
      <c r="G59" s="525">
        <v>2</v>
      </c>
      <c r="H59" s="525">
        <v>0</v>
      </c>
      <c r="I59" s="508"/>
    </row>
    <row r="60" spans="1:9" x14ac:dyDescent="0.2">
      <c r="A60" s="512" t="s">
        <v>134</v>
      </c>
      <c r="B60" s="196">
        <f t="shared" si="8"/>
        <v>7</v>
      </c>
      <c r="C60" s="524">
        <f t="shared" ref="C60:H60" si="10">SUM(C61:C66)</f>
        <v>1</v>
      </c>
      <c r="D60" s="524">
        <f t="shared" si="10"/>
        <v>0</v>
      </c>
      <c r="E60" s="524">
        <f t="shared" si="10"/>
        <v>0</v>
      </c>
      <c r="F60" s="524">
        <f t="shared" si="10"/>
        <v>0</v>
      </c>
      <c r="G60" s="524">
        <f t="shared" si="10"/>
        <v>6</v>
      </c>
      <c r="H60" s="524">
        <f t="shared" si="10"/>
        <v>0</v>
      </c>
      <c r="I60" s="508"/>
    </row>
    <row r="61" spans="1:9" x14ac:dyDescent="0.2">
      <c r="A61" s="493" t="s">
        <v>965</v>
      </c>
      <c r="B61" s="196">
        <f t="shared" si="8"/>
        <v>2</v>
      </c>
      <c r="C61" s="525">
        <v>0</v>
      </c>
      <c r="D61" s="525">
        <v>0</v>
      </c>
      <c r="E61" s="525">
        <v>0</v>
      </c>
      <c r="F61" s="525">
        <v>0</v>
      </c>
      <c r="G61" s="525">
        <v>2</v>
      </c>
      <c r="H61" s="525">
        <v>0</v>
      </c>
      <c r="I61" s="508"/>
    </row>
    <row r="62" spans="1:9" x14ac:dyDescent="0.2">
      <c r="A62" s="493" t="s">
        <v>955</v>
      </c>
      <c r="B62" s="196">
        <f t="shared" si="8"/>
        <v>1</v>
      </c>
      <c r="C62" s="525">
        <v>0</v>
      </c>
      <c r="D62" s="525">
        <v>0</v>
      </c>
      <c r="E62" s="525">
        <v>0</v>
      </c>
      <c r="F62" s="525">
        <v>0</v>
      </c>
      <c r="G62" s="525">
        <v>1</v>
      </c>
      <c r="H62" s="525">
        <v>0</v>
      </c>
      <c r="I62" s="508"/>
    </row>
    <row r="63" spans="1:9" x14ac:dyDescent="0.2">
      <c r="A63" s="493" t="s">
        <v>946</v>
      </c>
      <c r="B63" s="196">
        <f t="shared" si="8"/>
        <v>1</v>
      </c>
      <c r="C63" s="525">
        <v>0</v>
      </c>
      <c r="D63" s="525">
        <v>0</v>
      </c>
      <c r="E63" s="525">
        <v>0</v>
      </c>
      <c r="F63" s="525">
        <v>0</v>
      </c>
      <c r="G63" s="525">
        <v>1</v>
      </c>
      <c r="H63" s="525">
        <v>0</v>
      </c>
      <c r="I63" s="508"/>
    </row>
    <row r="64" spans="1:9" x14ac:dyDescent="0.2">
      <c r="A64" s="493" t="s">
        <v>874</v>
      </c>
      <c r="B64" s="196">
        <f t="shared" si="8"/>
        <v>1</v>
      </c>
      <c r="C64" s="525">
        <v>1</v>
      </c>
      <c r="D64" s="525">
        <v>0</v>
      </c>
      <c r="E64" s="525">
        <v>0</v>
      </c>
      <c r="F64" s="525">
        <v>0</v>
      </c>
      <c r="G64" s="525">
        <v>0</v>
      </c>
      <c r="H64" s="525">
        <v>0</v>
      </c>
      <c r="I64" s="508"/>
    </row>
    <row r="65" spans="1:9" x14ac:dyDescent="0.2">
      <c r="A65" s="493" t="s">
        <v>952</v>
      </c>
      <c r="B65" s="196">
        <f t="shared" si="8"/>
        <v>1</v>
      </c>
      <c r="C65" s="525">
        <v>0</v>
      </c>
      <c r="D65" s="525">
        <v>0</v>
      </c>
      <c r="E65" s="525">
        <v>0</v>
      </c>
      <c r="F65" s="525">
        <v>0</v>
      </c>
      <c r="G65" s="525">
        <v>1</v>
      </c>
      <c r="H65" s="525">
        <v>0</v>
      </c>
      <c r="I65" s="508"/>
    </row>
    <row r="66" spans="1:9" x14ac:dyDescent="0.2">
      <c r="A66" s="493" t="s">
        <v>951</v>
      </c>
      <c r="B66" s="196">
        <f t="shared" si="8"/>
        <v>1</v>
      </c>
      <c r="C66" s="525">
        <v>0</v>
      </c>
      <c r="D66" s="525">
        <v>0</v>
      </c>
      <c r="E66" s="525">
        <v>0</v>
      </c>
      <c r="F66" s="525">
        <v>0</v>
      </c>
      <c r="G66" s="525">
        <v>1</v>
      </c>
      <c r="H66" s="525">
        <v>0</v>
      </c>
      <c r="I66" s="508"/>
    </row>
    <row r="67" spans="1:9" x14ac:dyDescent="0.2">
      <c r="A67" s="512" t="s">
        <v>12</v>
      </c>
      <c r="B67" s="196">
        <f t="shared" si="8"/>
        <v>3</v>
      </c>
      <c r="C67" s="524">
        <f t="shared" ref="C67:H67" si="11">SUM(C68:C70)</f>
        <v>0</v>
      </c>
      <c r="D67" s="524">
        <f t="shared" si="11"/>
        <v>0</v>
      </c>
      <c r="E67" s="524">
        <f t="shared" si="11"/>
        <v>0</v>
      </c>
      <c r="F67" s="524">
        <f t="shared" si="11"/>
        <v>0</v>
      </c>
      <c r="G67" s="524">
        <f t="shared" si="11"/>
        <v>3</v>
      </c>
      <c r="H67" s="524">
        <f t="shared" si="11"/>
        <v>0</v>
      </c>
      <c r="I67" s="508"/>
    </row>
    <row r="68" spans="1:9" x14ac:dyDescent="0.2">
      <c r="A68" s="493" t="s">
        <v>965</v>
      </c>
      <c r="B68" s="196">
        <f t="shared" si="8"/>
        <v>1</v>
      </c>
      <c r="C68" s="525">
        <v>0</v>
      </c>
      <c r="D68" s="525">
        <v>0</v>
      </c>
      <c r="E68" s="525">
        <v>0</v>
      </c>
      <c r="F68" s="525">
        <v>0</v>
      </c>
      <c r="G68" s="525">
        <v>1</v>
      </c>
      <c r="H68" s="525">
        <v>0</v>
      </c>
      <c r="I68" s="508"/>
    </row>
    <row r="69" spans="1:9" x14ac:dyDescent="0.2">
      <c r="A69" s="493" t="s">
        <v>949</v>
      </c>
      <c r="B69" s="196">
        <f t="shared" si="8"/>
        <v>1</v>
      </c>
      <c r="C69" s="525">
        <v>0</v>
      </c>
      <c r="D69" s="525">
        <v>0</v>
      </c>
      <c r="E69" s="525">
        <v>0</v>
      </c>
      <c r="F69" s="525">
        <v>0</v>
      </c>
      <c r="G69" s="525">
        <v>1</v>
      </c>
      <c r="H69" s="525">
        <v>0</v>
      </c>
      <c r="I69" s="508"/>
    </row>
    <row r="70" spans="1:9" x14ac:dyDescent="0.2">
      <c r="A70" s="493" t="s">
        <v>874</v>
      </c>
      <c r="B70" s="196">
        <f t="shared" si="8"/>
        <v>1</v>
      </c>
      <c r="C70" s="525">
        <v>0</v>
      </c>
      <c r="D70" s="525">
        <v>0</v>
      </c>
      <c r="E70" s="525">
        <v>0</v>
      </c>
      <c r="F70" s="525">
        <v>0</v>
      </c>
      <c r="G70" s="525">
        <v>1</v>
      </c>
      <c r="H70" s="525">
        <v>0</v>
      </c>
      <c r="I70" s="508"/>
    </row>
    <row r="71" spans="1:9" x14ac:dyDescent="0.2">
      <c r="A71" s="512" t="s">
        <v>13</v>
      </c>
      <c r="B71" s="196">
        <f t="shared" si="8"/>
        <v>13</v>
      </c>
      <c r="C71" s="524">
        <f t="shared" ref="C71:H71" si="12">SUM(C72:C79)</f>
        <v>1</v>
      </c>
      <c r="D71" s="524">
        <f t="shared" si="12"/>
        <v>3</v>
      </c>
      <c r="E71" s="524">
        <f t="shared" si="12"/>
        <v>0</v>
      </c>
      <c r="F71" s="524">
        <f t="shared" si="12"/>
        <v>0</v>
      </c>
      <c r="G71" s="524">
        <f t="shared" si="12"/>
        <v>8</v>
      </c>
      <c r="H71" s="524">
        <f t="shared" si="12"/>
        <v>1</v>
      </c>
      <c r="I71" s="508"/>
    </row>
    <row r="72" spans="1:9" x14ac:dyDescent="0.2">
      <c r="A72" s="493" t="s">
        <v>966</v>
      </c>
      <c r="B72" s="196">
        <f t="shared" si="8"/>
        <v>1</v>
      </c>
      <c r="C72" s="525">
        <v>0</v>
      </c>
      <c r="D72" s="525">
        <v>0</v>
      </c>
      <c r="E72" s="525">
        <v>0</v>
      </c>
      <c r="F72" s="525">
        <v>0</v>
      </c>
      <c r="G72" s="525">
        <v>1</v>
      </c>
      <c r="H72" s="525">
        <v>0</v>
      </c>
      <c r="I72" s="508"/>
    </row>
    <row r="73" spans="1:9" ht="10.5" customHeight="1" x14ac:dyDescent="0.2">
      <c r="A73" s="493" t="s">
        <v>948</v>
      </c>
      <c r="B73" s="196">
        <f t="shared" si="8"/>
        <v>1</v>
      </c>
      <c r="C73" s="525">
        <v>0</v>
      </c>
      <c r="D73" s="525">
        <v>0</v>
      </c>
      <c r="E73" s="525">
        <v>0</v>
      </c>
      <c r="F73" s="525">
        <v>0</v>
      </c>
      <c r="G73" s="525">
        <v>1</v>
      </c>
      <c r="H73" s="525">
        <v>0</v>
      </c>
      <c r="I73" s="508"/>
    </row>
    <row r="74" spans="1:9" x14ac:dyDescent="0.2">
      <c r="A74" s="493" t="s">
        <v>959</v>
      </c>
      <c r="B74" s="196">
        <f t="shared" si="8"/>
        <v>1</v>
      </c>
      <c r="C74" s="525">
        <v>0</v>
      </c>
      <c r="D74" s="525">
        <v>1</v>
      </c>
      <c r="E74" s="525">
        <v>0</v>
      </c>
      <c r="F74" s="525">
        <v>0</v>
      </c>
      <c r="G74" s="525">
        <v>0</v>
      </c>
      <c r="H74" s="525">
        <v>0</v>
      </c>
      <c r="I74" s="508"/>
    </row>
    <row r="75" spans="1:9" x14ac:dyDescent="0.2">
      <c r="A75" s="493" t="s">
        <v>949</v>
      </c>
      <c r="B75" s="196">
        <f t="shared" si="8"/>
        <v>2</v>
      </c>
      <c r="C75" s="525">
        <v>0</v>
      </c>
      <c r="D75" s="525">
        <v>0</v>
      </c>
      <c r="E75" s="525">
        <v>0</v>
      </c>
      <c r="F75" s="525">
        <v>0</v>
      </c>
      <c r="G75" s="525">
        <v>2</v>
      </c>
      <c r="H75" s="525">
        <v>0</v>
      </c>
      <c r="I75" s="508"/>
    </row>
    <row r="76" spans="1:9" x14ac:dyDescent="0.2">
      <c r="A76" s="493" t="s">
        <v>957</v>
      </c>
      <c r="B76" s="196">
        <f t="shared" si="8"/>
        <v>5</v>
      </c>
      <c r="C76" s="525">
        <v>1</v>
      </c>
      <c r="D76" s="525">
        <v>1</v>
      </c>
      <c r="E76" s="525">
        <v>0</v>
      </c>
      <c r="F76" s="525">
        <v>0</v>
      </c>
      <c r="G76" s="525">
        <v>2</v>
      </c>
      <c r="H76" s="525">
        <v>1</v>
      </c>
      <c r="I76" s="508"/>
    </row>
    <row r="77" spans="1:9" x14ac:dyDescent="0.2">
      <c r="A77" s="493" t="s">
        <v>946</v>
      </c>
      <c r="B77" s="196">
        <f t="shared" si="8"/>
        <v>1</v>
      </c>
      <c r="C77" s="525">
        <v>0</v>
      </c>
      <c r="D77" s="525">
        <v>1</v>
      </c>
      <c r="E77" s="525">
        <v>0</v>
      </c>
      <c r="F77" s="525">
        <v>0</v>
      </c>
      <c r="G77" s="525">
        <v>0</v>
      </c>
      <c r="H77" s="525">
        <v>0</v>
      </c>
      <c r="I77" s="508"/>
    </row>
    <row r="78" spans="1:9" x14ac:dyDescent="0.2">
      <c r="A78" s="493" t="s">
        <v>874</v>
      </c>
      <c r="B78" s="196">
        <f t="shared" si="8"/>
        <v>1</v>
      </c>
      <c r="C78" s="525">
        <v>0</v>
      </c>
      <c r="D78" s="525">
        <v>0</v>
      </c>
      <c r="E78" s="525">
        <v>0</v>
      </c>
      <c r="F78" s="525">
        <v>0</v>
      </c>
      <c r="G78" s="525">
        <v>1</v>
      </c>
      <c r="H78" s="525">
        <v>0</v>
      </c>
      <c r="I78" s="508"/>
    </row>
    <row r="79" spans="1:9" x14ac:dyDescent="0.2">
      <c r="A79" s="493" t="s">
        <v>950</v>
      </c>
      <c r="B79" s="196">
        <f t="shared" si="8"/>
        <v>1</v>
      </c>
      <c r="C79" s="525">
        <v>0</v>
      </c>
      <c r="D79" s="525">
        <v>0</v>
      </c>
      <c r="E79" s="525">
        <v>0</v>
      </c>
      <c r="F79" s="525">
        <v>0</v>
      </c>
      <c r="G79" s="525">
        <v>1</v>
      </c>
      <c r="H79" s="525">
        <v>0</v>
      </c>
      <c r="I79" s="508"/>
    </row>
    <row r="80" spans="1:9" x14ac:dyDescent="0.2">
      <c r="A80" s="512" t="s">
        <v>47</v>
      </c>
      <c r="B80" s="196">
        <f t="shared" si="8"/>
        <v>11</v>
      </c>
      <c r="C80" s="524">
        <f t="shared" ref="C80:H80" si="13">SUM(C81:C83)</f>
        <v>0</v>
      </c>
      <c r="D80" s="524">
        <f t="shared" si="13"/>
        <v>1</v>
      </c>
      <c r="E80" s="524">
        <f t="shared" si="13"/>
        <v>1</v>
      </c>
      <c r="F80" s="524">
        <f t="shared" si="13"/>
        <v>0</v>
      </c>
      <c r="G80" s="524">
        <f t="shared" si="13"/>
        <v>9</v>
      </c>
      <c r="H80" s="524">
        <f t="shared" si="13"/>
        <v>0</v>
      </c>
      <c r="I80" s="508"/>
    </row>
    <row r="81" spans="1:9" x14ac:dyDescent="0.2">
      <c r="A81" s="493" t="s">
        <v>949</v>
      </c>
      <c r="B81" s="196">
        <f t="shared" si="8"/>
        <v>1</v>
      </c>
      <c r="C81" s="525">
        <v>0</v>
      </c>
      <c r="D81" s="525">
        <v>0</v>
      </c>
      <c r="E81" s="525">
        <v>0</v>
      </c>
      <c r="F81" s="525">
        <v>0</v>
      </c>
      <c r="G81" s="525">
        <v>1</v>
      </c>
      <c r="H81" s="525">
        <v>0</v>
      </c>
      <c r="I81" s="508"/>
    </row>
    <row r="82" spans="1:9" x14ac:dyDescent="0.2">
      <c r="A82" s="493" t="s">
        <v>946</v>
      </c>
      <c r="B82" s="196">
        <f t="shared" si="8"/>
        <v>3</v>
      </c>
      <c r="C82" s="525">
        <v>0</v>
      </c>
      <c r="D82" s="525">
        <v>0</v>
      </c>
      <c r="E82" s="525">
        <v>0</v>
      </c>
      <c r="F82" s="525">
        <v>0</v>
      </c>
      <c r="G82" s="525">
        <v>3</v>
      </c>
      <c r="H82" s="525">
        <v>0</v>
      </c>
      <c r="I82" s="508"/>
    </row>
    <row r="83" spans="1:9" x14ac:dyDescent="0.2">
      <c r="A83" s="493" t="s">
        <v>874</v>
      </c>
      <c r="B83" s="196">
        <f t="shared" si="8"/>
        <v>7</v>
      </c>
      <c r="C83" s="525">
        <v>0</v>
      </c>
      <c r="D83" s="525">
        <v>1</v>
      </c>
      <c r="E83" s="525">
        <v>1</v>
      </c>
      <c r="F83" s="525">
        <v>0</v>
      </c>
      <c r="G83" s="525">
        <v>5</v>
      </c>
      <c r="H83" s="525">
        <v>0</v>
      </c>
      <c r="I83" s="508"/>
    </row>
    <row r="84" spans="1:9" x14ac:dyDescent="0.2">
      <c r="A84" s="512" t="s">
        <v>135</v>
      </c>
      <c r="B84" s="196">
        <f t="shared" si="8"/>
        <v>6</v>
      </c>
      <c r="C84" s="524">
        <f t="shared" ref="C84:H84" si="14">SUM(C85)</f>
        <v>1</v>
      </c>
      <c r="D84" s="524">
        <f t="shared" si="14"/>
        <v>0</v>
      </c>
      <c r="E84" s="524">
        <f t="shared" si="14"/>
        <v>0</v>
      </c>
      <c r="F84" s="524">
        <f t="shared" si="14"/>
        <v>1</v>
      </c>
      <c r="G84" s="524">
        <f t="shared" si="14"/>
        <v>0</v>
      </c>
      <c r="H84" s="524">
        <f t="shared" si="14"/>
        <v>4</v>
      </c>
      <c r="I84" s="508"/>
    </row>
    <row r="85" spans="1:9" x14ac:dyDescent="0.2">
      <c r="A85" s="493" t="s">
        <v>874</v>
      </c>
      <c r="B85" s="196">
        <f t="shared" si="8"/>
        <v>6</v>
      </c>
      <c r="C85" s="525">
        <v>1</v>
      </c>
      <c r="D85" s="525">
        <v>0</v>
      </c>
      <c r="E85" s="525">
        <v>0</v>
      </c>
      <c r="F85" s="525">
        <v>1</v>
      </c>
      <c r="G85" s="525">
        <v>0</v>
      </c>
      <c r="H85" s="525">
        <v>4</v>
      </c>
      <c r="I85" s="508"/>
    </row>
    <row r="86" spans="1:9" x14ac:dyDescent="0.2">
      <c r="A86" s="512" t="s">
        <v>136</v>
      </c>
      <c r="B86" s="196">
        <f t="shared" si="8"/>
        <v>7</v>
      </c>
      <c r="C86" s="524">
        <f t="shared" ref="C86:H86" si="15">SUM(C87:C89)</f>
        <v>1</v>
      </c>
      <c r="D86" s="524">
        <f t="shared" si="15"/>
        <v>0</v>
      </c>
      <c r="E86" s="524">
        <f t="shared" si="15"/>
        <v>0</v>
      </c>
      <c r="F86" s="524">
        <f t="shared" si="15"/>
        <v>0</v>
      </c>
      <c r="G86" s="524">
        <f t="shared" si="15"/>
        <v>6</v>
      </c>
      <c r="H86" s="524">
        <f t="shared" si="15"/>
        <v>0</v>
      </c>
      <c r="I86" s="508"/>
    </row>
    <row r="87" spans="1:9" x14ac:dyDescent="0.2">
      <c r="A87" s="493" t="s">
        <v>967</v>
      </c>
      <c r="B87" s="196">
        <f t="shared" si="8"/>
        <v>1</v>
      </c>
      <c r="C87" s="525">
        <v>1</v>
      </c>
      <c r="D87" s="525">
        <v>0</v>
      </c>
      <c r="E87" s="525">
        <v>0</v>
      </c>
      <c r="F87" s="525">
        <v>0</v>
      </c>
      <c r="G87" s="525">
        <v>0</v>
      </c>
      <c r="H87" s="525">
        <v>0</v>
      </c>
      <c r="I87" s="508"/>
    </row>
    <row r="88" spans="1:9" x14ac:dyDescent="0.2">
      <c r="A88" s="493" t="s">
        <v>957</v>
      </c>
      <c r="B88" s="196">
        <f t="shared" si="8"/>
        <v>5</v>
      </c>
      <c r="C88" s="525">
        <v>0</v>
      </c>
      <c r="D88" s="525">
        <v>0</v>
      </c>
      <c r="E88" s="525">
        <v>0</v>
      </c>
      <c r="F88" s="525">
        <v>0</v>
      </c>
      <c r="G88" s="525">
        <v>5</v>
      </c>
      <c r="H88" s="525">
        <v>0</v>
      </c>
      <c r="I88" s="508"/>
    </row>
    <row r="89" spans="1:9" x14ac:dyDescent="0.2">
      <c r="A89" s="493" t="s">
        <v>968</v>
      </c>
      <c r="B89" s="196">
        <f t="shared" si="8"/>
        <v>1</v>
      </c>
      <c r="C89" s="525">
        <v>0</v>
      </c>
      <c r="D89" s="525">
        <v>0</v>
      </c>
      <c r="E89" s="525">
        <v>0</v>
      </c>
      <c r="F89" s="525">
        <v>0</v>
      </c>
      <c r="G89" s="525">
        <v>1</v>
      </c>
      <c r="H89" s="525">
        <v>0</v>
      </c>
      <c r="I89" s="508"/>
    </row>
    <row r="90" spans="1:9" x14ac:dyDescent="0.2">
      <c r="A90" s="512" t="s">
        <v>17</v>
      </c>
      <c r="B90" s="196">
        <f t="shared" si="8"/>
        <v>3</v>
      </c>
      <c r="C90" s="524">
        <f t="shared" ref="C90:H90" si="16">SUM(C91)</f>
        <v>0</v>
      </c>
      <c r="D90" s="524">
        <f t="shared" si="16"/>
        <v>0</v>
      </c>
      <c r="E90" s="524">
        <f t="shared" si="16"/>
        <v>0</v>
      </c>
      <c r="F90" s="524">
        <f t="shared" si="16"/>
        <v>0</v>
      </c>
      <c r="G90" s="524">
        <f t="shared" si="16"/>
        <v>3</v>
      </c>
      <c r="H90" s="524">
        <f t="shared" si="16"/>
        <v>0</v>
      </c>
      <c r="I90" s="508"/>
    </row>
    <row r="91" spans="1:9" x14ac:dyDescent="0.2">
      <c r="A91" s="493" t="s">
        <v>874</v>
      </c>
      <c r="B91" s="196">
        <f t="shared" si="8"/>
        <v>3</v>
      </c>
      <c r="C91" s="525">
        <v>0</v>
      </c>
      <c r="D91" s="525">
        <v>0</v>
      </c>
      <c r="E91" s="525">
        <v>0</v>
      </c>
      <c r="F91" s="525">
        <v>0</v>
      </c>
      <c r="G91" s="525">
        <v>3</v>
      </c>
      <c r="H91" s="525">
        <v>0</v>
      </c>
      <c r="I91" s="508"/>
    </row>
    <row r="92" spans="1:9" x14ac:dyDescent="0.2">
      <c r="A92" s="512" t="s">
        <v>18</v>
      </c>
      <c r="B92" s="196">
        <f t="shared" si="8"/>
        <v>11</v>
      </c>
      <c r="C92" s="524">
        <f t="shared" ref="C92:H92" si="17">SUM(C93:C96)</f>
        <v>1</v>
      </c>
      <c r="D92" s="524">
        <f t="shared" si="17"/>
        <v>0</v>
      </c>
      <c r="E92" s="524">
        <f t="shared" si="17"/>
        <v>0</v>
      </c>
      <c r="F92" s="524">
        <f t="shared" si="17"/>
        <v>0</v>
      </c>
      <c r="G92" s="524">
        <f t="shared" si="17"/>
        <v>10</v>
      </c>
      <c r="H92" s="524">
        <f t="shared" si="17"/>
        <v>0</v>
      </c>
      <c r="I92" s="508"/>
    </row>
    <row r="93" spans="1:9" x14ac:dyDescent="0.2">
      <c r="A93" s="493" t="s">
        <v>949</v>
      </c>
      <c r="B93" s="196">
        <f t="shared" si="8"/>
        <v>3</v>
      </c>
      <c r="C93" s="525">
        <v>1</v>
      </c>
      <c r="D93" s="525">
        <v>0</v>
      </c>
      <c r="E93" s="525">
        <v>0</v>
      </c>
      <c r="F93" s="525">
        <v>0</v>
      </c>
      <c r="G93" s="525">
        <v>2</v>
      </c>
      <c r="H93" s="525">
        <v>0</v>
      </c>
      <c r="I93" s="508"/>
    </row>
    <row r="94" spans="1:9" x14ac:dyDescent="0.2">
      <c r="A94" s="493" t="s">
        <v>957</v>
      </c>
      <c r="B94" s="196">
        <f t="shared" si="8"/>
        <v>3</v>
      </c>
      <c r="C94" s="525">
        <v>0</v>
      </c>
      <c r="D94" s="525">
        <v>0</v>
      </c>
      <c r="E94" s="525">
        <v>0</v>
      </c>
      <c r="F94" s="525">
        <v>0</v>
      </c>
      <c r="G94" s="525">
        <v>3</v>
      </c>
      <c r="H94" s="525">
        <v>0</v>
      </c>
      <c r="I94" s="508"/>
    </row>
    <row r="95" spans="1:9" x14ac:dyDescent="0.2">
      <c r="A95" s="493" t="s">
        <v>946</v>
      </c>
      <c r="B95" s="196">
        <f t="shared" si="8"/>
        <v>1</v>
      </c>
      <c r="C95" s="525">
        <v>0</v>
      </c>
      <c r="D95" s="525">
        <v>0</v>
      </c>
      <c r="E95" s="525">
        <v>0</v>
      </c>
      <c r="F95" s="525">
        <v>0</v>
      </c>
      <c r="G95" s="525">
        <v>1</v>
      </c>
      <c r="H95" s="525">
        <v>0</v>
      </c>
      <c r="I95" s="508"/>
    </row>
    <row r="96" spans="1:9" x14ac:dyDescent="0.2">
      <c r="A96" s="493" t="s">
        <v>874</v>
      </c>
      <c r="B96" s="196">
        <f t="shared" si="8"/>
        <v>4</v>
      </c>
      <c r="C96" s="525">
        <v>0</v>
      </c>
      <c r="D96" s="525">
        <v>0</v>
      </c>
      <c r="E96" s="525">
        <v>0</v>
      </c>
      <c r="F96" s="525">
        <v>0</v>
      </c>
      <c r="G96" s="525">
        <v>4</v>
      </c>
      <c r="H96" s="525">
        <v>0</v>
      </c>
      <c r="I96" s="508"/>
    </row>
    <row r="97" spans="1:9" ht="7.5" customHeight="1" x14ac:dyDescent="0.2">
      <c r="A97" s="526"/>
      <c r="B97" s="196"/>
      <c r="C97" s="525"/>
      <c r="D97" s="525"/>
      <c r="E97" s="525"/>
      <c r="F97" s="525"/>
      <c r="G97" s="525"/>
      <c r="H97" s="525"/>
      <c r="I97" s="493"/>
    </row>
    <row r="98" spans="1:9" x14ac:dyDescent="0.2">
      <c r="A98" s="184" t="s">
        <v>19</v>
      </c>
      <c r="C98" s="508"/>
      <c r="D98" s="508"/>
      <c r="E98" s="508"/>
      <c r="F98" s="508"/>
      <c r="G98" s="508"/>
      <c r="H98" s="508"/>
      <c r="I98" s="508"/>
    </row>
    <row r="99" spans="1:9" x14ac:dyDescent="0.25">
      <c r="A99" s="70" t="s">
        <v>936</v>
      </c>
      <c r="C99" s="508"/>
      <c r="D99" s="508"/>
      <c r="E99" s="508"/>
      <c r="F99" s="508"/>
      <c r="G99" s="508"/>
      <c r="H99" s="508"/>
      <c r="I99" s="508"/>
    </row>
  </sheetData>
  <mergeCells count="4">
    <mergeCell ref="A2:H2"/>
    <mergeCell ref="A4:A5"/>
    <mergeCell ref="B4:B5"/>
    <mergeCell ref="C4:H4"/>
  </mergeCells>
  <pageMargins left="0.39370078740157483" right="0.39370078740157483" top="0.59055118110236227" bottom="0.39370078740157483" header="0" footer="0"/>
  <pageSetup paperSize="14" scale="73"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2CBBD-662B-4230-B21C-F6E858250F00}">
  <sheetPr codeName="Hoja51"/>
  <dimension ref="A2:I24"/>
  <sheetViews>
    <sheetView showGridLines="0" zoomScaleNormal="100" workbookViewId="0">
      <selection activeCell="B31" sqref="B31"/>
    </sheetView>
  </sheetViews>
  <sheetFormatPr baseColWidth="10" defaultColWidth="11.44140625" defaultRowHeight="10.199999999999999" x14ac:dyDescent="0.2"/>
  <cols>
    <col min="1" max="1" width="16.88671875" style="494" customWidth="1"/>
    <col min="2" max="2" width="9" style="494" customWidth="1"/>
    <col min="3" max="8" width="19" style="527" customWidth="1"/>
    <col min="9" max="9" width="11.44140625" style="533"/>
    <col min="10" max="16384" width="11.44140625" style="494"/>
  </cols>
  <sheetData>
    <row r="2" spans="1:8" s="494" customFormat="1" ht="24" customHeight="1" x14ac:dyDescent="0.2">
      <c r="A2" s="223" t="s">
        <v>813</v>
      </c>
      <c r="B2" s="223"/>
      <c r="C2" s="223"/>
      <c r="D2" s="223"/>
      <c r="E2" s="223"/>
      <c r="F2" s="223"/>
      <c r="G2" s="223"/>
      <c r="H2" s="223"/>
    </row>
    <row r="4" spans="1:8" s="494" customFormat="1" x14ac:dyDescent="0.2">
      <c r="A4" s="497" t="s">
        <v>0</v>
      </c>
      <c r="B4" s="497" t="s">
        <v>42</v>
      </c>
      <c r="C4" s="497" t="s">
        <v>969</v>
      </c>
      <c r="D4" s="497"/>
      <c r="E4" s="497"/>
      <c r="F4" s="497"/>
      <c r="G4" s="497"/>
      <c r="H4" s="497"/>
    </row>
    <row r="5" spans="1:8" s="494" customFormat="1" ht="81.75" customHeight="1" x14ac:dyDescent="0.2">
      <c r="A5" s="497"/>
      <c r="B5" s="497"/>
      <c r="C5" s="502" t="s">
        <v>970</v>
      </c>
      <c r="D5" s="502" t="s">
        <v>971</v>
      </c>
      <c r="E5" s="502" t="s">
        <v>940</v>
      </c>
      <c r="F5" s="502" t="s">
        <v>868</v>
      </c>
      <c r="G5" s="502" t="s">
        <v>869</v>
      </c>
      <c r="H5" s="502" t="s">
        <v>972</v>
      </c>
    </row>
    <row r="6" spans="1:8" s="494" customFormat="1" x14ac:dyDescent="0.2">
      <c r="A6" s="494" t="s">
        <v>3</v>
      </c>
      <c r="B6" s="528">
        <f t="shared" ref="B6:B21" si="0">SUM(C6:H6)</f>
        <v>1327</v>
      </c>
      <c r="C6" s="529">
        <f t="shared" ref="C6:H6" si="1">SUM(C7:C21)</f>
        <v>112</v>
      </c>
      <c r="D6" s="529">
        <f t="shared" si="1"/>
        <v>211</v>
      </c>
      <c r="E6" s="529">
        <f t="shared" si="1"/>
        <v>7</v>
      </c>
      <c r="F6" s="529">
        <f t="shared" si="1"/>
        <v>28</v>
      </c>
      <c r="G6" s="529">
        <f t="shared" si="1"/>
        <v>952</v>
      </c>
      <c r="H6" s="529">
        <f t="shared" si="1"/>
        <v>17</v>
      </c>
    </row>
    <row r="7" spans="1:8" s="494" customFormat="1" x14ac:dyDescent="0.2">
      <c r="A7" s="530" t="s">
        <v>4</v>
      </c>
      <c r="B7" s="528">
        <f t="shared" si="0"/>
        <v>102</v>
      </c>
      <c r="C7" s="127">
        <v>3</v>
      </c>
      <c r="D7" s="127">
        <v>46</v>
      </c>
      <c r="E7" s="127">
        <v>0</v>
      </c>
      <c r="F7" s="127">
        <v>0</v>
      </c>
      <c r="G7" s="127">
        <v>50</v>
      </c>
      <c r="H7" s="127">
        <v>3</v>
      </c>
    </row>
    <row r="8" spans="1:8" s="494" customFormat="1" x14ac:dyDescent="0.2">
      <c r="A8" s="530" t="s">
        <v>5</v>
      </c>
      <c r="B8" s="528">
        <f t="shared" si="0"/>
        <v>83</v>
      </c>
      <c r="C8" s="127">
        <v>4</v>
      </c>
      <c r="D8" s="127">
        <v>4</v>
      </c>
      <c r="E8" s="127">
        <v>0</v>
      </c>
      <c r="F8" s="127">
        <v>1</v>
      </c>
      <c r="G8" s="127">
        <v>74</v>
      </c>
      <c r="H8" s="127">
        <v>0</v>
      </c>
    </row>
    <row r="9" spans="1:8" s="494" customFormat="1" x14ac:dyDescent="0.2">
      <c r="A9" s="530" t="s">
        <v>6</v>
      </c>
      <c r="B9" s="528">
        <f t="shared" si="0"/>
        <v>15</v>
      </c>
      <c r="C9" s="127">
        <v>0</v>
      </c>
      <c r="D9" s="127">
        <v>1</v>
      </c>
      <c r="E9" s="127">
        <v>1</v>
      </c>
      <c r="F9" s="127">
        <v>0</v>
      </c>
      <c r="G9" s="127">
        <v>13</v>
      </c>
      <c r="H9" s="127">
        <v>0</v>
      </c>
    </row>
    <row r="10" spans="1:8" s="494" customFormat="1" x14ac:dyDescent="0.2">
      <c r="A10" s="530" t="s">
        <v>7</v>
      </c>
      <c r="B10" s="528">
        <f t="shared" si="0"/>
        <v>48</v>
      </c>
      <c r="C10" s="127">
        <v>2</v>
      </c>
      <c r="D10" s="127">
        <v>9</v>
      </c>
      <c r="E10" s="127">
        <v>0</v>
      </c>
      <c r="F10" s="127">
        <v>0</v>
      </c>
      <c r="G10" s="127">
        <v>32</v>
      </c>
      <c r="H10" s="127">
        <v>5</v>
      </c>
    </row>
    <row r="11" spans="1:8" s="494" customFormat="1" x14ac:dyDescent="0.2">
      <c r="A11" s="530" t="s">
        <v>8</v>
      </c>
      <c r="B11" s="528">
        <f t="shared" si="0"/>
        <v>119</v>
      </c>
      <c r="C11" s="127">
        <v>5</v>
      </c>
      <c r="D11" s="127">
        <v>20</v>
      </c>
      <c r="E11" s="127">
        <v>0</v>
      </c>
      <c r="F11" s="127">
        <v>4</v>
      </c>
      <c r="G11" s="127">
        <v>89</v>
      </c>
      <c r="H11" s="127">
        <v>1</v>
      </c>
    </row>
    <row r="12" spans="1:8" s="494" customFormat="1" x14ac:dyDescent="0.2">
      <c r="A12" s="530" t="s">
        <v>9</v>
      </c>
      <c r="B12" s="528">
        <f t="shared" si="0"/>
        <v>135</v>
      </c>
      <c r="C12" s="127">
        <v>10</v>
      </c>
      <c r="D12" s="127">
        <v>21</v>
      </c>
      <c r="E12" s="127">
        <v>1</v>
      </c>
      <c r="F12" s="127">
        <v>6</v>
      </c>
      <c r="G12" s="127">
        <v>97</v>
      </c>
      <c r="H12" s="127">
        <v>0</v>
      </c>
    </row>
    <row r="13" spans="1:8" s="494" customFormat="1" x14ac:dyDescent="0.2">
      <c r="A13" s="530" t="s">
        <v>10</v>
      </c>
      <c r="B13" s="528">
        <f t="shared" si="0"/>
        <v>458</v>
      </c>
      <c r="C13" s="127">
        <v>46</v>
      </c>
      <c r="D13" s="127">
        <v>47</v>
      </c>
      <c r="E13" s="127">
        <v>5</v>
      </c>
      <c r="F13" s="127">
        <v>14</v>
      </c>
      <c r="G13" s="127">
        <v>343</v>
      </c>
      <c r="H13" s="127">
        <v>3</v>
      </c>
    </row>
    <row r="14" spans="1:8" s="494" customFormat="1" x14ac:dyDescent="0.2">
      <c r="A14" s="530" t="s">
        <v>134</v>
      </c>
      <c r="B14" s="528">
        <f t="shared" si="0"/>
        <v>76</v>
      </c>
      <c r="C14" s="127">
        <v>9</v>
      </c>
      <c r="D14" s="127">
        <v>4</v>
      </c>
      <c r="E14" s="127">
        <v>0</v>
      </c>
      <c r="F14" s="127">
        <v>1</v>
      </c>
      <c r="G14" s="127">
        <v>62</v>
      </c>
      <c r="H14" s="127">
        <v>0</v>
      </c>
    </row>
    <row r="15" spans="1:8" s="494" customFormat="1" x14ac:dyDescent="0.2">
      <c r="A15" s="530" t="s">
        <v>12</v>
      </c>
      <c r="B15" s="528">
        <f t="shared" si="0"/>
        <v>73</v>
      </c>
      <c r="C15" s="127">
        <v>11</v>
      </c>
      <c r="D15" s="127">
        <v>9</v>
      </c>
      <c r="E15" s="127">
        <v>0</v>
      </c>
      <c r="F15" s="127">
        <v>1</v>
      </c>
      <c r="G15" s="127">
        <v>52</v>
      </c>
      <c r="H15" s="127">
        <v>0</v>
      </c>
    </row>
    <row r="16" spans="1:8" s="494" customFormat="1" x14ac:dyDescent="0.2">
      <c r="A16" s="530" t="s">
        <v>13</v>
      </c>
      <c r="B16" s="528">
        <f t="shared" si="0"/>
        <v>58</v>
      </c>
      <c r="C16" s="127">
        <v>1</v>
      </c>
      <c r="D16" s="127">
        <v>5</v>
      </c>
      <c r="E16" s="127">
        <v>0</v>
      </c>
      <c r="F16" s="127">
        <v>0</v>
      </c>
      <c r="G16" s="127">
        <v>52</v>
      </c>
      <c r="H16" s="127">
        <v>0</v>
      </c>
    </row>
    <row r="17" spans="1:8" s="494" customFormat="1" x14ac:dyDescent="0.2">
      <c r="A17" s="530" t="s">
        <v>47</v>
      </c>
      <c r="B17" s="528">
        <f t="shared" si="0"/>
        <v>47</v>
      </c>
      <c r="C17" s="127">
        <v>4</v>
      </c>
      <c r="D17" s="127">
        <v>4</v>
      </c>
      <c r="E17" s="127">
        <v>0</v>
      </c>
      <c r="F17" s="127">
        <v>0</v>
      </c>
      <c r="G17" s="127">
        <v>39</v>
      </c>
      <c r="H17" s="127">
        <v>0</v>
      </c>
    </row>
    <row r="18" spans="1:8" s="494" customFormat="1" x14ac:dyDescent="0.2">
      <c r="A18" s="530" t="s">
        <v>135</v>
      </c>
      <c r="B18" s="528">
        <f t="shared" si="0"/>
        <v>35</v>
      </c>
      <c r="C18" s="127">
        <v>3</v>
      </c>
      <c r="D18" s="127">
        <v>20</v>
      </c>
      <c r="E18" s="127">
        <v>0</v>
      </c>
      <c r="F18" s="127">
        <v>1</v>
      </c>
      <c r="G18" s="127">
        <v>6</v>
      </c>
      <c r="H18" s="127">
        <v>5</v>
      </c>
    </row>
    <row r="19" spans="1:8" s="494" customFormat="1" x14ac:dyDescent="0.2">
      <c r="A19" s="530" t="s">
        <v>136</v>
      </c>
      <c r="B19" s="528">
        <f t="shared" si="0"/>
        <v>67</v>
      </c>
      <c r="C19" s="127">
        <v>10</v>
      </c>
      <c r="D19" s="127">
        <v>19</v>
      </c>
      <c r="E19" s="127">
        <v>0</v>
      </c>
      <c r="F19" s="127">
        <v>0</v>
      </c>
      <c r="G19" s="127">
        <v>38</v>
      </c>
      <c r="H19" s="127">
        <v>0</v>
      </c>
    </row>
    <row r="20" spans="1:8" s="494" customFormat="1" x14ac:dyDescent="0.2">
      <c r="A20" s="530" t="s">
        <v>17</v>
      </c>
      <c r="B20" s="528">
        <f t="shared" si="0"/>
        <v>1</v>
      </c>
      <c r="C20" s="127">
        <v>0</v>
      </c>
      <c r="D20" s="127">
        <v>1</v>
      </c>
      <c r="E20" s="127">
        <v>0</v>
      </c>
      <c r="F20" s="127">
        <v>0</v>
      </c>
      <c r="G20" s="127">
        <v>0</v>
      </c>
      <c r="H20" s="127">
        <v>0</v>
      </c>
    </row>
    <row r="21" spans="1:8" s="494" customFormat="1" x14ac:dyDescent="0.2">
      <c r="A21" s="530" t="s">
        <v>18</v>
      </c>
      <c r="B21" s="528">
        <f t="shared" si="0"/>
        <v>10</v>
      </c>
      <c r="C21" s="127">
        <v>4</v>
      </c>
      <c r="D21" s="127">
        <v>1</v>
      </c>
      <c r="E21" s="127">
        <v>0</v>
      </c>
      <c r="F21" s="127">
        <v>0</v>
      </c>
      <c r="G21" s="127">
        <v>5</v>
      </c>
      <c r="H21" s="127">
        <v>0</v>
      </c>
    </row>
    <row r="22" spans="1:8" s="494" customFormat="1" x14ac:dyDescent="0.2">
      <c r="A22" s="531"/>
      <c r="B22" s="528"/>
      <c r="C22" s="127"/>
      <c r="D22" s="127"/>
      <c r="E22" s="127"/>
      <c r="F22" s="127"/>
      <c r="G22" s="127"/>
      <c r="H22" s="127"/>
    </row>
    <row r="23" spans="1:8" s="494" customFormat="1" x14ac:dyDescent="0.2">
      <c r="A23" s="184" t="s">
        <v>19</v>
      </c>
      <c r="B23" s="528"/>
      <c r="C23" s="127"/>
      <c r="D23" s="127"/>
      <c r="E23" s="127"/>
      <c r="F23" s="127"/>
      <c r="G23" s="127"/>
      <c r="H23" s="127"/>
    </row>
    <row r="24" spans="1:8" s="494" customFormat="1" x14ac:dyDescent="0.2">
      <c r="A24" s="70" t="s">
        <v>936</v>
      </c>
      <c r="C24" s="532"/>
      <c r="D24" s="532"/>
      <c r="E24" s="532"/>
      <c r="F24" s="532"/>
      <c r="G24" s="532"/>
      <c r="H24" s="532"/>
    </row>
  </sheetData>
  <mergeCells count="4">
    <mergeCell ref="A2:H2"/>
    <mergeCell ref="A4:A5"/>
    <mergeCell ref="B4:B5"/>
    <mergeCell ref="C4:H4"/>
  </mergeCells>
  <pageMargins left="0.70866141732283472" right="0.70866141732283472" top="0.74803149606299213" bottom="0.74803149606299213" header="0.31496062992125984" footer="0.31496062992125984"/>
  <pageSetup paperSize="14"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678C20-7D1E-4048-A73F-3E29C8D3D874}">
  <sheetPr codeName="Hoja52"/>
  <dimension ref="A2:I56"/>
  <sheetViews>
    <sheetView showGridLines="0" zoomScaleNormal="100" workbookViewId="0">
      <selection activeCell="B31" sqref="B31"/>
    </sheetView>
  </sheetViews>
  <sheetFormatPr baseColWidth="10" defaultColWidth="11.44140625" defaultRowHeight="10.199999999999999" x14ac:dyDescent="0.2"/>
  <cols>
    <col min="1" max="1" width="31.88671875" style="494" customWidth="1"/>
    <col min="2" max="2" width="9" style="494" customWidth="1"/>
    <col min="3" max="7" width="12.33203125" style="494" customWidth="1"/>
    <col min="8" max="8" width="14" style="494" customWidth="1"/>
    <col min="9" max="9" width="11.44140625" style="494"/>
    <col min="10" max="10" width="18.6640625" style="494" customWidth="1"/>
    <col min="11" max="11" width="9.5546875" style="494" customWidth="1"/>
    <col min="12" max="17" width="12.44140625" style="494" customWidth="1"/>
    <col min="18" max="16384" width="11.44140625" style="494"/>
  </cols>
  <sheetData>
    <row r="2" spans="1:9" ht="24" customHeight="1" x14ac:dyDescent="0.2">
      <c r="A2" s="223" t="s">
        <v>814</v>
      </c>
      <c r="B2" s="223"/>
      <c r="C2" s="223"/>
      <c r="D2" s="223"/>
      <c r="E2" s="223"/>
      <c r="F2" s="223"/>
      <c r="G2" s="223"/>
      <c r="H2" s="223"/>
    </row>
    <row r="4" spans="1:9" s="508" customFormat="1" ht="15.75" customHeight="1" x14ac:dyDescent="0.25">
      <c r="A4" s="534" t="s">
        <v>973</v>
      </c>
      <c r="B4" s="535" t="s">
        <v>42</v>
      </c>
      <c r="C4" s="497" t="s">
        <v>969</v>
      </c>
      <c r="D4" s="497"/>
      <c r="E4" s="497"/>
      <c r="F4" s="497"/>
      <c r="G4" s="497"/>
      <c r="H4" s="497"/>
    </row>
    <row r="5" spans="1:9" s="508" customFormat="1" ht="102" x14ac:dyDescent="0.25">
      <c r="A5" s="536"/>
      <c r="B5" s="537"/>
      <c r="C5" s="502" t="s">
        <v>970</v>
      </c>
      <c r="D5" s="502" t="s">
        <v>971</v>
      </c>
      <c r="E5" s="502" t="s">
        <v>940</v>
      </c>
      <c r="F5" s="502" t="s">
        <v>868</v>
      </c>
      <c r="G5" s="502" t="s">
        <v>869</v>
      </c>
      <c r="H5" s="502" t="s">
        <v>941</v>
      </c>
    </row>
    <row r="6" spans="1:9" x14ac:dyDescent="0.2">
      <c r="A6" s="494" t="s">
        <v>3</v>
      </c>
      <c r="B6" s="196">
        <f>SUM(B7:B8)</f>
        <v>1327</v>
      </c>
      <c r="C6" s="196">
        <f>SUM(C7:C8)</f>
        <v>112</v>
      </c>
      <c r="D6" s="196">
        <f t="shared" ref="D6:H6" si="0">SUM(D7:D8)</f>
        <v>211</v>
      </c>
      <c r="E6" s="196">
        <f t="shared" si="0"/>
        <v>7</v>
      </c>
      <c r="F6" s="196">
        <f t="shared" si="0"/>
        <v>28</v>
      </c>
      <c r="G6" s="196">
        <f t="shared" si="0"/>
        <v>952</v>
      </c>
      <c r="H6" s="196">
        <f t="shared" si="0"/>
        <v>17</v>
      </c>
      <c r="I6" s="538"/>
    </row>
    <row r="7" spans="1:9" x14ac:dyDescent="0.2">
      <c r="A7" s="494" t="s">
        <v>122</v>
      </c>
      <c r="B7" s="196">
        <f t="shared" ref="B7:B53" si="1">SUM(C7:H7)</f>
        <v>980</v>
      </c>
      <c r="C7" s="196">
        <f t="shared" ref="C7:H8" si="2">+C10+C13+C16+C19+C22+C25+C28+C31+C34+C37+C40+C43+C46+C49+C52</f>
        <v>87</v>
      </c>
      <c r="D7" s="196">
        <f t="shared" si="2"/>
        <v>153</v>
      </c>
      <c r="E7" s="196">
        <f t="shared" si="2"/>
        <v>6</v>
      </c>
      <c r="F7" s="196">
        <f t="shared" si="2"/>
        <v>21</v>
      </c>
      <c r="G7" s="196">
        <f t="shared" si="2"/>
        <v>699</v>
      </c>
      <c r="H7" s="196">
        <f t="shared" si="2"/>
        <v>14</v>
      </c>
    </row>
    <row r="8" spans="1:9" x14ac:dyDescent="0.2">
      <c r="A8" s="494" t="s">
        <v>123</v>
      </c>
      <c r="B8" s="196">
        <f t="shared" si="1"/>
        <v>347</v>
      </c>
      <c r="C8" s="196">
        <f t="shared" si="2"/>
        <v>25</v>
      </c>
      <c r="D8" s="196">
        <f t="shared" si="2"/>
        <v>58</v>
      </c>
      <c r="E8" s="196">
        <f t="shared" si="2"/>
        <v>1</v>
      </c>
      <c r="F8" s="196">
        <f t="shared" si="2"/>
        <v>7</v>
      </c>
      <c r="G8" s="196">
        <f t="shared" si="2"/>
        <v>253</v>
      </c>
      <c r="H8" s="196">
        <f t="shared" si="2"/>
        <v>3</v>
      </c>
    </row>
    <row r="9" spans="1:9" x14ac:dyDescent="0.2">
      <c r="A9" s="531" t="s">
        <v>4</v>
      </c>
      <c r="B9" s="196">
        <f t="shared" si="1"/>
        <v>102</v>
      </c>
      <c r="C9" s="196">
        <f>SUM(C10:C11)</f>
        <v>3</v>
      </c>
      <c r="D9" s="196">
        <f t="shared" ref="D9:H9" si="3">SUM(D10:D11)</f>
        <v>46</v>
      </c>
      <c r="E9" s="196">
        <f t="shared" si="3"/>
        <v>0</v>
      </c>
      <c r="F9" s="196">
        <f t="shared" si="3"/>
        <v>0</v>
      </c>
      <c r="G9" s="196">
        <f t="shared" si="3"/>
        <v>50</v>
      </c>
      <c r="H9" s="196">
        <f t="shared" si="3"/>
        <v>3</v>
      </c>
    </row>
    <row r="10" spans="1:9" x14ac:dyDescent="0.2">
      <c r="A10" s="539" t="s">
        <v>122</v>
      </c>
      <c r="B10" s="196">
        <f t="shared" si="1"/>
        <v>43</v>
      </c>
      <c r="C10" s="198">
        <v>1</v>
      </c>
      <c r="D10" s="198">
        <v>18</v>
      </c>
      <c r="E10" s="198">
        <v>0</v>
      </c>
      <c r="F10" s="198">
        <v>0</v>
      </c>
      <c r="G10" s="198">
        <v>22</v>
      </c>
      <c r="H10" s="198">
        <v>2</v>
      </c>
    </row>
    <row r="11" spans="1:9" x14ac:dyDescent="0.2">
      <c r="A11" s="539" t="s">
        <v>123</v>
      </c>
      <c r="B11" s="196">
        <f t="shared" si="1"/>
        <v>59</v>
      </c>
      <c r="C11" s="198">
        <v>2</v>
      </c>
      <c r="D11" s="198">
        <v>28</v>
      </c>
      <c r="E11" s="198">
        <v>0</v>
      </c>
      <c r="F11" s="198">
        <v>0</v>
      </c>
      <c r="G11" s="198">
        <v>28</v>
      </c>
      <c r="H11" s="198">
        <v>1</v>
      </c>
    </row>
    <row r="12" spans="1:9" x14ac:dyDescent="0.2">
      <c r="A12" s="540" t="s">
        <v>5</v>
      </c>
      <c r="B12" s="196">
        <f t="shared" si="1"/>
        <v>83</v>
      </c>
      <c r="C12" s="196">
        <f t="shared" ref="C12:H12" si="4">SUM(C13:C14)</f>
        <v>4</v>
      </c>
      <c r="D12" s="196">
        <f t="shared" si="4"/>
        <v>4</v>
      </c>
      <c r="E12" s="196">
        <f t="shared" si="4"/>
        <v>0</v>
      </c>
      <c r="F12" s="196">
        <f t="shared" si="4"/>
        <v>1</v>
      </c>
      <c r="G12" s="196">
        <f t="shared" si="4"/>
        <v>74</v>
      </c>
      <c r="H12" s="196">
        <f t="shared" si="4"/>
        <v>0</v>
      </c>
    </row>
    <row r="13" spans="1:9" x14ac:dyDescent="0.2">
      <c r="A13" s="539" t="s">
        <v>122</v>
      </c>
      <c r="B13" s="196">
        <f t="shared" si="1"/>
        <v>54</v>
      </c>
      <c r="C13" s="198">
        <v>4</v>
      </c>
      <c r="D13" s="198">
        <v>2</v>
      </c>
      <c r="E13" s="198">
        <v>0</v>
      </c>
      <c r="F13" s="198">
        <v>0</v>
      </c>
      <c r="G13" s="198">
        <v>48</v>
      </c>
      <c r="H13" s="198">
        <v>0</v>
      </c>
    </row>
    <row r="14" spans="1:9" x14ac:dyDescent="0.2">
      <c r="A14" s="539" t="s">
        <v>123</v>
      </c>
      <c r="B14" s="196">
        <f>SUM(C14:H14)</f>
        <v>29</v>
      </c>
      <c r="C14" s="198">
        <v>0</v>
      </c>
      <c r="D14" s="198">
        <v>2</v>
      </c>
      <c r="E14" s="198">
        <v>0</v>
      </c>
      <c r="F14" s="198">
        <v>1</v>
      </c>
      <c r="G14" s="198">
        <v>26</v>
      </c>
      <c r="H14" s="198">
        <v>0</v>
      </c>
    </row>
    <row r="15" spans="1:9" x14ac:dyDescent="0.2">
      <c r="A15" s="540" t="s">
        <v>6</v>
      </c>
      <c r="B15" s="196">
        <f t="shared" si="1"/>
        <v>15</v>
      </c>
      <c r="C15" s="196">
        <f t="shared" ref="C15:H15" si="5">SUM(C16:C17)</f>
        <v>0</v>
      </c>
      <c r="D15" s="196">
        <f t="shared" si="5"/>
        <v>1</v>
      </c>
      <c r="E15" s="196">
        <f t="shared" si="5"/>
        <v>1</v>
      </c>
      <c r="F15" s="196">
        <f t="shared" si="5"/>
        <v>0</v>
      </c>
      <c r="G15" s="196">
        <f t="shared" si="5"/>
        <v>13</v>
      </c>
      <c r="H15" s="196">
        <f t="shared" si="5"/>
        <v>0</v>
      </c>
    </row>
    <row r="16" spans="1:9" x14ac:dyDescent="0.2">
      <c r="A16" s="539" t="s">
        <v>122</v>
      </c>
      <c r="B16" s="196">
        <f>SUM(C16:H16)</f>
        <v>13</v>
      </c>
      <c r="C16" s="198">
        <v>0</v>
      </c>
      <c r="D16" s="198">
        <v>1</v>
      </c>
      <c r="E16" s="198">
        <v>1</v>
      </c>
      <c r="F16" s="198">
        <v>0</v>
      </c>
      <c r="G16" s="198">
        <v>11</v>
      </c>
      <c r="H16" s="198">
        <v>0</v>
      </c>
    </row>
    <row r="17" spans="1:8" x14ac:dyDescent="0.2">
      <c r="A17" s="539" t="s">
        <v>123</v>
      </c>
      <c r="B17" s="196">
        <f t="shared" si="1"/>
        <v>2</v>
      </c>
      <c r="C17" s="198">
        <v>0</v>
      </c>
      <c r="D17" s="198">
        <v>0</v>
      </c>
      <c r="E17" s="198">
        <v>0</v>
      </c>
      <c r="F17" s="198">
        <v>0</v>
      </c>
      <c r="G17" s="198">
        <v>2</v>
      </c>
      <c r="H17" s="198">
        <v>0</v>
      </c>
    </row>
    <row r="18" spans="1:8" x14ac:dyDescent="0.2">
      <c r="A18" s="540" t="s">
        <v>7</v>
      </c>
      <c r="B18" s="196">
        <f t="shared" si="1"/>
        <v>48</v>
      </c>
      <c r="C18" s="196">
        <f t="shared" ref="C18:H18" si="6">SUM(C19:C20)</f>
        <v>2</v>
      </c>
      <c r="D18" s="196">
        <f t="shared" si="6"/>
        <v>9</v>
      </c>
      <c r="E18" s="196">
        <f t="shared" si="6"/>
        <v>0</v>
      </c>
      <c r="F18" s="196">
        <f t="shared" si="6"/>
        <v>0</v>
      </c>
      <c r="G18" s="196">
        <f t="shared" si="6"/>
        <v>32</v>
      </c>
      <c r="H18" s="196">
        <f t="shared" si="6"/>
        <v>5</v>
      </c>
    </row>
    <row r="19" spans="1:8" x14ac:dyDescent="0.2">
      <c r="A19" s="539" t="s">
        <v>122</v>
      </c>
      <c r="B19" s="196">
        <f>SUM(C19:H19)</f>
        <v>43</v>
      </c>
      <c r="C19" s="198">
        <v>2</v>
      </c>
      <c r="D19" s="198">
        <v>9</v>
      </c>
      <c r="E19" s="198">
        <v>0</v>
      </c>
      <c r="F19" s="198">
        <v>0</v>
      </c>
      <c r="G19" s="198">
        <v>28</v>
      </c>
      <c r="H19" s="198">
        <v>4</v>
      </c>
    </row>
    <row r="20" spans="1:8" x14ac:dyDescent="0.2">
      <c r="A20" s="539" t="s">
        <v>123</v>
      </c>
      <c r="B20" s="196">
        <f t="shared" si="1"/>
        <v>5</v>
      </c>
      <c r="C20" s="198">
        <v>0</v>
      </c>
      <c r="D20" s="198">
        <v>0</v>
      </c>
      <c r="E20" s="198">
        <v>0</v>
      </c>
      <c r="F20" s="198">
        <v>0</v>
      </c>
      <c r="G20" s="198">
        <v>4</v>
      </c>
      <c r="H20" s="198">
        <v>1</v>
      </c>
    </row>
    <row r="21" spans="1:8" x14ac:dyDescent="0.2">
      <c r="A21" s="540" t="s">
        <v>8</v>
      </c>
      <c r="B21" s="196">
        <f t="shared" si="1"/>
        <v>119</v>
      </c>
      <c r="C21" s="196">
        <f t="shared" ref="C21:H21" si="7">SUM(C22:C23)</f>
        <v>5</v>
      </c>
      <c r="D21" s="196">
        <f t="shared" si="7"/>
        <v>20</v>
      </c>
      <c r="E21" s="196">
        <f t="shared" si="7"/>
        <v>0</v>
      </c>
      <c r="F21" s="196">
        <f t="shared" si="7"/>
        <v>4</v>
      </c>
      <c r="G21" s="196">
        <f t="shared" si="7"/>
        <v>89</v>
      </c>
      <c r="H21" s="196">
        <f t="shared" si="7"/>
        <v>1</v>
      </c>
    </row>
    <row r="22" spans="1:8" x14ac:dyDescent="0.2">
      <c r="A22" s="539" t="s">
        <v>122</v>
      </c>
      <c r="B22" s="196">
        <f>SUM(C22:H22)</f>
        <v>97</v>
      </c>
      <c r="C22" s="198">
        <v>5</v>
      </c>
      <c r="D22" s="198">
        <v>19</v>
      </c>
      <c r="E22" s="198">
        <v>0</v>
      </c>
      <c r="F22" s="198">
        <v>4</v>
      </c>
      <c r="G22" s="198">
        <v>68</v>
      </c>
      <c r="H22" s="198">
        <v>1</v>
      </c>
    </row>
    <row r="23" spans="1:8" x14ac:dyDescent="0.2">
      <c r="A23" s="539" t="s">
        <v>123</v>
      </c>
      <c r="B23" s="196">
        <f t="shared" si="1"/>
        <v>22</v>
      </c>
      <c r="C23" s="198">
        <v>0</v>
      </c>
      <c r="D23" s="198">
        <v>1</v>
      </c>
      <c r="E23" s="198">
        <v>0</v>
      </c>
      <c r="F23" s="198">
        <v>0</v>
      </c>
      <c r="G23" s="198">
        <v>21</v>
      </c>
      <c r="H23" s="198">
        <v>0</v>
      </c>
    </row>
    <row r="24" spans="1:8" x14ac:dyDescent="0.2">
      <c r="A24" s="540" t="s">
        <v>9</v>
      </c>
      <c r="B24" s="196">
        <f t="shared" si="1"/>
        <v>135</v>
      </c>
      <c r="C24" s="196">
        <f t="shared" ref="C24:H24" si="8">SUM(C25:C26)</f>
        <v>10</v>
      </c>
      <c r="D24" s="196">
        <f t="shared" si="8"/>
        <v>21</v>
      </c>
      <c r="E24" s="196">
        <f t="shared" si="8"/>
        <v>1</v>
      </c>
      <c r="F24" s="196">
        <f t="shared" si="8"/>
        <v>6</v>
      </c>
      <c r="G24" s="196">
        <f t="shared" si="8"/>
        <v>97</v>
      </c>
      <c r="H24" s="196">
        <f t="shared" si="8"/>
        <v>0</v>
      </c>
    </row>
    <row r="25" spans="1:8" x14ac:dyDescent="0.2">
      <c r="A25" s="539" t="s">
        <v>122</v>
      </c>
      <c r="B25" s="196">
        <f t="shared" si="1"/>
        <v>98</v>
      </c>
      <c r="C25" s="198">
        <v>7</v>
      </c>
      <c r="D25" s="198">
        <v>14</v>
      </c>
      <c r="E25" s="198">
        <v>1</v>
      </c>
      <c r="F25" s="198">
        <v>4</v>
      </c>
      <c r="G25" s="198">
        <v>72</v>
      </c>
      <c r="H25" s="198">
        <v>0</v>
      </c>
    </row>
    <row r="26" spans="1:8" x14ac:dyDescent="0.2">
      <c r="A26" s="539" t="s">
        <v>123</v>
      </c>
      <c r="B26" s="196">
        <f t="shared" si="1"/>
        <v>37</v>
      </c>
      <c r="C26" s="198">
        <v>3</v>
      </c>
      <c r="D26" s="198">
        <v>7</v>
      </c>
      <c r="E26" s="198">
        <v>0</v>
      </c>
      <c r="F26" s="198">
        <v>2</v>
      </c>
      <c r="G26" s="198">
        <v>25</v>
      </c>
      <c r="H26" s="198">
        <v>0</v>
      </c>
    </row>
    <row r="27" spans="1:8" x14ac:dyDescent="0.2">
      <c r="A27" s="531" t="s">
        <v>10</v>
      </c>
      <c r="B27" s="196">
        <f t="shared" si="1"/>
        <v>458</v>
      </c>
      <c r="C27" s="196">
        <f t="shared" ref="C27:H27" si="9">SUM(C28:C29)</f>
        <v>46</v>
      </c>
      <c r="D27" s="196">
        <f t="shared" si="9"/>
        <v>47</v>
      </c>
      <c r="E27" s="196">
        <f t="shared" si="9"/>
        <v>5</v>
      </c>
      <c r="F27" s="196">
        <f t="shared" si="9"/>
        <v>14</v>
      </c>
      <c r="G27" s="196">
        <f t="shared" si="9"/>
        <v>343</v>
      </c>
      <c r="H27" s="196">
        <f t="shared" si="9"/>
        <v>3</v>
      </c>
    </row>
    <row r="28" spans="1:8" x14ac:dyDescent="0.2">
      <c r="A28" s="539" t="s">
        <v>122</v>
      </c>
      <c r="B28" s="196">
        <f t="shared" si="1"/>
        <v>347</v>
      </c>
      <c r="C28" s="198">
        <v>37</v>
      </c>
      <c r="D28" s="198">
        <v>39</v>
      </c>
      <c r="E28" s="198">
        <v>4</v>
      </c>
      <c r="F28" s="198">
        <v>10</v>
      </c>
      <c r="G28" s="198">
        <v>254</v>
      </c>
      <c r="H28" s="198">
        <v>3</v>
      </c>
    </row>
    <row r="29" spans="1:8" x14ac:dyDescent="0.2">
      <c r="A29" s="539" t="s">
        <v>123</v>
      </c>
      <c r="B29" s="196">
        <f t="shared" si="1"/>
        <v>111</v>
      </c>
      <c r="C29" s="198">
        <v>9</v>
      </c>
      <c r="D29" s="198">
        <v>8</v>
      </c>
      <c r="E29" s="198">
        <v>1</v>
      </c>
      <c r="F29" s="198">
        <v>4</v>
      </c>
      <c r="G29" s="198">
        <v>89</v>
      </c>
      <c r="H29" s="198">
        <v>0</v>
      </c>
    </row>
    <row r="30" spans="1:8" x14ac:dyDescent="0.2">
      <c r="A30" s="531" t="s">
        <v>134</v>
      </c>
      <c r="B30" s="196">
        <f t="shared" si="1"/>
        <v>76</v>
      </c>
      <c r="C30" s="196">
        <f t="shared" ref="C30:H30" si="10">SUM(C31:C32)</f>
        <v>9</v>
      </c>
      <c r="D30" s="196">
        <f t="shared" si="10"/>
        <v>4</v>
      </c>
      <c r="E30" s="196">
        <f t="shared" si="10"/>
        <v>0</v>
      </c>
      <c r="F30" s="196">
        <f t="shared" si="10"/>
        <v>1</v>
      </c>
      <c r="G30" s="196">
        <f t="shared" si="10"/>
        <v>62</v>
      </c>
      <c r="H30" s="196">
        <f t="shared" si="10"/>
        <v>0</v>
      </c>
    </row>
    <row r="31" spans="1:8" x14ac:dyDescent="0.2">
      <c r="A31" s="539" t="s">
        <v>122</v>
      </c>
      <c r="B31" s="196">
        <f t="shared" si="1"/>
        <v>61</v>
      </c>
      <c r="C31" s="198">
        <v>7</v>
      </c>
      <c r="D31" s="198">
        <v>3</v>
      </c>
      <c r="E31" s="198">
        <v>0</v>
      </c>
      <c r="F31" s="198">
        <v>1</v>
      </c>
      <c r="G31" s="198">
        <v>50</v>
      </c>
      <c r="H31" s="198">
        <v>0</v>
      </c>
    </row>
    <row r="32" spans="1:8" x14ac:dyDescent="0.2">
      <c r="A32" s="539" t="s">
        <v>123</v>
      </c>
      <c r="B32" s="196">
        <f t="shared" si="1"/>
        <v>15</v>
      </c>
      <c r="C32" s="198">
        <v>2</v>
      </c>
      <c r="D32" s="198">
        <v>1</v>
      </c>
      <c r="E32" s="198">
        <v>0</v>
      </c>
      <c r="F32" s="198">
        <v>0</v>
      </c>
      <c r="G32" s="198">
        <v>12</v>
      </c>
      <c r="H32" s="198">
        <v>0</v>
      </c>
    </row>
    <row r="33" spans="1:8" x14ac:dyDescent="0.2">
      <c r="A33" s="540" t="s">
        <v>12</v>
      </c>
      <c r="B33" s="196">
        <f t="shared" si="1"/>
        <v>73</v>
      </c>
      <c r="C33" s="196">
        <f t="shared" ref="C33:H33" si="11">SUM(C34:C35)</f>
        <v>11</v>
      </c>
      <c r="D33" s="196">
        <f t="shared" si="11"/>
        <v>9</v>
      </c>
      <c r="E33" s="196">
        <f t="shared" si="11"/>
        <v>0</v>
      </c>
      <c r="F33" s="196">
        <f t="shared" si="11"/>
        <v>1</v>
      </c>
      <c r="G33" s="196">
        <f t="shared" si="11"/>
        <v>52</v>
      </c>
      <c r="H33" s="196">
        <f t="shared" si="11"/>
        <v>0</v>
      </c>
    </row>
    <row r="34" spans="1:8" x14ac:dyDescent="0.2">
      <c r="A34" s="539" t="s">
        <v>122</v>
      </c>
      <c r="B34" s="196">
        <f t="shared" si="1"/>
        <v>50</v>
      </c>
      <c r="C34" s="198">
        <v>8</v>
      </c>
      <c r="D34" s="198">
        <v>7</v>
      </c>
      <c r="E34" s="198">
        <v>0</v>
      </c>
      <c r="F34" s="198">
        <v>1</v>
      </c>
      <c r="G34" s="198">
        <v>34</v>
      </c>
      <c r="H34" s="198">
        <v>0</v>
      </c>
    </row>
    <row r="35" spans="1:8" x14ac:dyDescent="0.2">
      <c r="A35" s="539" t="s">
        <v>123</v>
      </c>
      <c r="B35" s="196">
        <f t="shared" si="1"/>
        <v>23</v>
      </c>
      <c r="C35" s="198">
        <v>3</v>
      </c>
      <c r="D35" s="198">
        <v>2</v>
      </c>
      <c r="E35" s="198">
        <v>0</v>
      </c>
      <c r="F35" s="198">
        <v>0</v>
      </c>
      <c r="G35" s="198">
        <v>18</v>
      </c>
      <c r="H35" s="198">
        <v>0</v>
      </c>
    </row>
    <row r="36" spans="1:8" x14ac:dyDescent="0.2">
      <c r="A36" s="540" t="s">
        <v>13</v>
      </c>
      <c r="B36" s="196">
        <f t="shared" si="1"/>
        <v>58</v>
      </c>
      <c r="C36" s="196">
        <f t="shared" ref="C36:H36" si="12">SUM(C37:C38)</f>
        <v>1</v>
      </c>
      <c r="D36" s="196">
        <f t="shared" si="12"/>
        <v>5</v>
      </c>
      <c r="E36" s="196">
        <f t="shared" si="12"/>
        <v>0</v>
      </c>
      <c r="F36" s="196">
        <f t="shared" si="12"/>
        <v>0</v>
      </c>
      <c r="G36" s="196">
        <f t="shared" si="12"/>
        <v>52</v>
      </c>
      <c r="H36" s="196">
        <f t="shared" si="12"/>
        <v>0</v>
      </c>
    </row>
    <row r="37" spans="1:8" x14ac:dyDescent="0.2">
      <c r="A37" s="539" t="s">
        <v>122</v>
      </c>
      <c r="B37" s="196">
        <f t="shared" si="1"/>
        <v>43</v>
      </c>
      <c r="C37" s="198">
        <v>0</v>
      </c>
      <c r="D37" s="198">
        <v>4</v>
      </c>
      <c r="E37" s="198">
        <v>0</v>
      </c>
      <c r="F37" s="198">
        <v>0</v>
      </c>
      <c r="G37" s="198">
        <v>39</v>
      </c>
      <c r="H37" s="198">
        <v>0</v>
      </c>
    </row>
    <row r="38" spans="1:8" x14ac:dyDescent="0.2">
      <c r="A38" s="539" t="s">
        <v>123</v>
      </c>
      <c r="B38" s="196">
        <f t="shared" si="1"/>
        <v>15</v>
      </c>
      <c r="C38" s="198">
        <v>1</v>
      </c>
      <c r="D38" s="198">
        <v>1</v>
      </c>
      <c r="E38" s="198">
        <v>0</v>
      </c>
      <c r="F38" s="198">
        <v>0</v>
      </c>
      <c r="G38" s="198">
        <v>13</v>
      </c>
      <c r="H38" s="198">
        <v>0</v>
      </c>
    </row>
    <row r="39" spans="1:8" x14ac:dyDescent="0.2">
      <c r="A39" s="540" t="s">
        <v>47</v>
      </c>
      <c r="B39" s="196">
        <f t="shared" si="1"/>
        <v>47</v>
      </c>
      <c r="C39" s="196">
        <f t="shared" ref="C39:H39" si="13">SUM(C40:C41)</f>
        <v>4</v>
      </c>
      <c r="D39" s="196">
        <f t="shared" si="13"/>
        <v>4</v>
      </c>
      <c r="E39" s="196">
        <f t="shared" si="13"/>
        <v>0</v>
      </c>
      <c r="F39" s="196">
        <f t="shared" si="13"/>
        <v>0</v>
      </c>
      <c r="G39" s="196">
        <f t="shared" si="13"/>
        <v>39</v>
      </c>
      <c r="H39" s="196">
        <f t="shared" si="13"/>
        <v>0</v>
      </c>
    </row>
    <row r="40" spans="1:8" x14ac:dyDescent="0.2">
      <c r="A40" s="539" t="s">
        <v>122</v>
      </c>
      <c r="B40" s="196">
        <f t="shared" si="1"/>
        <v>40</v>
      </c>
      <c r="C40" s="198">
        <v>4</v>
      </c>
      <c r="D40" s="198">
        <v>4</v>
      </c>
      <c r="E40" s="198">
        <v>0</v>
      </c>
      <c r="F40" s="198">
        <v>0</v>
      </c>
      <c r="G40" s="198">
        <v>32</v>
      </c>
      <c r="H40" s="198">
        <v>0</v>
      </c>
    </row>
    <row r="41" spans="1:8" x14ac:dyDescent="0.2">
      <c r="A41" s="539" t="s">
        <v>123</v>
      </c>
      <c r="B41" s="196">
        <f t="shared" si="1"/>
        <v>7</v>
      </c>
      <c r="C41" s="198">
        <v>0</v>
      </c>
      <c r="D41" s="198">
        <v>0</v>
      </c>
      <c r="E41" s="198">
        <v>0</v>
      </c>
      <c r="F41" s="198">
        <v>0</v>
      </c>
      <c r="G41" s="198">
        <v>7</v>
      </c>
      <c r="H41" s="198">
        <v>0</v>
      </c>
    </row>
    <row r="42" spans="1:8" x14ac:dyDescent="0.2">
      <c r="A42" s="540" t="s">
        <v>135</v>
      </c>
      <c r="B42" s="196">
        <f t="shared" si="1"/>
        <v>35</v>
      </c>
      <c r="C42" s="196">
        <f t="shared" ref="C42:H42" si="14">SUM(C43:C44)</f>
        <v>3</v>
      </c>
      <c r="D42" s="196">
        <f t="shared" si="14"/>
        <v>20</v>
      </c>
      <c r="E42" s="196">
        <f t="shared" si="14"/>
        <v>0</v>
      </c>
      <c r="F42" s="196">
        <f t="shared" si="14"/>
        <v>1</v>
      </c>
      <c r="G42" s="196">
        <f t="shared" si="14"/>
        <v>6</v>
      </c>
      <c r="H42" s="196">
        <f t="shared" si="14"/>
        <v>5</v>
      </c>
    </row>
    <row r="43" spans="1:8" x14ac:dyDescent="0.2">
      <c r="A43" s="539" t="s">
        <v>122</v>
      </c>
      <c r="B43" s="196">
        <f t="shared" si="1"/>
        <v>28</v>
      </c>
      <c r="C43" s="198">
        <v>3</v>
      </c>
      <c r="D43" s="198">
        <v>14</v>
      </c>
      <c r="E43" s="198">
        <v>0</v>
      </c>
      <c r="F43" s="198">
        <v>1</v>
      </c>
      <c r="G43" s="198">
        <v>6</v>
      </c>
      <c r="H43" s="198">
        <v>4</v>
      </c>
    </row>
    <row r="44" spans="1:8" x14ac:dyDescent="0.2">
      <c r="A44" s="539" t="s">
        <v>123</v>
      </c>
      <c r="B44" s="196">
        <f t="shared" si="1"/>
        <v>7</v>
      </c>
      <c r="C44" s="198">
        <v>0</v>
      </c>
      <c r="D44" s="198">
        <v>6</v>
      </c>
      <c r="E44" s="198">
        <v>0</v>
      </c>
      <c r="F44" s="198">
        <v>0</v>
      </c>
      <c r="G44" s="198">
        <v>0</v>
      </c>
      <c r="H44" s="198">
        <v>1</v>
      </c>
    </row>
    <row r="45" spans="1:8" x14ac:dyDescent="0.2">
      <c r="A45" s="540" t="s">
        <v>136</v>
      </c>
      <c r="B45" s="196">
        <f t="shared" si="1"/>
        <v>67</v>
      </c>
      <c r="C45" s="196">
        <f t="shared" ref="C45:H45" si="15">SUM(C46:C47)</f>
        <v>10</v>
      </c>
      <c r="D45" s="196">
        <f t="shared" si="15"/>
        <v>19</v>
      </c>
      <c r="E45" s="196">
        <f t="shared" si="15"/>
        <v>0</v>
      </c>
      <c r="F45" s="196">
        <f t="shared" si="15"/>
        <v>0</v>
      </c>
      <c r="G45" s="196">
        <f t="shared" si="15"/>
        <v>38</v>
      </c>
      <c r="H45" s="196">
        <f t="shared" si="15"/>
        <v>0</v>
      </c>
    </row>
    <row r="46" spans="1:8" x14ac:dyDescent="0.2">
      <c r="A46" s="539" t="s">
        <v>122</v>
      </c>
      <c r="B46" s="196">
        <f t="shared" si="1"/>
        <v>57</v>
      </c>
      <c r="C46" s="198">
        <v>8</v>
      </c>
      <c r="D46" s="198">
        <v>17</v>
      </c>
      <c r="E46" s="198">
        <v>0</v>
      </c>
      <c r="F46" s="198">
        <v>0</v>
      </c>
      <c r="G46" s="198">
        <v>32</v>
      </c>
      <c r="H46" s="198">
        <v>0</v>
      </c>
    </row>
    <row r="47" spans="1:8" x14ac:dyDescent="0.2">
      <c r="A47" s="539" t="s">
        <v>123</v>
      </c>
      <c r="B47" s="196">
        <f t="shared" si="1"/>
        <v>10</v>
      </c>
      <c r="C47" s="198">
        <v>2</v>
      </c>
      <c r="D47" s="198">
        <v>2</v>
      </c>
      <c r="E47" s="198">
        <v>0</v>
      </c>
      <c r="F47" s="198">
        <v>0</v>
      </c>
      <c r="G47" s="198">
        <v>6</v>
      </c>
      <c r="H47" s="198">
        <v>0</v>
      </c>
    </row>
    <row r="48" spans="1:8" x14ac:dyDescent="0.2">
      <c r="A48" s="540" t="s">
        <v>17</v>
      </c>
      <c r="B48" s="196">
        <f t="shared" si="1"/>
        <v>1</v>
      </c>
      <c r="C48" s="196">
        <f t="shared" ref="C48:H48" si="16">SUM(C49:C50)</f>
        <v>0</v>
      </c>
      <c r="D48" s="196">
        <f t="shared" si="16"/>
        <v>1</v>
      </c>
      <c r="E48" s="196">
        <f t="shared" si="16"/>
        <v>0</v>
      </c>
      <c r="F48" s="196">
        <f t="shared" si="16"/>
        <v>0</v>
      </c>
      <c r="G48" s="196">
        <f t="shared" si="16"/>
        <v>0</v>
      </c>
      <c r="H48" s="196">
        <f t="shared" si="16"/>
        <v>0</v>
      </c>
    </row>
    <row r="49" spans="1:8" x14ac:dyDescent="0.2">
      <c r="A49" s="539" t="s">
        <v>122</v>
      </c>
      <c r="B49" s="196">
        <f t="shared" si="1"/>
        <v>1</v>
      </c>
      <c r="C49" s="198">
        <v>0</v>
      </c>
      <c r="D49" s="198">
        <v>1</v>
      </c>
      <c r="E49" s="198">
        <v>0</v>
      </c>
      <c r="F49" s="198">
        <v>0</v>
      </c>
      <c r="G49" s="198">
        <v>0</v>
      </c>
      <c r="H49" s="198">
        <v>0</v>
      </c>
    </row>
    <row r="50" spans="1:8" x14ac:dyDescent="0.2">
      <c r="A50" s="539" t="s">
        <v>123</v>
      </c>
      <c r="B50" s="196">
        <f t="shared" si="1"/>
        <v>0</v>
      </c>
      <c r="C50" s="198">
        <v>0</v>
      </c>
      <c r="D50" s="198">
        <v>0</v>
      </c>
      <c r="E50" s="198">
        <v>0</v>
      </c>
      <c r="F50" s="198">
        <v>0</v>
      </c>
      <c r="G50" s="198">
        <v>0</v>
      </c>
      <c r="H50" s="198">
        <v>0</v>
      </c>
    </row>
    <row r="51" spans="1:8" x14ac:dyDescent="0.2">
      <c r="A51" s="531" t="s">
        <v>18</v>
      </c>
      <c r="B51" s="196">
        <f t="shared" si="1"/>
        <v>10</v>
      </c>
      <c r="C51" s="196">
        <f t="shared" ref="C51:H51" si="17">SUM(C52:C53)</f>
        <v>4</v>
      </c>
      <c r="D51" s="196">
        <f t="shared" si="17"/>
        <v>1</v>
      </c>
      <c r="E51" s="196">
        <f t="shared" si="17"/>
        <v>0</v>
      </c>
      <c r="F51" s="196">
        <f t="shared" si="17"/>
        <v>0</v>
      </c>
      <c r="G51" s="196">
        <f t="shared" si="17"/>
        <v>5</v>
      </c>
      <c r="H51" s="196">
        <f t="shared" si="17"/>
        <v>0</v>
      </c>
    </row>
    <row r="52" spans="1:8" x14ac:dyDescent="0.2">
      <c r="A52" s="539" t="s">
        <v>122</v>
      </c>
      <c r="B52" s="196">
        <f t="shared" si="1"/>
        <v>5</v>
      </c>
      <c r="C52" s="198">
        <v>1</v>
      </c>
      <c r="D52" s="198">
        <v>1</v>
      </c>
      <c r="E52" s="198">
        <v>0</v>
      </c>
      <c r="F52" s="198">
        <v>0</v>
      </c>
      <c r="G52" s="198">
        <v>3</v>
      </c>
      <c r="H52" s="198">
        <v>0</v>
      </c>
    </row>
    <row r="53" spans="1:8" x14ac:dyDescent="0.2">
      <c r="A53" s="539" t="s">
        <v>123</v>
      </c>
      <c r="B53" s="196">
        <f t="shared" si="1"/>
        <v>5</v>
      </c>
      <c r="C53" s="198">
        <v>3</v>
      </c>
      <c r="D53" s="198">
        <v>0</v>
      </c>
      <c r="E53" s="198">
        <v>0</v>
      </c>
      <c r="F53" s="198">
        <v>0</v>
      </c>
      <c r="G53" s="198">
        <v>2</v>
      </c>
      <c r="H53" s="198">
        <v>0</v>
      </c>
    </row>
    <row r="54" spans="1:8" x14ac:dyDescent="0.2">
      <c r="A54" s="533"/>
      <c r="B54" s="116"/>
      <c r="C54" s="493"/>
      <c r="D54" s="493"/>
      <c r="E54" s="493"/>
      <c r="F54" s="493"/>
      <c r="G54" s="493"/>
      <c r="H54" s="493"/>
    </row>
    <row r="55" spans="1:8" x14ac:dyDescent="0.2">
      <c r="A55" s="184" t="s">
        <v>19</v>
      </c>
    </row>
    <row r="56" spans="1:8" x14ac:dyDescent="0.2">
      <c r="A56" s="70" t="s">
        <v>936</v>
      </c>
    </row>
  </sheetData>
  <mergeCells count="4">
    <mergeCell ref="A2:H2"/>
    <mergeCell ref="A4:A5"/>
    <mergeCell ref="B4:B5"/>
    <mergeCell ref="C4:H4"/>
  </mergeCells>
  <pageMargins left="0.51" right="0.70866141732283472" top="0.74803149606299213" bottom="0.74803149606299213" header="0.31496062992125984" footer="0.31496062992125984"/>
  <pageSetup paperSize="14" scale="80"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2EB67-C624-4DEA-8C17-48581799BFBD}">
  <sheetPr codeName="Hoja53"/>
  <dimension ref="A2:H56"/>
  <sheetViews>
    <sheetView showGridLines="0" zoomScaleNormal="100" workbookViewId="0">
      <selection activeCell="B31" sqref="B31"/>
    </sheetView>
  </sheetViews>
  <sheetFormatPr baseColWidth="10" defaultColWidth="11.44140625" defaultRowHeight="10.199999999999999" x14ac:dyDescent="0.2"/>
  <cols>
    <col min="1" max="1" width="25.44140625" style="542" customWidth="1"/>
    <col min="2" max="2" width="9" style="542" customWidth="1"/>
    <col min="3" max="5" width="13.6640625" style="556" customWidth="1"/>
    <col min="6" max="6" width="16.88671875" style="556" customWidth="1"/>
    <col min="7" max="8" width="13.6640625" style="556" customWidth="1"/>
    <col min="9" max="9" width="11.44140625" style="542"/>
    <col min="10" max="10" width="32.109375" style="542" customWidth="1"/>
    <col min="11" max="16384" width="11.44140625" style="542"/>
  </cols>
  <sheetData>
    <row r="2" spans="1:8" ht="33" customHeight="1" x14ac:dyDescent="0.2">
      <c r="A2" s="64" t="s">
        <v>815</v>
      </c>
      <c r="B2" s="541"/>
      <c r="C2" s="541"/>
      <c r="D2" s="541"/>
      <c r="E2" s="541"/>
      <c r="F2" s="541"/>
      <c r="G2" s="541"/>
      <c r="H2" s="541"/>
    </row>
    <row r="4" spans="1:8" ht="19.5" customHeight="1" x14ac:dyDescent="0.2">
      <c r="A4" s="543" t="s">
        <v>974</v>
      </c>
      <c r="B4" s="544" t="s">
        <v>42</v>
      </c>
      <c r="C4" s="544" t="s">
        <v>969</v>
      </c>
      <c r="D4" s="544"/>
      <c r="E4" s="544"/>
      <c r="F4" s="544"/>
      <c r="G4" s="544"/>
      <c r="H4" s="544"/>
    </row>
    <row r="5" spans="1:8" ht="114" customHeight="1" x14ac:dyDescent="0.2">
      <c r="A5" s="545"/>
      <c r="B5" s="544"/>
      <c r="C5" s="546" t="s">
        <v>970</v>
      </c>
      <c r="D5" s="546" t="s">
        <v>971</v>
      </c>
      <c r="E5" s="546" t="s">
        <v>940</v>
      </c>
      <c r="F5" s="546" t="s">
        <v>868</v>
      </c>
      <c r="G5" s="546" t="s">
        <v>869</v>
      </c>
      <c r="H5" s="546" t="s">
        <v>941</v>
      </c>
    </row>
    <row r="6" spans="1:8" x14ac:dyDescent="0.2">
      <c r="A6" s="542" t="s">
        <v>3</v>
      </c>
      <c r="B6" s="547">
        <f>SUM(B7:B8)</f>
        <v>1327</v>
      </c>
      <c r="C6" s="548">
        <f t="shared" ref="C6:H6" si="0">SUM(C7:C8)</f>
        <v>112</v>
      </c>
      <c r="D6" s="548">
        <f t="shared" si="0"/>
        <v>211</v>
      </c>
      <c r="E6" s="548">
        <f t="shared" si="0"/>
        <v>7</v>
      </c>
      <c r="F6" s="548">
        <f t="shared" si="0"/>
        <v>28</v>
      </c>
      <c r="G6" s="548">
        <f t="shared" si="0"/>
        <v>952</v>
      </c>
      <c r="H6" s="548">
        <f t="shared" si="0"/>
        <v>17</v>
      </c>
    </row>
    <row r="7" spans="1:8" x14ac:dyDescent="0.2">
      <c r="A7" s="542" t="s">
        <v>975</v>
      </c>
      <c r="B7" s="547">
        <f>SUM(C7:H7)</f>
        <v>1243</v>
      </c>
      <c r="C7" s="504">
        <f t="shared" ref="C7:H8" si="1">+C10+C13+C16+C19+C22+C25+C28+C31+C34+C37+C40+C43+C46+C49+C52</f>
        <v>108</v>
      </c>
      <c r="D7" s="504">
        <f t="shared" si="1"/>
        <v>193</v>
      </c>
      <c r="E7" s="504">
        <f t="shared" si="1"/>
        <v>7</v>
      </c>
      <c r="F7" s="504">
        <f t="shared" si="1"/>
        <v>28</v>
      </c>
      <c r="G7" s="504">
        <f t="shared" si="1"/>
        <v>890</v>
      </c>
      <c r="H7" s="504">
        <f t="shared" si="1"/>
        <v>17</v>
      </c>
    </row>
    <row r="8" spans="1:8" x14ac:dyDescent="0.2">
      <c r="A8" s="542" t="s">
        <v>976</v>
      </c>
      <c r="B8" s="547">
        <f>SUM(C8:H8)</f>
        <v>84</v>
      </c>
      <c r="C8" s="504">
        <f t="shared" si="1"/>
        <v>4</v>
      </c>
      <c r="D8" s="504">
        <f t="shared" si="1"/>
        <v>18</v>
      </c>
      <c r="E8" s="504">
        <f t="shared" si="1"/>
        <v>0</v>
      </c>
      <c r="F8" s="504">
        <f t="shared" si="1"/>
        <v>0</v>
      </c>
      <c r="G8" s="504">
        <f t="shared" si="1"/>
        <v>62</v>
      </c>
      <c r="H8" s="504">
        <f t="shared" si="1"/>
        <v>0</v>
      </c>
    </row>
    <row r="9" spans="1:8" x14ac:dyDescent="0.2">
      <c r="A9" s="531" t="s">
        <v>4</v>
      </c>
      <c r="B9" s="547">
        <f>SUM(B10:B11)</f>
        <v>102</v>
      </c>
      <c r="C9" s="547">
        <f t="shared" ref="C9:H9" si="2">SUM(C10:C11)</f>
        <v>3</v>
      </c>
      <c r="D9" s="547">
        <f t="shared" si="2"/>
        <v>46</v>
      </c>
      <c r="E9" s="547">
        <f t="shared" si="2"/>
        <v>0</v>
      </c>
      <c r="F9" s="547">
        <f t="shared" si="2"/>
        <v>0</v>
      </c>
      <c r="G9" s="547">
        <f t="shared" si="2"/>
        <v>50</v>
      </c>
      <c r="H9" s="547">
        <f t="shared" si="2"/>
        <v>3</v>
      </c>
    </row>
    <row r="10" spans="1:8" x14ac:dyDescent="0.2">
      <c r="A10" s="549" t="s">
        <v>975</v>
      </c>
      <c r="B10" s="547">
        <f>SUM(C10:H10)</f>
        <v>63</v>
      </c>
      <c r="C10" s="550">
        <v>3</v>
      </c>
      <c r="D10" s="550">
        <v>32</v>
      </c>
      <c r="E10" s="550">
        <v>0</v>
      </c>
      <c r="F10" s="550">
        <v>0</v>
      </c>
      <c r="G10" s="550">
        <v>25</v>
      </c>
      <c r="H10" s="550">
        <v>3</v>
      </c>
    </row>
    <row r="11" spans="1:8" x14ac:dyDescent="0.2">
      <c r="A11" s="549" t="s">
        <v>976</v>
      </c>
      <c r="B11" s="547">
        <f>SUM(C11:H11)</f>
        <v>39</v>
      </c>
      <c r="C11" s="550">
        <v>0</v>
      </c>
      <c r="D11" s="550">
        <v>14</v>
      </c>
      <c r="E11" s="550">
        <v>0</v>
      </c>
      <c r="F11" s="550">
        <v>0</v>
      </c>
      <c r="G11" s="550">
        <v>25</v>
      </c>
      <c r="H11" s="550">
        <v>0</v>
      </c>
    </row>
    <row r="12" spans="1:8" x14ac:dyDescent="0.2">
      <c r="A12" s="540" t="s">
        <v>5</v>
      </c>
      <c r="B12" s="547">
        <f>SUM(B13:B14)</f>
        <v>83</v>
      </c>
      <c r="C12" s="548">
        <f t="shared" ref="C12:H12" si="3">SUM(C13:C14)</f>
        <v>4</v>
      </c>
      <c r="D12" s="548">
        <f t="shared" si="3"/>
        <v>4</v>
      </c>
      <c r="E12" s="548">
        <f t="shared" si="3"/>
        <v>0</v>
      </c>
      <c r="F12" s="548">
        <f t="shared" si="3"/>
        <v>1</v>
      </c>
      <c r="G12" s="548">
        <f t="shared" si="3"/>
        <v>74</v>
      </c>
      <c r="H12" s="548">
        <f t="shared" si="3"/>
        <v>0</v>
      </c>
    </row>
    <row r="13" spans="1:8" x14ac:dyDescent="0.2">
      <c r="A13" s="549" t="s">
        <v>975</v>
      </c>
      <c r="B13" s="547">
        <f>SUM(C13:H13)</f>
        <v>62</v>
      </c>
      <c r="C13" s="550">
        <v>3</v>
      </c>
      <c r="D13" s="550">
        <v>4</v>
      </c>
      <c r="E13" s="550">
        <v>0</v>
      </c>
      <c r="F13" s="550">
        <v>1</v>
      </c>
      <c r="G13" s="550">
        <v>54</v>
      </c>
      <c r="H13" s="550">
        <v>0</v>
      </c>
    </row>
    <row r="14" spans="1:8" x14ac:dyDescent="0.2">
      <c r="A14" s="549" t="s">
        <v>976</v>
      </c>
      <c r="B14" s="547">
        <f>SUM(C14:H14)</f>
        <v>21</v>
      </c>
      <c r="C14" s="550">
        <v>1</v>
      </c>
      <c r="D14" s="550">
        <v>0</v>
      </c>
      <c r="E14" s="550">
        <v>0</v>
      </c>
      <c r="F14" s="550">
        <v>0</v>
      </c>
      <c r="G14" s="550">
        <v>20</v>
      </c>
      <c r="H14" s="550">
        <v>0</v>
      </c>
    </row>
    <row r="15" spans="1:8" x14ac:dyDescent="0.2">
      <c r="A15" s="540" t="s">
        <v>6</v>
      </c>
      <c r="B15" s="547">
        <f>SUM(B16:B17)</f>
        <v>15</v>
      </c>
      <c r="C15" s="548">
        <f t="shared" ref="C15:H15" si="4">SUM(C16:C17)</f>
        <v>0</v>
      </c>
      <c r="D15" s="548">
        <f t="shared" si="4"/>
        <v>1</v>
      </c>
      <c r="E15" s="548">
        <f t="shared" si="4"/>
        <v>1</v>
      </c>
      <c r="F15" s="548">
        <f t="shared" si="4"/>
        <v>0</v>
      </c>
      <c r="G15" s="548">
        <f t="shared" si="4"/>
        <v>13</v>
      </c>
      <c r="H15" s="548">
        <f t="shared" si="4"/>
        <v>0</v>
      </c>
    </row>
    <row r="16" spans="1:8" x14ac:dyDescent="0.2">
      <c r="A16" s="549" t="s">
        <v>975</v>
      </c>
      <c r="B16" s="547">
        <f>SUM(C16:H16)</f>
        <v>14</v>
      </c>
      <c r="C16" s="551">
        <v>0</v>
      </c>
      <c r="D16" s="551">
        <v>1</v>
      </c>
      <c r="E16" s="551">
        <v>1</v>
      </c>
      <c r="F16" s="551">
        <v>0</v>
      </c>
      <c r="G16" s="551">
        <v>12</v>
      </c>
      <c r="H16" s="551">
        <v>0</v>
      </c>
    </row>
    <row r="17" spans="1:8" x14ac:dyDescent="0.2">
      <c r="A17" s="549" t="s">
        <v>976</v>
      </c>
      <c r="B17" s="547">
        <f>SUM(C17:H17)</f>
        <v>1</v>
      </c>
      <c r="C17" s="551">
        <v>0</v>
      </c>
      <c r="D17" s="551">
        <v>0</v>
      </c>
      <c r="E17" s="551">
        <v>0</v>
      </c>
      <c r="F17" s="551">
        <v>0</v>
      </c>
      <c r="G17" s="551">
        <v>1</v>
      </c>
      <c r="H17" s="551">
        <v>0</v>
      </c>
    </row>
    <row r="18" spans="1:8" x14ac:dyDescent="0.2">
      <c r="A18" s="540" t="s">
        <v>7</v>
      </c>
      <c r="B18" s="547">
        <f>SUM(B19:B20)</f>
        <v>48</v>
      </c>
      <c r="C18" s="548">
        <f t="shared" ref="C18:H18" si="5">SUM(C19:C20)</f>
        <v>2</v>
      </c>
      <c r="D18" s="548">
        <f t="shared" si="5"/>
        <v>9</v>
      </c>
      <c r="E18" s="548">
        <f t="shared" si="5"/>
        <v>0</v>
      </c>
      <c r="F18" s="548">
        <f t="shared" si="5"/>
        <v>0</v>
      </c>
      <c r="G18" s="548">
        <f t="shared" si="5"/>
        <v>32</v>
      </c>
      <c r="H18" s="548">
        <f t="shared" si="5"/>
        <v>5</v>
      </c>
    </row>
    <row r="19" spans="1:8" x14ac:dyDescent="0.2">
      <c r="A19" s="549" t="s">
        <v>975</v>
      </c>
      <c r="B19" s="547">
        <f>SUM(C19:H19)</f>
        <v>48</v>
      </c>
      <c r="C19" s="551">
        <v>2</v>
      </c>
      <c r="D19" s="551">
        <v>9</v>
      </c>
      <c r="E19" s="551">
        <v>0</v>
      </c>
      <c r="F19" s="551">
        <v>0</v>
      </c>
      <c r="G19" s="551">
        <v>32</v>
      </c>
      <c r="H19" s="551">
        <v>5</v>
      </c>
    </row>
    <row r="20" spans="1:8" x14ac:dyDescent="0.2">
      <c r="A20" s="549" t="s">
        <v>976</v>
      </c>
      <c r="B20" s="547">
        <f>SUM(C20:H20)</f>
        <v>0</v>
      </c>
      <c r="C20" s="551">
        <v>0</v>
      </c>
      <c r="D20" s="551">
        <v>0</v>
      </c>
      <c r="E20" s="551">
        <v>0</v>
      </c>
      <c r="F20" s="551">
        <v>0</v>
      </c>
      <c r="G20" s="551">
        <v>0</v>
      </c>
      <c r="H20" s="551">
        <v>0</v>
      </c>
    </row>
    <row r="21" spans="1:8" x14ac:dyDescent="0.2">
      <c r="A21" s="540" t="s">
        <v>8</v>
      </c>
      <c r="B21" s="547">
        <f>SUM(B22:B23)</f>
        <v>119</v>
      </c>
      <c r="C21" s="548">
        <f t="shared" ref="C21:H21" si="6">SUM(C22:C23)</f>
        <v>5</v>
      </c>
      <c r="D21" s="548">
        <f t="shared" si="6"/>
        <v>20</v>
      </c>
      <c r="E21" s="548">
        <f t="shared" si="6"/>
        <v>0</v>
      </c>
      <c r="F21" s="548">
        <f t="shared" si="6"/>
        <v>4</v>
      </c>
      <c r="G21" s="548">
        <f t="shared" si="6"/>
        <v>89</v>
      </c>
      <c r="H21" s="548">
        <f t="shared" si="6"/>
        <v>1</v>
      </c>
    </row>
    <row r="22" spans="1:8" x14ac:dyDescent="0.2">
      <c r="A22" s="549" t="s">
        <v>975</v>
      </c>
      <c r="B22" s="547">
        <f>SUM(C22:H22)</f>
        <v>115</v>
      </c>
      <c r="C22" s="551">
        <v>5</v>
      </c>
      <c r="D22" s="551">
        <v>18</v>
      </c>
      <c r="E22" s="551">
        <v>0</v>
      </c>
      <c r="F22" s="551">
        <v>4</v>
      </c>
      <c r="G22" s="551">
        <v>87</v>
      </c>
      <c r="H22" s="551">
        <v>1</v>
      </c>
    </row>
    <row r="23" spans="1:8" x14ac:dyDescent="0.2">
      <c r="A23" s="549" t="s">
        <v>976</v>
      </c>
      <c r="B23" s="547">
        <f>SUM(C23:H23)</f>
        <v>4</v>
      </c>
      <c r="C23" s="551">
        <v>0</v>
      </c>
      <c r="D23" s="551">
        <v>2</v>
      </c>
      <c r="E23" s="551">
        <v>0</v>
      </c>
      <c r="F23" s="551">
        <v>0</v>
      </c>
      <c r="G23" s="551">
        <v>2</v>
      </c>
      <c r="H23" s="551">
        <v>0</v>
      </c>
    </row>
    <row r="24" spans="1:8" x14ac:dyDescent="0.2">
      <c r="A24" s="540" t="s">
        <v>9</v>
      </c>
      <c r="B24" s="547">
        <f>SUM(B25:B26)</f>
        <v>135</v>
      </c>
      <c r="C24" s="548">
        <f t="shared" ref="C24:H24" si="7">SUM(C25:C26)</f>
        <v>10</v>
      </c>
      <c r="D24" s="548">
        <f t="shared" si="7"/>
        <v>21</v>
      </c>
      <c r="E24" s="548">
        <f t="shared" si="7"/>
        <v>1</v>
      </c>
      <c r="F24" s="548">
        <f t="shared" si="7"/>
        <v>6</v>
      </c>
      <c r="G24" s="548">
        <f t="shared" si="7"/>
        <v>97</v>
      </c>
      <c r="H24" s="548">
        <f t="shared" si="7"/>
        <v>0</v>
      </c>
    </row>
    <row r="25" spans="1:8" x14ac:dyDescent="0.2">
      <c r="A25" s="549" t="s">
        <v>975</v>
      </c>
      <c r="B25" s="547">
        <f>SUM(C25:H25)</f>
        <v>135</v>
      </c>
      <c r="C25" s="551">
        <v>10</v>
      </c>
      <c r="D25" s="551">
        <v>21</v>
      </c>
      <c r="E25" s="551">
        <v>1</v>
      </c>
      <c r="F25" s="551">
        <v>6</v>
      </c>
      <c r="G25" s="551">
        <v>97</v>
      </c>
      <c r="H25" s="551">
        <v>0</v>
      </c>
    </row>
    <row r="26" spans="1:8" x14ac:dyDescent="0.2">
      <c r="A26" s="549" t="s">
        <v>976</v>
      </c>
      <c r="B26" s="547">
        <f>SUM(C26:H26)</f>
        <v>0</v>
      </c>
      <c r="C26" s="551">
        <v>0</v>
      </c>
      <c r="D26" s="551">
        <v>0</v>
      </c>
      <c r="E26" s="551">
        <v>0</v>
      </c>
      <c r="F26" s="551">
        <v>0</v>
      </c>
      <c r="G26" s="551">
        <v>0</v>
      </c>
      <c r="H26" s="551">
        <v>0</v>
      </c>
    </row>
    <row r="27" spans="1:8" x14ac:dyDescent="0.2">
      <c r="A27" s="531" t="s">
        <v>10</v>
      </c>
      <c r="B27" s="547">
        <f>SUM(B28:B29)</f>
        <v>458</v>
      </c>
      <c r="C27" s="548">
        <f t="shared" ref="C27:H27" si="8">SUM(C28:C29)</f>
        <v>46</v>
      </c>
      <c r="D27" s="548">
        <f t="shared" si="8"/>
        <v>47</v>
      </c>
      <c r="E27" s="548">
        <f t="shared" si="8"/>
        <v>5</v>
      </c>
      <c r="F27" s="548">
        <f t="shared" si="8"/>
        <v>14</v>
      </c>
      <c r="G27" s="548">
        <f t="shared" si="8"/>
        <v>343</v>
      </c>
      <c r="H27" s="548">
        <f t="shared" si="8"/>
        <v>3</v>
      </c>
    </row>
    <row r="28" spans="1:8" x14ac:dyDescent="0.2">
      <c r="A28" s="549" t="s">
        <v>975</v>
      </c>
      <c r="B28" s="547">
        <f>SUM(C28:H28)</f>
        <v>441</v>
      </c>
      <c r="C28" s="551">
        <v>43</v>
      </c>
      <c r="D28" s="551">
        <v>45</v>
      </c>
      <c r="E28" s="551">
        <v>5</v>
      </c>
      <c r="F28" s="551">
        <v>14</v>
      </c>
      <c r="G28" s="551">
        <v>331</v>
      </c>
      <c r="H28" s="551">
        <v>3</v>
      </c>
    </row>
    <row r="29" spans="1:8" x14ac:dyDescent="0.2">
      <c r="A29" s="549" t="s">
        <v>976</v>
      </c>
      <c r="B29" s="547">
        <f>SUM(C29:H29)</f>
        <v>17</v>
      </c>
      <c r="C29" s="551">
        <v>3</v>
      </c>
      <c r="D29" s="551">
        <v>2</v>
      </c>
      <c r="E29" s="551">
        <v>0</v>
      </c>
      <c r="F29" s="551">
        <v>0</v>
      </c>
      <c r="G29" s="551">
        <v>12</v>
      </c>
      <c r="H29" s="551">
        <v>0</v>
      </c>
    </row>
    <row r="30" spans="1:8" x14ac:dyDescent="0.2">
      <c r="A30" s="531" t="s">
        <v>134</v>
      </c>
      <c r="B30" s="547">
        <f>SUM(B31:B32)</f>
        <v>76</v>
      </c>
      <c r="C30" s="548">
        <f t="shared" ref="C30:H30" si="9">SUM(C31:C32)</f>
        <v>9</v>
      </c>
      <c r="D30" s="548">
        <f t="shared" si="9"/>
        <v>4</v>
      </c>
      <c r="E30" s="548">
        <f t="shared" si="9"/>
        <v>0</v>
      </c>
      <c r="F30" s="548">
        <f t="shared" si="9"/>
        <v>1</v>
      </c>
      <c r="G30" s="548">
        <f t="shared" si="9"/>
        <v>62</v>
      </c>
      <c r="H30" s="548">
        <f t="shared" si="9"/>
        <v>0</v>
      </c>
    </row>
    <row r="31" spans="1:8" x14ac:dyDescent="0.2">
      <c r="A31" s="549" t="s">
        <v>975</v>
      </c>
      <c r="B31" s="547">
        <f>SUM(C31:H31)</f>
        <v>76</v>
      </c>
      <c r="C31" s="551">
        <v>9</v>
      </c>
      <c r="D31" s="551">
        <v>4</v>
      </c>
      <c r="E31" s="551">
        <v>0</v>
      </c>
      <c r="F31" s="551">
        <v>1</v>
      </c>
      <c r="G31" s="551">
        <v>62</v>
      </c>
      <c r="H31" s="551">
        <v>0</v>
      </c>
    </row>
    <row r="32" spans="1:8" x14ac:dyDescent="0.2">
      <c r="A32" s="549" t="s">
        <v>976</v>
      </c>
      <c r="B32" s="547">
        <f>SUM(C32:H32)</f>
        <v>0</v>
      </c>
      <c r="C32" s="551">
        <v>0</v>
      </c>
      <c r="D32" s="551">
        <v>0</v>
      </c>
      <c r="E32" s="551">
        <v>0</v>
      </c>
      <c r="F32" s="551">
        <v>0</v>
      </c>
      <c r="G32" s="551">
        <v>0</v>
      </c>
      <c r="H32" s="551">
        <v>0</v>
      </c>
    </row>
    <row r="33" spans="1:8" x14ac:dyDescent="0.2">
      <c r="A33" s="540" t="s">
        <v>12</v>
      </c>
      <c r="B33" s="547">
        <f>SUM(B34:B35)</f>
        <v>73</v>
      </c>
      <c r="C33" s="548">
        <f t="shared" ref="C33:H33" si="10">SUM(C34:C35)</f>
        <v>11</v>
      </c>
      <c r="D33" s="548">
        <f t="shared" si="10"/>
        <v>9</v>
      </c>
      <c r="E33" s="548">
        <f t="shared" si="10"/>
        <v>0</v>
      </c>
      <c r="F33" s="548">
        <f t="shared" si="10"/>
        <v>1</v>
      </c>
      <c r="G33" s="548">
        <f t="shared" si="10"/>
        <v>52</v>
      </c>
      <c r="H33" s="548">
        <f t="shared" si="10"/>
        <v>0</v>
      </c>
    </row>
    <row r="34" spans="1:8" x14ac:dyDescent="0.2">
      <c r="A34" s="549" t="s">
        <v>975</v>
      </c>
      <c r="B34" s="547">
        <f>SUM(C34:H34)</f>
        <v>73</v>
      </c>
      <c r="C34" s="551">
        <v>11</v>
      </c>
      <c r="D34" s="551">
        <v>9</v>
      </c>
      <c r="E34" s="551">
        <v>0</v>
      </c>
      <c r="F34" s="551">
        <v>1</v>
      </c>
      <c r="G34" s="551">
        <v>52</v>
      </c>
      <c r="H34" s="551">
        <v>0</v>
      </c>
    </row>
    <row r="35" spans="1:8" x14ac:dyDescent="0.2">
      <c r="A35" s="549" t="s">
        <v>976</v>
      </c>
      <c r="B35" s="547">
        <f>SUM(C35:H35)</f>
        <v>0</v>
      </c>
      <c r="C35" s="551">
        <v>0</v>
      </c>
      <c r="D35" s="551">
        <v>0</v>
      </c>
      <c r="E35" s="551">
        <v>0</v>
      </c>
      <c r="F35" s="551">
        <v>0</v>
      </c>
      <c r="G35" s="551">
        <v>0</v>
      </c>
      <c r="H35" s="551">
        <v>0</v>
      </c>
    </row>
    <row r="36" spans="1:8" x14ac:dyDescent="0.2">
      <c r="A36" s="552" t="s">
        <v>13</v>
      </c>
      <c r="B36" s="547">
        <f>SUM(B37:B38)</f>
        <v>58</v>
      </c>
      <c r="C36" s="548">
        <f t="shared" ref="C36:H36" si="11">SUM(C37:C38)</f>
        <v>1</v>
      </c>
      <c r="D36" s="548">
        <f t="shared" si="11"/>
        <v>5</v>
      </c>
      <c r="E36" s="548">
        <f t="shared" si="11"/>
        <v>0</v>
      </c>
      <c r="F36" s="548">
        <f t="shared" si="11"/>
        <v>0</v>
      </c>
      <c r="G36" s="548">
        <f t="shared" si="11"/>
        <v>52</v>
      </c>
      <c r="H36" s="548">
        <f t="shared" si="11"/>
        <v>0</v>
      </c>
    </row>
    <row r="37" spans="1:8" x14ac:dyDescent="0.2">
      <c r="A37" s="549" t="s">
        <v>975</v>
      </c>
      <c r="B37" s="547">
        <f>SUM(C37:H37)</f>
        <v>58</v>
      </c>
      <c r="C37" s="551">
        <v>1</v>
      </c>
      <c r="D37" s="551">
        <v>5</v>
      </c>
      <c r="E37" s="551">
        <v>0</v>
      </c>
      <c r="F37" s="551">
        <v>0</v>
      </c>
      <c r="G37" s="551">
        <v>52</v>
      </c>
      <c r="H37" s="551">
        <v>0</v>
      </c>
    </row>
    <row r="38" spans="1:8" x14ac:dyDescent="0.2">
      <c r="A38" s="549" t="s">
        <v>976</v>
      </c>
      <c r="B38" s="547">
        <f>SUM(C38:H38)</f>
        <v>0</v>
      </c>
      <c r="C38" s="551">
        <v>0</v>
      </c>
      <c r="D38" s="551">
        <v>0</v>
      </c>
      <c r="E38" s="551">
        <v>0</v>
      </c>
      <c r="F38" s="551">
        <v>0</v>
      </c>
      <c r="G38" s="551">
        <v>0</v>
      </c>
      <c r="H38" s="551">
        <v>0</v>
      </c>
    </row>
    <row r="39" spans="1:8" x14ac:dyDescent="0.2">
      <c r="A39" s="540" t="s">
        <v>47</v>
      </c>
      <c r="B39" s="547">
        <f>SUM(B40:B41)</f>
        <v>47</v>
      </c>
      <c r="C39" s="548">
        <f t="shared" ref="C39:H39" si="12">SUM(C40:C41)</f>
        <v>4</v>
      </c>
      <c r="D39" s="548">
        <f t="shared" si="12"/>
        <v>4</v>
      </c>
      <c r="E39" s="548">
        <f t="shared" si="12"/>
        <v>0</v>
      </c>
      <c r="F39" s="548">
        <f t="shared" si="12"/>
        <v>0</v>
      </c>
      <c r="G39" s="548">
        <f t="shared" si="12"/>
        <v>39</v>
      </c>
      <c r="H39" s="548">
        <f t="shared" si="12"/>
        <v>0</v>
      </c>
    </row>
    <row r="40" spans="1:8" x14ac:dyDescent="0.2">
      <c r="A40" s="549" t="s">
        <v>975</v>
      </c>
      <c r="B40" s="547">
        <f>SUM(C40:H40)</f>
        <v>47</v>
      </c>
      <c r="C40" s="551">
        <v>4</v>
      </c>
      <c r="D40" s="551">
        <v>4</v>
      </c>
      <c r="E40" s="551">
        <v>0</v>
      </c>
      <c r="F40" s="551">
        <v>0</v>
      </c>
      <c r="G40" s="551">
        <v>39</v>
      </c>
      <c r="H40" s="551">
        <v>0</v>
      </c>
    </row>
    <row r="41" spans="1:8" x14ac:dyDescent="0.2">
      <c r="A41" s="549" t="s">
        <v>976</v>
      </c>
      <c r="B41" s="547">
        <f>SUM(C41:H41)</f>
        <v>0</v>
      </c>
      <c r="C41" s="551">
        <v>0</v>
      </c>
      <c r="D41" s="551">
        <v>0</v>
      </c>
      <c r="E41" s="551">
        <v>0</v>
      </c>
      <c r="F41" s="551">
        <v>0</v>
      </c>
      <c r="G41" s="551">
        <v>0</v>
      </c>
      <c r="H41" s="551">
        <v>0</v>
      </c>
    </row>
    <row r="42" spans="1:8" x14ac:dyDescent="0.2">
      <c r="A42" s="540" t="s">
        <v>135</v>
      </c>
      <c r="B42" s="547">
        <f>SUM(B43:B44)</f>
        <v>35</v>
      </c>
      <c r="C42" s="548">
        <f t="shared" ref="C42:H42" si="13">SUM(C43:C44)</f>
        <v>3</v>
      </c>
      <c r="D42" s="548">
        <f t="shared" si="13"/>
        <v>20</v>
      </c>
      <c r="E42" s="548">
        <f t="shared" si="13"/>
        <v>0</v>
      </c>
      <c r="F42" s="548">
        <f t="shared" si="13"/>
        <v>1</v>
      </c>
      <c r="G42" s="548">
        <f t="shared" si="13"/>
        <v>6</v>
      </c>
      <c r="H42" s="548">
        <f t="shared" si="13"/>
        <v>5</v>
      </c>
    </row>
    <row r="43" spans="1:8" x14ac:dyDescent="0.2">
      <c r="A43" s="549" t="s">
        <v>975</v>
      </c>
      <c r="B43" s="547">
        <f>SUM(C43:H43)</f>
        <v>35</v>
      </c>
      <c r="C43" s="551">
        <v>3</v>
      </c>
      <c r="D43" s="551">
        <v>20</v>
      </c>
      <c r="E43" s="551">
        <v>0</v>
      </c>
      <c r="F43" s="551">
        <v>1</v>
      </c>
      <c r="G43" s="551">
        <v>6</v>
      </c>
      <c r="H43" s="551">
        <v>5</v>
      </c>
    </row>
    <row r="44" spans="1:8" x14ac:dyDescent="0.2">
      <c r="A44" s="549" t="s">
        <v>976</v>
      </c>
      <c r="B44" s="547">
        <f>SUM(C44:H44)</f>
        <v>0</v>
      </c>
      <c r="C44" s="551">
        <v>0</v>
      </c>
      <c r="D44" s="551">
        <v>0</v>
      </c>
      <c r="E44" s="551">
        <v>0</v>
      </c>
      <c r="F44" s="551">
        <v>0</v>
      </c>
      <c r="G44" s="551">
        <v>0</v>
      </c>
      <c r="H44" s="551">
        <v>0</v>
      </c>
    </row>
    <row r="45" spans="1:8" x14ac:dyDescent="0.2">
      <c r="A45" s="540" t="s">
        <v>136</v>
      </c>
      <c r="B45" s="547">
        <f>SUM(B46:B47)</f>
        <v>67</v>
      </c>
      <c r="C45" s="548">
        <f t="shared" ref="C45:H45" si="14">SUM(C46:C47)</f>
        <v>10</v>
      </c>
      <c r="D45" s="548">
        <f t="shared" si="14"/>
        <v>19</v>
      </c>
      <c r="E45" s="548">
        <f t="shared" si="14"/>
        <v>0</v>
      </c>
      <c r="F45" s="548">
        <f t="shared" si="14"/>
        <v>0</v>
      </c>
      <c r="G45" s="548">
        <f t="shared" si="14"/>
        <v>38</v>
      </c>
      <c r="H45" s="548">
        <f t="shared" si="14"/>
        <v>0</v>
      </c>
    </row>
    <row r="46" spans="1:8" x14ac:dyDescent="0.2">
      <c r="A46" s="549" t="s">
        <v>975</v>
      </c>
      <c r="B46" s="547">
        <f>SUM(C46:H46)</f>
        <v>66</v>
      </c>
      <c r="C46" s="551">
        <v>10</v>
      </c>
      <c r="D46" s="551">
        <v>19</v>
      </c>
      <c r="E46" s="551">
        <v>0</v>
      </c>
      <c r="F46" s="551">
        <v>0</v>
      </c>
      <c r="G46" s="551">
        <v>37</v>
      </c>
      <c r="H46" s="551">
        <v>0</v>
      </c>
    </row>
    <row r="47" spans="1:8" x14ac:dyDescent="0.2">
      <c r="A47" s="549" t="s">
        <v>976</v>
      </c>
      <c r="B47" s="547">
        <f>SUM(C47:H47)</f>
        <v>1</v>
      </c>
      <c r="C47" s="551">
        <v>0</v>
      </c>
      <c r="D47" s="551">
        <v>0</v>
      </c>
      <c r="E47" s="551">
        <v>0</v>
      </c>
      <c r="F47" s="551">
        <v>0</v>
      </c>
      <c r="G47" s="551">
        <v>1</v>
      </c>
      <c r="H47" s="551">
        <v>0</v>
      </c>
    </row>
    <row r="48" spans="1:8" x14ac:dyDescent="0.2">
      <c r="A48" s="540" t="s">
        <v>17</v>
      </c>
      <c r="B48" s="547">
        <f>SUM(B49:B50)</f>
        <v>1</v>
      </c>
      <c r="C48" s="548">
        <f t="shared" ref="C48:H48" si="15">SUM(C49:C50)</f>
        <v>0</v>
      </c>
      <c r="D48" s="548">
        <f t="shared" si="15"/>
        <v>1</v>
      </c>
      <c r="E48" s="548">
        <f t="shared" si="15"/>
        <v>0</v>
      </c>
      <c r="F48" s="548">
        <f t="shared" si="15"/>
        <v>0</v>
      </c>
      <c r="G48" s="548">
        <f t="shared" si="15"/>
        <v>0</v>
      </c>
      <c r="H48" s="548">
        <f t="shared" si="15"/>
        <v>0</v>
      </c>
    </row>
    <row r="49" spans="1:8" x14ac:dyDescent="0.2">
      <c r="A49" s="549" t="s">
        <v>975</v>
      </c>
      <c r="B49" s="547">
        <f>SUM(C49:H49)</f>
        <v>1</v>
      </c>
      <c r="C49" s="551">
        <v>0</v>
      </c>
      <c r="D49" s="551">
        <v>1</v>
      </c>
      <c r="E49" s="551">
        <v>0</v>
      </c>
      <c r="F49" s="551">
        <v>0</v>
      </c>
      <c r="G49" s="551">
        <v>0</v>
      </c>
      <c r="H49" s="551">
        <v>0</v>
      </c>
    </row>
    <row r="50" spans="1:8" x14ac:dyDescent="0.2">
      <c r="A50" s="549" t="s">
        <v>976</v>
      </c>
      <c r="B50" s="547">
        <f>SUM(C50:H50)</f>
        <v>0</v>
      </c>
      <c r="C50" s="551">
        <v>0</v>
      </c>
      <c r="D50" s="551">
        <v>0</v>
      </c>
      <c r="E50" s="551">
        <v>0</v>
      </c>
      <c r="F50" s="551">
        <v>0</v>
      </c>
      <c r="G50" s="551">
        <v>0</v>
      </c>
      <c r="H50" s="551">
        <v>0</v>
      </c>
    </row>
    <row r="51" spans="1:8" x14ac:dyDescent="0.2">
      <c r="A51" s="531" t="s">
        <v>560</v>
      </c>
      <c r="B51" s="547">
        <f>SUM(B52:B53)</f>
        <v>10</v>
      </c>
      <c r="C51" s="548">
        <f t="shared" ref="C51:H51" si="16">SUM(C52:C53)</f>
        <v>4</v>
      </c>
      <c r="D51" s="548">
        <f t="shared" si="16"/>
        <v>1</v>
      </c>
      <c r="E51" s="548">
        <f t="shared" si="16"/>
        <v>0</v>
      </c>
      <c r="F51" s="548">
        <f t="shared" si="16"/>
        <v>0</v>
      </c>
      <c r="G51" s="548">
        <f t="shared" si="16"/>
        <v>5</v>
      </c>
      <c r="H51" s="548">
        <f t="shared" si="16"/>
        <v>0</v>
      </c>
    </row>
    <row r="52" spans="1:8" x14ac:dyDescent="0.2">
      <c r="A52" s="553" t="s">
        <v>975</v>
      </c>
      <c r="B52" s="547">
        <f>SUM(C52:H52)</f>
        <v>9</v>
      </c>
      <c r="C52" s="551">
        <v>4</v>
      </c>
      <c r="D52" s="551">
        <v>1</v>
      </c>
      <c r="E52" s="551">
        <v>0</v>
      </c>
      <c r="F52" s="551">
        <v>0</v>
      </c>
      <c r="G52" s="551">
        <v>4</v>
      </c>
      <c r="H52" s="551">
        <v>0</v>
      </c>
    </row>
    <row r="53" spans="1:8" x14ac:dyDescent="0.2">
      <c r="A53" s="553" t="s">
        <v>976</v>
      </c>
      <c r="B53" s="547">
        <f>SUM(C53:H53)</f>
        <v>1</v>
      </c>
      <c r="C53" s="551">
        <v>0</v>
      </c>
      <c r="D53" s="551">
        <v>0</v>
      </c>
      <c r="E53" s="551">
        <v>0</v>
      </c>
      <c r="F53" s="551">
        <v>0</v>
      </c>
      <c r="G53" s="551">
        <v>1</v>
      </c>
      <c r="H53" s="551">
        <v>0</v>
      </c>
    </row>
    <row r="54" spans="1:8" ht="7.5" customHeight="1" x14ac:dyDescent="0.2">
      <c r="A54" s="553"/>
      <c r="B54" s="554"/>
      <c r="C54" s="555"/>
      <c r="D54" s="555"/>
      <c r="E54" s="555"/>
      <c r="F54" s="555"/>
      <c r="G54" s="555"/>
      <c r="H54" s="555"/>
    </row>
    <row r="55" spans="1:8" x14ac:dyDescent="0.2">
      <c r="A55" s="184" t="s">
        <v>19</v>
      </c>
      <c r="B55" s="554"/>
      <c r="C55" s="555"/>
      <c r="D55" s="555"/>
      <c r="E55" s="555"/>
      <c r="F55" s="555"/>
      <c r="G55" s="555"/>
      <c r="H55" s="555"/>
    </row>
    <row r="56" spans="1:8" x14ac:dyDescent="0.2">
      <c r="A56" s="70" t="s">
        <v>936</v>
      </c>
    </row>
  </sheetData>
  <mergeCells count="4">
    <mergeCell ref="A2:H2"/>
    <mergeCell ref="A4:A5"/>
    <mergeCell ref="B4:B5"/>
    <mergeCell ref="C4:H4"/>
  </mergeCells>
  <pageMargins left="0.23622047244094491" right="0.23622047244094491" top="0.74803149606299213" bottom="0.74803149606299213" header="0.31496062992125984" footer="0.31496062992125984"/>
  <pageSetup paperSize="14" scale="80"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78B2E-63AD-4CF1-B645-AEB0EAE616CD}">
  <sheetPr codeName="Hoja54"/>
  <dimension ref="A2:I154"/>
  <sheetViews>
    <sheetView showGridLines="0" zoomScaleNormal="100" workbookViewId="0">
      <selection activeCell="B31" sqref="B31"/>
    </sheetView>
  </sheetViews>
  <sheetFormatPr baseColWidth="10" defaultColWidth="21.88671875" defaultRowHeight="10.199999999999999" x14ac:dyDescent="0.2"/>
  <cols>
    <col min="1" max="1" width="19" style="557" customWidth="1"/>
    <col min="2" max="2" width="9.44140625" style="557" customWidth="1"/>
    <col min="3" max="8" width="13.109375" style="511" customWidth="1"/>
    <col min="9" max="9" width="21.88671875" style="557"/>
    <col min="10" max="10" width="21.88671875" style="494"/>
    <col min="11" max="11" width="11.88671875" style="494" customWidth="1"/>
    <col min="12" max="17" width="14.109375" style="494" customWidth="1"/>
    <col min="18" max="16384" width="21.88671875" style="494"/>
  </cols>
  <sheetData>
    <row r="2" spans="1:9" ht="37.5" customHeight="1" x14ac:dyDescent="0.2">
      <c r="A2" s="223" t="s">
        <v>816</v>
      </c>
      <c r="B2" s="223"/>
      <c r="C2" s="223"/>
      <c r="D2" s="223"/>
      <c r="E2" s="223"/>
      <c r="F2" s="223"/>
      <c r="G2" s="223"/>
      <c r="H2" s="223"/>
    </row>
    <row r="4" spans="1:9" ht="18" customHeight="1" x14ac:dyDescent="0.2">
      <c r="A4" s="558" t="s">
        <v>977</v>
      </c>
      <c r="B4" s="559" t="s">
        <v>42</v>
      </c>
      <c r="C4" s="559" t="s">
        <v>969</v>
      </c>
      <c r="D4" s="559"/>
      <c r="E4" s="559"/>
      <c r="F4" s="559"/>
      <c r="G4" s="559"/>
      <c r="H4" s="559"/>
      <c r="I4" s="494"/>
    </row>
    <row r="5" spans="1:9" ht="125.25" customHeight="1" x14ac:dyDescent="0.2">
      <c r="A5" s="558"/>
      <c r="B5" s="559"/>
      <c r="C5" s="560" t="s">
        <v>978</v>
      </c>
      <c r="D5" s="560" t="s">
        <v>971</v>
      </c>
      <c r="E5" s="560" t="s">
        <v>979</v>
      </c>
      <c r="F5" s="560" t="s">
        <v>868</v>
      </c>
      <c r="G5" s="560" t="s">
        <v>869</v>
      </c>
      <c r="H5" s="560" t="s">
        <v>941</v>
      </c>
      <c r="I5" s="494"/>
    </row>
    <row r="6" spans="1:9" x14ac:dyDescent="0.2">
      <c r="A6" s="561" t="s">
        <v>3</v>
      </c>
      <c r="B6" s="562">
        <f t="shared" ref="B6:B29" si="0">SUM(C6:H6)</f>
        <v>1327</v>
      </c>
      <c r="C6" s="563">
        <f t="shared" ref="C6:H6" si="1">SUM(C7:C13)</f>
        <v>112</v>
      </c>
      <c r="D6" s="563">
        <f t="shared" si="1"/>
        <v>211</v>
      </c>
      <c r="E6" s="563">
        <f t="shared" si="1"/>
        <v>7</v>
      </c>
      <c r="F6" s="563">
        <f t="shared" si="1"/>
        <v>28</v>
      </c>
      <c r="G6" s="563">
        <f t="shared" si="1"/>
        <v>952</v>
      </c>
      <c r="H6" s="563">
        <f t="shared" si="1"/>
        <v>17</v>
      </c>
      <c r="I6" s="538"/>
    </row>
    <row r="7" spans="1:9" x14ac:dyDescent="0.2">
      <c r="A7" s="557" t="s">
        <v>980</v>
      </c>
      <c r="B7" s="562">
        <f t="shared" si="0"/>
        <v>13</v>
      </c>
      <c r="C7" s="563">
        <f t="shared" ref="C7:H7" si="2">+C15+C23+C31+C39+C47+C55+C63+C71+C79+C87+C95+C103+C111+C119+C127</f>
        <v>2</v>
      </c>
      <c r="D7" s="563">
        <f t="shared" si="2"/>
        <v>4</v>
      </c>
      <c r="E7" s="563">
        <f t="shared" si="2"/>
        <v>0</v>
      </c>
      <c r="F7" s="563">
        <f t="shared" si="2"/>
        <v>0</v>
      </c>
      <c r="G7" s="563">
        <f t="shared" si="2"/>
        <v>7</v>
      </c>
      <c r="H7" s="563">
        <f t="shared" si="2"/>
        <v>0</v>
      </c>
      <c r="I7" s="494"/>
    </row>
    <row r="8" spans="1:9" x14ac:dyDescent="0.2">
      <c r="A8" s="557" t="s">
        <v>981</v>
      </c>
      <c r="B8" s="562">
        <f t="shared" si="0"/>
        <v>52</v>
      </c>
      <c r="C8" s="563">
        <f t="shared" ref="C8:H8" si="3">+C16+C24+C32+C40+C48+C56+C64++C72+C80+C88+C96+C104+C112+C120+C128</f>
        <v>3</v>
      </c>
      <c r="D8" s="563">
        <f t="shared" si="3"/>
        <v>13</v>
      </c>
      <c r="E8" s="563">
        <f t="shared" si="3"/>
        <v>0</v>
      </c>
      <c r="F8" s="563">
        <f t="shared" si="3"/>
        <v>0</v>
      </c>
      <c r="G8" s="563">
        <f t="shared" si="3"/>
        <v>36</v>
      </c>
      <c r="H8" s="563">
        <f t="shared" si="3"/>
        <v>0</v>
      </c>
      <c r="I8" s="494"/>
    </row>
    <row r="9" spans="1:9" x14ac:dyDescent="0.2">
      <c r="A9" s="557" t="s">
        <v>982</v>
      </c>
      <c r="B9" s="562">
        <f t="shared" si="0"/>
        <v>121</v>
      </c>
      <c r="C9" s="563">
        <f t="shared" ref="C9:H13" si="4">+C17+C25+C33+C41+C49+C57+C65+C73+C81+C89+C97+C105+C113+C121+C129</f>
        <v>12</v>
      </c>
      <c r="D9" s="563">
        <f t="shared" si="4"/>
        <v>18</v>
      </c>
      <c r="E9" s="563">
        <f t="shared" si="4"/>
        <v>1</v>
      </c>
      <c r="F9" s="563">
        <f t="shared" si="4"/>
        <v>5</v>
      </c>
      <c r="G9" s="563">
        <f t="shared" si="4"/>
        <v>85</v>
      </c>
      <c r="H9" s="563">
        <f t="shared" si="4"/>
        <v>0</v>
      </c>
      <c r="I9" s="494"/>
    </row>
    <row r="10" spans="1:9" x14ac:dyDescent="0.2">
      <c r="A10" s="557" t="s">
        <v>983</v>
      </c>
      <c r="B10" s="562">
        <f t="shared" si="0"/>
        <v>429</v>
      </c>
      <c r="C10" s="563">
        <f t="shared" si="4"/>
        <v>38</v>
      </c>
      <c r="D10" s="563">
        <f t="shared" si="4"/>
        <v>56</v>
      </c>
      <c r="E10" s="563">
        <f t="shared" si="4"/>
        <v>5</v>
      </c>
      <c r="F10" s="563">
        <f t="shared" si="4"/>
        <v>7</v>
      </c>
      <c r="G10" s="563">
        <f t="shared" si="4"/>
        <v>321</v>
      </c>
      <c r="H10" s="563">
        <f t="shared" si="4"/>
        <v>2</v>
      </c>
      <c r="I10" s="494"/>
    </row>
    <row r="11" spans="1:9" x14ac:dyDescent="0.2">
      <c r="A11" s="557" t="s">
        <v>984</v>
      </c>
      <c r="B11" s="562">
        <f t="shared" si="0"/>
        <v>395</v>
      </c>
      <c r="C11" s="563">
        <f t="shared" si="4"/>
        <v>36</v>
      </c>
      <c r="D11" s="563">
        <f t="shared" si="4"/>
        <v>71</v>
      </c>
      <c r="E11" s="563">
        <f t="shared" si="4"/>
        <v>0</v>
      </c>
      <c r="F11" s="563">
        <f t="shared" si="4"/>
        <v>7</v>
      </c>
      <c r="G11" s="563">
        <f t="shared" si="4"/>
        <v>278</v>
      </c>
      <c r="H11" s="563">
        <f t="shared" si="4"/>
        <v>3</v>
      </c>
      <c r="I11" s="494"/>
    </row>
    <row r="12" spans="1:9" x14ac:dyDescent="0.2">
      <c r="A12" s="557" t="s">
        <v>985</v>
      </c>
      <c r="B12" s="562">
        <f t="shared" si="0"/>
        <v>170</v>
      </c>
      <c r="C12" s="563">
        <f t="shared" si="4"/>
        <v>13</v>
      </c>
      <c r="D12" s="563">
        <f t="shared" si="4"/>
        <v>24</v>
      </c>
      <c r="E12" s="563">
        <f t="shared" si="4"/>
        <v>0</v>
      </c>
      <c r="F12" s="563">
        <f t="shared" si="4"/>
        <v>6</v>
      </c>
      <c r="G12" s="563">
        <f t="shared" si="4"/>
        <v>119</v>
      </c>
      <c r="H12" s="563">
        <f t="shared" si="4"/>
        <v>8</v>
      </c>
      <c r="I12" s="494"/>
    </row>
    <row r="13" spans="1:9" x14ac:dyDescent="0.2">
      <c r="A13" s="557" t="s">
        <v>986</v>
      </c>
      <c r="B13" s="562">
        <f t="shared" si="0"/>
        <v>147</v>
      </c>
      <c r="C13" s="563">
        <f t="shared" si="4"/>
        <v>8</v>
      </c>
      <c r="D13" s="563">
        <f t="shared" si="4"/>
        <v>25</v>
      </c>
      <c r="E13" s="563">
        <f t="shared" si="4"/>
        <v>1</v>
      </c>
      <c r="F13" s="563">
        <f t="shared" si="4"/>
        <v>3</v>
      </c>
      <c r="G13" s="563">
        <f t="shared" si="4"/>
        <v>106</v>
      </c>
      <c r="H13" s="563">
        <f t="shared" si="4"/>
        <v>4</v>
      </c>
      <c r="I13" s="494"/>
    </row>
    <row r="14" spans="1:9" x14ac:dyDescent="0.2">
      <c r="A14" s="531" t="s">
        <v>4</v>
      </c>
      <c r="B14" s="562">
        <f t="shared" si="0"/>
        <v>102</v>
      </c>
      <c r="C14" s="563">
        <f t="shared" ref="C14:H14" si="5">SUM(C15:C21)</f>
        <v>3</v>
      </c>
      <c r="D14" s="563">
        <f t="shared" si="5"/>
        <v>46</v>
      </c>
      <c r="E14" s="563">
        <f t="shared" si="5"/>
        <v>0</v>
      </c>
      <c r="F14" s="563">
        <f t="shared" si="5"/>
        <v>0</v>
      </c>
      <c r="G14" s="563">
        <f t="shared" si="5"/>
        <v>50</v>
      </c>
      <c r="H14" s="563">
        <f t="shared" si="5"/>
        <v>3</v>
      </c>
      <c r="I14" s="494"/>
    </row>
    <row r="15" spans="1:9" x14ac:dyDescent="0.2">
      <c r="A15" s="564" t="s">
        <v>980</v>
      </c>
      <c r="B15" s="562">
        <f t="shared" si="0"/>
        <v>0</v>
      </c>
      <c r="C15" s="565">
        <v>0</v>
      </c>
      <c r="D15" s="565">
        <v>0</v>
      </c>
      <c r="E15" s="565">
        <v>0</v>
      </c>
      <c r="F15" s="565">
        <v>0</v>
      </c>
      <c r="G15" s="565">
        <v>0</v>
      </c>
      <c r="H15" s="565">
        <v>0</v>
      </c>
      <c r="I15" s="494"/>
    </row>
    <row r="16" spans="1:9" x14ac:dyDescent="0.2">
      <c r="A16" s="564" t="s">
        <v>981</v>
      </c>
      <c r="B16" s="562">
        <f t="shared" si="0"/>
        <v>0</v>
      </c>
      <c r="C16" s="565">
        <v>0</v>
      </c>
      <c r="D16" s="565">
        <v>0</v>
      </c>
      <c r="E16" s="565">
        <v>0</v>
      </c>
      <c r="F16" s="565">
        <v>0</v>
      </c>
      <c r="G16" s="565">
        <v>0</v>
      </c>
      <c r="H16" s="565">
        <v>0</v>
      </c>
      <c r="I16" s="494"/>
    </row>
    <row r="17" spans="1:9" x14ac:dyDescent="0.2">
      <c r="A17" s="564" t="s">
        <v>982</v>
      </c>
      <c r="B17" s="562">
        <f t="shared" si="0"/>
        <v>4</v>
      </c>
      <c r="C17" s="565">
        <v>0</v>
      </c>
      <c r="D17" s="565">
        <v>3</v>
      </c>
      <c r="E17" s="565">
        <v>0</v>
      </c>
      <c r="F17" s="565">
        <v>0</v>
      </c>
      <c r="G17" s="565">
        <v>1</v>
      </c>
      <c r="H17" s="565">
        <v>0</v>
      </c>
      <c r="I17" s="494"/>
    </row>
    <row r="18" spans="1:9" x14ac:dyDescent="0.2">
      <c r="A18" s="564" t="s">
        <v>983</v>
      </c>
      <c r="B18" s="562">
        <f t="shared" si="0"/>
        <v>21</v>
      </c>
      <c r="C18" s="565">
        <v>0</v>
      </c>
      <c r="D18" s="565">
        <v>7</v>
      </c>
      <c r="E18" s="565">
        <v>0</v>
      </c>
      <c r="F18" s="565">
        <v>0</v>
      </c>
      <c r="G18" s="565">
        <v>13</v>
      </c>
      <c r="H18" s="565">
        <v>1</v>
      </c>
      <c r="I18" s="494"/>
    </row>
    <row r="19" spans="1:9" x14ac:dyDescent="0.2">
      <c r="A19" s="564" t="s">
        <v>984</v>
      </c>
      <c r="B19" s="562">
        <f t="shared" si="0"/>
        <v>34</v>
      </c>
      <c r="C19" s="565">
        <v>1</v>
      </c>
      <c r="D19" s="565">
        <v>18</v>
      </c>
      <c r="E19" s="565">
        <v>0</v>
      </c>
      <c r="F19" s="565">
        <v>0</v>
      </c>
      <c r="G19" s="565">
        <v>15</v>
      </c>
      <c r="H19" s="565">
        <v>0</v>
      </c>
      <c r="I19" s="494"/>
    </row>
    <row r="20" spans="1:9" x14ac:dyDescent="0.2">
      <c r="A20" s="564" t="s">
        <v>985</v>
      </c>
      <c r="B20" s="562">
        <f t="shared" si="0"/>
        <v>26</v>
      </c>
      <c r="C20" s="565">
        <v>1</v>
      </c>
      <c r="D20" s="565">
        <v>11</v>
      </c>
      <c r="E20" s="565">
        <v>0</v>
      </c>
      <c r="F20" s="565">
        <v>0</v>
      </c>
      <c r="G20" s="565">
        <v>13</v>
      </c>
      <c r="H20" s="565">
        <v>1</v>
      </c>
      <c r="I20" s="494"/>
    </row>
    <row r="21" spans="1:9" x14ac:dyDescent="0.2">
      <c r="A21" s="564" t="s">
        <v>986</v>
      </c>
      <c r="B21" s="562">
        <f t="shared" si="0"/>
        <v>17</v>
      </c>
      <c r="C21" s="565">
        <v>1</v>
      </c>
      <c r="D21" s="565">
        <v>7</v>
      </c>
      <c r="E21" s="565">
        <v>0</v>
      </c>
      <c r="F21" s="565">
        <v>0</v>
      </c>
      <c r="G21" s="565">
        <v>8</v>
      </c>
      <c r="H21" s="565">
        <v>1</v>
      </c>
      <c r="I21" s="494"/>
    </row>
    <row r="22" spans="1:9" x14ac:dyDescent="0.2">
      <c r="A22" s="540" t="s">
        <v>5</v>
      </c>
      <c r="B22" s="562">
        <f t="shared" si="0"/>
        <v>83</v>
      </c>
      <c r="C22" s="563">
        <f t="shared" ref="C22:H22" si="6">SUM(C23:C29)</f>
        <v>4</v>
      </c>
      <c r="D22" s="563">
        <f t="shared" si="6"/>
        <v>4</v>
      </c>
      <c r="E22" s="563">
        <f t="shared" si="6"/>
        <v>0</v>
      </c>
      <c r="F22" s="563">
        <f t="shared" si="6"/>
        <v>1</v>
      </c>
      <c r="G22" s="563">
        <f t="shared" si="6"/>
        <v>74</v>
      </c>
      <c r="H22" s="563">
        <f t="shared" si="6"/>
        <v>0</v>
      </c>
      <c r="I22" s="494"/>
    </row>
    <row r="23" spans="1:9" x14ac:dyDescent="0.2">
      <c r="A23" s="564" t="s">
        <v>980</v>
      </c>
      <c r="B23" s="562">
        <f t="shared" si="0"/>
        <v>2</v>
      </c>
      <c r="C23" s="565">
        <v>0</v>
      </c>
      <c r="D23" s="565">
        <v>0</v>
      </c>
      <c r="E23" s="565">
        <v>0</v>
      </c>
      <c r="F23" s="565">
        <v>0</v>
      </c>
      <c r="G23" s="565">
        <v>2</v>
      </c>
      <c r="H23" s="565">
        <v>0</v>
      </c>
      <c r="I23" s="494"/>
    </row>
    <row r="24" spans="1:9" x14ac:dyDescent="0.2">
      <c r="A24" s="564" t="s">
        <v>981</v>
      </c>
      <c r="B24" s="562">
        <f t="shared" si="0"/>
        <v>2</v>
      </c>
      <c r="C24" s="565">
        <v>1</v>
      </c>
      <c r="D24" s="565">
        <v>0</v>
      </c>
      <c r="E24" s="565">
        <v>0</v>
      </c>
      <c r="F24" s="565">
        <v>0</v>
      </c>
      <c r="G24" s="565">
        <v>1</v>
      </c>
      <c r="H24" s="565">
        <v>0</v>
      </c>
      <c r="I24" s="494"/>
    </row>
    <row r="25" spans="1:9" x14ac:dyDescent="0.2">
      <c r="A25" s="564" t="s">
        <v>982</v>
      </c>
      <c r="B25" s="562">
        <f t="shared" si="0"/>
        <v>5</v>
      </c>
      <c r="C25" s="565">
        <v>1</v>
      </c>
      <c r="D25" s="565">
        <v>1</v>
      </c>
      <c r="E25" s="565">
        <v>0</v>
      </c>
      <c r="F25" s="565">
        <v>0</v>
      </c>
      <c r="G25" s="565">
        <v>3</v>
      </c>
      <c r="H25" s="565">
        <v>0</v>
      </c>
      <c r="I25" s="494"/>
    </row>
    <row r="26" spans="1:9" x14ac:dyDescent="0.2">
      <c r="A26" s="564" t="s">
        <v>983</v>
      </c>
      <c r="B26" s="562">
        <f t="shared" si="0"/>
        <v>23</v>
      </c>
      <c r="C26" s="565">
        <v>2</v>
      </c>
      <c r="D26" s="565">
        <v>2</v>
      </c>
      <c r="E26" s="565">
        <v>0</v>
      </c>
      <c r="F26" s="565">
        <v>0</v>
      </c>
      <c r="G26" s="565">
        <v>19</v>
      </c>
      <c r="H26" s="565">
        <v>0</v>
      </c>
      <c r="I26" s="494"/>
    </row>
    <row r="27" spans="1:9" x14ac:dyDescent="0.2">
      <c r="A27" s="564" t="s">
        <v>984</v>
      </c>
      <c r="B27" s="562">
        <f t="shared" si="0"/>
        <v>22</v>
      </c>
      <c r="C27" s="565">
        <v>0</v>
      </c>
      <c r="D27" s="565">
        <v>0</v>
      </c>
      <c r="E27" s="565">
        <v>0</v>
      </c>
      <c r="F27" s="565">
        <v>0</v>
      </c>
      <c r="G27" s="565">
        <v>22</v>
      </c>
      <c r="H27" s="565">
        <v>0</v>
      </c>
      <c r="I27" s="494"/>
    </row>
    <row r="28" spans="1:9" x14ac:dyDescent="0.2">
      <c r="A28" s="564" t="s">
        <v>985</v>
      </c>
      <c r="B28" s="562">
        <f t="shared" si="0"/>
        <v>13</v>
      </c>
      <c r="C28" s="565">
        <v>0</v>
      </c>
      <c r="D28" s="565">
        <v>0</v>
      </c>
      <c r="E28" s="565">
        <v>0</v>
      </c>
      <c r="F28" s="565">
        <v>1</v>
      </c>
      <c r="G28" s="565">
        <v>12</v>
      </c>
      <c r="H28" s="565">
        <v>0</v>
      </c>
      <c r="I28" s="494"/>
    </row>
    <row r="29" spans="1:9" x14ac:dyDescent="0.2">
      <c r="A29" s="564" t="s">
        <v>986</v>
      </c>
      <c r="B29" s="562">
        <f t="shared" si="0"/>
        <v>16</v>
      </c>
      <c r="C29" s="565">
        <v>0</v>
      </c>
      <c r="D29" s="565">
        <v>1</v>
      </c>
      <c r="E29" s="565">
        <v>0</v>
      </c>
      <c r="F29" s="565">
        <v>0</v>
      </c>
      <c r="G29" s="565">
        <v>15</v>
      </c>
      <c r="H29" s="565">
        <v>0</v>
      </c>
      <c r="I29" s="494"/>
    </row>
    <row r="30" spans="1:9" x14ac:dyDescent="0.2">
      <c r="A30" s="540" t="s">
        <v>6</v>
      </c>
      <c r="B30" s="562">
        <f>SUM(B31:B37)</f>
        <v>15</v>
      </c>
      <c r="C30" s="563">
        <f t="shared" ref="C30:H30" si="7">SUM(C31:C37)</f>
        <v>0</v>
      </c>
      <c r="D30" s="563">
        <f t="shared" si="7"/>
        <v>1</v>
      </c>
      <c r="E30" s="563">
        <f t="shared" si="7"/>
        <v>1</v>
      </c>
      <c r="F30" s="563">
        <f t="shared" si="7"/>
        <v>0</v>
      </c>
      <c r="G30" s="563">
        <f t="shared" si="7"/>
        <v>13</v>
      </c>
      <c r="H30" s="563">
        <f t="shared" si="7"/>
        <v>0</v>
      </c>
      <c r="I30" s="494"/>
    </row>
    <row r="31" spans="1:9" x14ac:dyDescent="0.2">
      <c r="A31" s="564" t="s">
        <v>980</v>
      </c>
      <c r="B31" s="562">
        <f t="shared" ref="B31:B37" si="8">SUM(C31:H31)</f>
        <v>0</v>
      </c>
      <c r="C31" s="565">
        <v>0</v>
      </c>
      <c r="D31" s="565">
        <v>0</v>
      </c>
      <c r="E31" s="565">
        <v>0</v>
      </c>
      <c r="F31" s="565">
        <v>0</v>
      </c>
      <c r="G31" s="565">
        <v>0</v>
      </c>
      <c r="H31" s="565">
        <v>0</v>
      </c>
      <c r="I31" s="494"/>
    </row>
    <row r="32" spans="1:9" x14ac:dyDescent="0.2">
      <c r="A32" s="564" t="s">
        <v>981</v>
      </c>
      <c r="B32" s="562">
        <f t="shared" si="8"/>
        <v>1</v>
      </c>
      <c r="C32" s="565">
        <v>0</v>
      </c>
      <c r="D32" s="565">
        <v>0</v>
      </c>
      <c r="E32" s="565">
        <v>0</v>
      </c>
      <c r="F32" s="565">
        <v>0</v>
      </c>
      <c r="G32" s="565">
        <v>1</v>
      </c>
      <c r="H32" s="565">
        <v>0</v>
      </c>
      <c r="I32" s="494"/>
    </row>
    <row r="33" spans="1:9" x14ac:dyDescent="0.2">
      <c r="A33" s="564" t="s">
        <v>982</v>
      </c>
      <c r="B33" s="562">
        <f t="shared" si="8"/>
        <v>1</v>
      </c>
      <c r="C33" s="565">
        <v>0</v>
      </c>
      <c r="D33" s="565">
        <v>0</v>
      </c>
      <c r="E33" s="565">
        <v>1</v>
      </c>
      <c r="F33" s="565">
        <v>0</v>
      </c>
      <c r="G33" s="565">
        <v>0</v>
      </c>
      <c r="H33" s="565">
        <v>0</v>
      </c>
      <c r="I33" s="494"/>
    </row>
    <row r="34" spans="1:9" x14ac:dyDescent="0.2">
      <c r="A34" s="564" t="s">
        <v>983</v>
      </c>
      <c r="B34" s="562">
        <f t="shared" si="8"/>
        <v>0</v>
      </c>
      <c r="C34" s="565">
        <v>0</v>
      </c>
      <c r="D34" s="565">
        <v>0</v>
      </c>
      <c r="E34" s="565">
        <v>0</v>
      </c>
      <c r="F34" s="565">
        <v>0</v>
      </c>
      <c r="G34" s="565">
        <v>0</v>
      </c>
      <c r="H34" s="565">
        <v>0</v>
      </c>
      <c r="I34" s="494"/>
    </row>
    <row r="35" spans="1:9" x14ac:dyDescent="0.2">
      <c r="A35" s="564" t="s">
        <v>984</v>
      </c>
      <c r="B35" s="562">
        <f t="shared" si="8"/>
        <v>8</v>
      </c>
      <c r="C35" s="565">
        <v>0</v>
      </c>
      <c r="D35" s="565">
        <v>1</v>
      </c>
      <c r="E35" s="565">
        <v>0</v>
      </c>
      <c r="F35" s="565">
        <v>0</v>
      </c>
      <c r="G35" s="565">
        <v>7</v>
      </c>
      <c r="H35" s="565">
        <v>0</v>
      </c>
      <c r="I35" s="494"/>
    </row>
    <row r="36" spans="1:9" x14ac:dyDescent="0.2">
      <c r="A36" s="564" t="s">
        <v>985</v>
      </c>
      <c r="B36" s="562">
        <f t="shared" si="8"/>
        <v>2</v>
      </c>
      <c r="C36" s="565">
        <v>0</v>
      </c>
      <c r="D36" s="565">
        <v>0</v>
      </c>
      <c r="E36" s="565">
        <v>0</v>
      </c>
      <c r="F36" s="565">
        <v>0</v>
      </c>
      <c r="G36" s="565">
        <v>2</v>
      </c>
      <c r="H36" s="565">
        <v>0</v>
      </c>
      <c r="I36" s="494"/>
    </row>
    <row r="37" spans="1:9" x14ac:dyDescent="0.2">
      <c r="A37" s="564" t="s">
        <v>986</v>
      </c>
      <c r="B37" s="562">
        <f t="shared" si="8"/>
        <v>3</v>
      </c>
      <c r="C37" s="565">
        <v>0</v>
      </c>
      <c r="D37" s="565">
        <v>0</v>
      </c>
      <c r="E37" s="565">
        <v>0</v>
      </c>
      <c r="F37" s="565">
        <v>0</v>
      </c>
      <c r="G37" s="565">
        <v>3</v>
      </c>
      <c r="H37" s="565">
        <v>0</v>
      </c>
      <c r="I37" s="494"/>
    </row>
    <row r="38" spans="1:9" x14ac:dyDescent="0.2">
      <c r="A38" s="540" t="s">
        <v>7</v>
      </c>
      <c r="B38" s="562">
        <f>SUM(B39:B45)</f>
        <v>48</v>
      </c>
      <c r="C38" s="563">
        <f t="shared" ref="C38:H38" si="9">SUM(C39:C45)</f>
        <v>2</v>
      </c>
      <c r="D38" s="563">
        <f t="shared" si="9"/>
        <v>9</v>
      </c>
      <c r="E38" s="563">
        <f t="shared" si="9"/>
        <v>0</v>
      </c>
      <c r="F38" s="563">
        <f t="shared" si="9"/>
        <v>0</v>
      </c>
      <c r="G38" s="563">
        <f t="shared" si="9"/>
        <v>32</v>
      </c>
      <c r="H38" s="563">
        <f t="shared" si="9"/>
        <v>5</v>
      </c>
      <c r="I38" s="494"/>
    </row>
    <row r="39" spans="1:9" x14ac:dyDescent="0.2">
      <c r="A39" s="564" t="s">
        <v>980</v>
      </c>
      <c r="B39" s="562">
        <f t="shared" ref="B39:B102" si="10">SUM(C39:H39)</f>
        <v>0</v>
      </c>
      <c r="C39" s="565">
        <v>0</v>
      </c>
      <c r="D39" s="565">
        <v>0</v>
      </c>
      <c r="E39" s="565">
        <v>0</v>
      </c>
      <c r="F39" s="565">
        <v>0</v>
      </c>
      <c r="G39" s="565">
        <v>0</v>
      </c>
      <c r="H39" s="565">
        <v>0</v>
      </c>
      <c r="I39" s="494"/>
    </row>
    <row r="40" spans="1:9" x14ac:dyDescent="0.2">
      <c r="A40" s="564" t="s">
        <v>981</v>
      </c>
      <c r="B40" s="562">
        <f t="shared" si="10"/>
        <v>1</v>
      </c>
      <c r="C40" s="565">
        <v>0</v>
      </c>
      <c r="D40" s="565">
        <v>0</v>
      </c>
      <c r="E40" s="565">
        <v>0</v>
      </c>
      <c r="F40" s="565">
        <v>0</v>
      </c>
      <c r="G40" s="565">
        <v>1</v>
      </c>
      <c r="H40" s="565">
        <v>0</v>
      </c>
      <c r="I40" s="494"/>
    </row>
    <row r="41" spans="1:9" x14ac:dyDescent="0.2">
      <c r="A41" s="564" t="s">
        <v>982</v>
      </c>
      <c r="B41" s="562">
        <f t="shared" si="10"/>
        <v>5</v>
      </c>
      <c r="C41" s="565">
        <v>0</v>
      </c>
      <c r="D41" s="565">
        <v>0</v>
      </c>
      <c r="E41" s="565">
        <v>0</v>
      </c>
      <c r="F41" s="565">
        <v>0</v>
      </c>
      <c r="G41" s="565">
        <v>5</v>
      </c>
      <c r="H41" s="565">
        <v>0</v>
      </c>
      <c r="I41" s="494"/>
    </row>
    <row r="42" spans="1:9" x14ac:dyDescent="0.2">
      <c r="A42" s="564" t="s">
        <v>983</v>
      </c>
      <c r="B42" s="562">
        <f t="shared" si="10"/>
        <v>14</v>
      </c>
      <c r="C42" s="565">
        <v>2</v>
      </c>
      <c r="D42" s="565">
        <v>4</v>
      </c>
      <c r="E42" s="565">
        <v>0</v>
      </c>
      <c r="F42" s="565">
        <v>0</v>
      </c>
      <c r="G42" s="565">
        <v>8</v>
      </c>
      <c r="H42" s="565">
        <v>0</v>
      </c>
      <c r="I42" s="494"/>
    </row>
    <row r="43" spans="1:9" x14ac:dyDescent="0.2">
      <c r="A43" s="564" t="s">
        <v>984</v>
      </c>
      <c r="B43" s="562">
        <f t="shared" si="10"/>
        <v>14</v>
      </c>
      <c r="C43" s="565">
        <v>0</v>
      </c>
      <c r="D43" s="565">
        <v>3</v>
      </c>
      <c r="E43" s="565">
        <v>0</v>
      </c>
      <c r="F43" s="565">
        <v>0</v>
      </c>
      <c r="G43" s="565">
        <v>9</v>
      </c>
      <c r="H43" s="565">
        <v>2</v>
      </c>
      <c r="I43" s="494"/>
    </row>
    <row r="44" spans="1:9" x14ac:dyDescent="0.2">
      <c r="A44" s="564" t="s">
        <v>985</v>
      </c>
      <c r="B44" s="562">
        <f t="shared" si="10"/>
        <v>11</v>
      </c>
      <c r="C44" s="565">
        <v>0</v>
      </c>
      <c r="D44" s="565">
        <v>1</v>
      </c>
      <c r="E44" s="565">
        <v>0</v>
      </c>
      <c r="F44" s="565">
        <v>0</v>
      </c>
      <c r="G44" s="565">
        <v>7</v>
      </c>
      <c r="H44" s="565">
        <v>3</v>
      </c>
      <c r="I44" s="494"/>
    </row>
    <row r="45" spans="1:9" x14ac:dyDescent="0.2">
      <c r="A45" s="564" t="s">
        <v>986</v>
      </c>
      <c r="B45" s="562">
        <f t="shared" si="10"/>
        <v>3</v>
      </c>
      <c r="C45" s="565">
        <v>0</v>
      </c>
      <c r="D45" s="565">
        <v>1</v>
      </c>
      <c r="E45" s="565">
        <v>0</v>
      </c>
      <c r="F45" s="565">
        <v>0</v>
      </c>
      <c r="G45" s="565">
        <v>2</v>
      </c>
      <c r="H45" s="565">
        <v>0</v>
      </c>
      <c r="I45" s="494"/>
    </row>
    <row r="46" spans="1:9" x14ac:dyDescent="0.2">
      <c r="A46" s="540" t="s">
        <v>8</v>
      </c>
      <c r="B46" s="562">
        <f t="shared" si="10"/>
        <v>119</v>
      </c>
      <c r="C46" s="563">
        <f t="shared" ref="C46:H46" si="11">SUM(C47:C53)</f>
        <v>5</v>
      </c>
      <c r="D46" s="563">
        <f t="shared" si="11"/>
        <v>20</v>
      </c>
      <c r="E46" s="563">
        <f t="shared" si="11"/>
        <v>0</v>
      </c>
      <c r="F46" s="563">
        <f t="shared" si="11"/>
        <v>4</v>
      </c>
      <c r="G46" s="563">
        <f t="shared" si="11"/>
        <v>89</v>
      </c>
      <c r="H46" s="563">
        <f t="shared" si="11"/>
        <v>1</v>
      </c>
      <c r="I46" s="494"/>
    </row>
    <row r="47" spans="1:9" x14ac:dyDescent="0.2">
      <c r="A47" s="564" t="s">
        <v>980</v>
      </c>
      <c r="B47" s="562">
        <f t="shared" si="10"/>
        <v>3</v>
      </c>
      <c r="C47" s="565">
        <v>0</v>
      </c>
      <c r="D47" s="565">
        <v>0</v>
      </c>
      <c r="E47" s="565">
        <v>0</v>
      </c>
      <c r="F47" s="565">
        <v>0</v>
      </c>
      <c r="G47" s="565">
        <v>3</v>
      </c>
      <c r="H47" s="565">
        <v>0</v>
      </c>
      <c r="I47" s="494"/>
    </row>
    <row r="48" spans="1:9" x14ac:dyDescent="0.2">
      <c r="A48" s="564" t="s">
        <v>981</v>
      </c>
      <c r="B48" s="562">
        <f t="shared" si="10"/>
        <v>8</v>
      </c>
      <c r="C48" s="565">
        <v>0</v>
      </c>
      <c r="D48" s="565">
        <v>3</v>
      </c>
      <c r="E48" s="565">
        <v>0</v>
      </c>
      <c r="F48" s="565">
        <v>0</v>
      </c>
      <c r="G48" s="565">
        <v>5</v>
      </c>
      <c r="H48" s="565">
        <v>0</v>
      </c>
      <c r="I48" s="494"/>
    </row>
    <row r="49" spans="1:9" x14ac:dyDescent="0.2">
      <c r="A49" s="564" t="s">
        <v>982</v>
      </c>
      <c r="B49" s="562">
        <f t="shared" si="10"/>
        <v>21</v>
      </c>
      <c r="C49" s="565">
        <v>2</v>
      </c>
      <c r="D49" s="565">
        <v>3</v>
      </c>
      <c r="E49" s="565">
        <v>0</v>
      </c>
      <c r="F49" s="565">
        <v>2</v>
      </c>
      <c r="G49" s="565">
        <v>14</v>
      </c>
      <c r="H49" s="565">
        <v>0</v>
      </c>
      <c r="I49" s="494"/>
    </row>
    <row r="50" spans="1:9" x14ac:dyDescent="0.2">
      <c r="A50" s="564" t="s">
        <v>983</v>
      </c>
      <c r="B50" s="562">
        <f t="shared" si="10"/>
        <v>33</v>
      </c>
      <c r="C50" s="565">
        <v>1</v>
      </c>
      <c r="D50" s="565">
        <v>5</v>
      </c>
      <c r="E50" s="565">
        <v>0</v>
      </c>
      <c r="F50" s="565">
        <v>0</v>
      </c>
      <c r="G50" s="565">
        <v>26</v>
      </c>
      <c r="H50" s="565">
        <v>1</v>
      </c>
      <c r="I50" s="494"/>
    </row>
    <row r="51" spans="1:9" x14ac:dyDescent="0.2">
      <c r="A51" s="564" t="s">
        <v>984</v>
      </c>
      <c r="B51" s="562">
        <f t="shared" si="10"/>
        <v>33</v>
      </c>
      <c r="C51" s="565">
        <v>0</v>
      </c>
      <c r="D51" s="565">
        <v>6</v>
      </c>
      <c r="E51" s="565">
        <v>0</v>
      </c>
      <c r="F51" s="565">
        <v>2</v>
      </c>
      <c r="G51" s="565">
        <v>25</v>
      </c>
      <c r="H51" s="565">
        <v>0</v>
      </c>
      <c r="I51" s="494"/>
    </row>
    <row r="52" spans="1:9" x14ac:dyDescent="0.2">
      <c r="A52" s="564" t="s">
        <v>985</v>
      </c>
      <c r="B52" s="562">
        <f t="shared" si="10"/>
        <v>13</v>
      </c>
      <c r="C52" s="565">
        <v>2</v>
      </c>
      <c r="D52" s="565">
        <v>0</v>
      </c>
      <c r="E52" s="565">
        <v>0</v>
      </c>
      <c r="F52" s="565">
        <v>0</v>
      </c>
      <c r="G52" s="565">
        <v>11</v>
      </c>
      <c r="H52" s="565">
        <v>0</v>
      </c>
      <c r="I52" s="494"/>
    </row>
    <row r="53" spans="1:9" x14ac:dyDescent="0.2">
      <c r="A53" s="564" t="s">
        <v>986</v>
      </c>
      <c r="B53" s="562">
        <f t="shared" si="10"/>
        <v>8</v>
      </c>
      <c r="C53" s="565">
        <v>0</v>
      </c>
      <c r="D53" s="565">
        <v>3</v>
      </c>
      <c r="E53" s="565">
        <v>0</v>
      </c>
      <c r="F53" s="565">
        <v>0</v>
      </c>
      <c r="G53" s="565">
        <v>5</v>
      </c>
      <c r="H53" s="565">
        <v>0</v>
      </c>
      <c r="I53" s="494"/>
    </row>
    <row r="54" spans="1:9" x14ac:dyDescent="0.2">
      <c r="A54" s="540" t="s">
        <v>9</v>
      </c>
      <c r="B54" s="562">
        <f t="shared" si="10"/>
        <v>135</v>
      </c>
      <c r="C54" s="563">
        <f t="shared" ref="C54:H54" si="12">SUM(C55:C61)</f>
        <v>10</v>
      </c>
      <c r="D54" s="563">
        <f t="shared" si="12"/>
        <v>21</v>
      </c>
      <c r="E54" s="563">
        <f t="shared" si="12"/>
        <v>1</v>
      </c>
      <c r="F54" s="563">
        <f t="shared" si="12"/>
        <v>6</v>
      </c>
      <c r="G54" s="563">
        <f t="shared" si="12"/>
        <v>97</v>
      </c>
      <c r="H54" s="563">
        <f t="shared" si="12"/>
        <v>0</v>
      </c>
      <c r="I54" s="494"/>
    </row>
    <row r="55" spans="1:9" x14ac:dyDescent="0.2">
      <c r="A55" s="564" t="s">
        <v>980</v>
      </c>
      <c r="B55" s="562">
        <f t="shared" si="10"/>
        <v>0</v>
      </c>
      <c r="C55" s="565">
        <v>0</v>
      </c>
      <c r="D55" s="565">
        <v>0</v>
      </c>
      <c r="E55" s="565">
        <v>0</v>
      </c>
      <c r="F55" s="565">
        <v>0</v>
      </c>
      <c r="G55" s="565">
        <v>0</v>
      </c>
      <c r="H55" s="565">
        <v>0</v>
      </c>
      <c r="I55" s="494"/>
    </row>
    <row r="56" spans="1:9" x14ac:dyDescent="0.2">
      <c r="A56" s="564" t="s">
        <v>981</v>
      </c>
      <c r="B56" s="562">
        <f t="shared" si="10"/>
        <v>0</v>
      </c>
      <c r="C56" s="565">
        <v>0</v>
      </c>
      <c r="D56" s="565">
        <v>0</v>
      </c>
      <c r="E56" s="565">
        <v>0</v>
      </c>
      <c r="F56" s="565">
        <v>0</v>
      </c>
      <c r="G56" s="565">
        <v>0</v>
      </c>
      <c r="H56" s="565">
        <v>0</v>
      </c>
      <c r="I56" s="494"/>
    </row>
    <row r="57" spans="1:9" x14ac:dyDescent="0.2">
      <c r="A57" s="564" t="s">
        <v>982</v>
      </c>
      <c r="B57" s="562">
        <f t="shared" si="10"/>
        <v>8</v>
      </c>
      <c r="C57" s="565">
        <v>2</v>
      </c>
      <c r="D57" s="565">
        <v>0</v>
      </c>
      <c r="E57" s="565">
        <v>0</v>
      </c>
      <c r="F57" s="565">
        <v>0</v>
      </c>
      <c r="G57" s="565">
        <v>6</v>
      </c>
      <c r="H57" s="565">
        <v>0</v>
      </c>
      <c r="I57" s="494"/>
    </row>
    <row r="58" spans="1:9" x14ac:dyDescent="0.2">
      <c r="A58" s="564" t="s">
        <v>983</v>
      </c>
      <c r="B58" s="562">
        <f t="shared" si="10"/>
        <v>55</v>
      </c>
      <c r="C58" s="565">
        <v>2</v>
      </c>
      <c r="D58" s="565">
        <v>10</v>
      </c>
      <c r="E58" s="565">
        <v>1</v>
      </c>
      <c r="F58" s="565">
        <v>1</v>
      </c>
      <c r="G58" s="565">
        <v>41</v>
      </c>
      <c r="H58" s="565">
        <v>0</v>
      </c>
      <c r="I58" s="494"/>
    </row>
    <row r="59" spans="1:9" x14ac:dyDescent="0.2">
      <c r="A59" s="564" t="s">
        <v>984</v>
      </c>
      <c r="B59" s="562">
        <f t="shared" si="10"/>
        <v>42</v>
      </c>
      <c r="C59" s="565">
        <v>5</v>
      </c>
      <c r="D59" s="565">
        <v>7</v>
      </c>
      <c r="E59" s="565">
        <v>0</v>
      </c>
      <c r="F59" s="565">
        <v>1</v>
      </c>
      <c r="G59" s="565">
        <v>29</v>
      </c>
      <c r="H59" s="565">
        <v>0</v>
      </c>
      <c r="I59" s="494"/>
    </row>
    <row r="60" spans="1:9" x14ac:dyDescent="0.2">
      <c r="A60" s="564" t="s">
        <v>985</v>
      </c>
      <c r="B60" s="562">
        <f t="shared" si="10"/>
        <v>17</v>
      </c>
      <c r="C60" s="565">
        <v>1</v>
      </c>
      <c r="D60" s="565">
        <v>3</v>
      </c>
      <c r="E60" s="565">
        <v>0</v>
      </c>
      <c r="F60" s="565">
        <v>3</v>
      </c>
      <c r="G60" s="565">
        <v>10</v>
      </c>
      <c r="H60" s="565">
        <v>0</v>
      </c>
      <c r="I60" s="494"/>
    </row>
    <row r="61" spans="1:9" x14ac:dyDescent="0.2">
      <c r="A61" s="564" t="s">
        <v>986</v>
      </c>
      <c r="B61" s="562">
        <f t="shared" si="10"/>
        <v>13</v>
      </c>
      <c r="C61" s="565">
        <v>0</v>
      </c>
      <c r="D61" s="565">
        <v>1</v>
      </c>
      <c r="E61" s="565">
        <v>0</v>
      </c>
      <c r="F61" s="565">
        <v>1</v>
      </c>
      <c r="G61" s="565">
        <v>11</v>
      </c>
      <c r="H61" s="565">
        <v>0</v>
      </c>
      <c r="I61" s="494"/>
    </row>
    <row r="62" spans="1:9" x14ac:dyDescent="0.2">
      <c r="A62" s="531" t="s">
        <v>10</v>
      </c>
      <c r="B62" s="562">
        <f t="shared" si="10"/>
        <v>458</v>
      </c>
      <c r="C62" s="563">
        <f t="shared" ref="C62:H62" si="13">SUM(C63:C69)</f>
        <v>46</v>
      </c>
      <c r="D62" s="563">
        <f t="shared" si="13"/>
        <v>47</v>
      </c>
      <c r="E62" s="563">
        <f t="shared" si="13"/>
        <v>5</v>
      </c>
      <c r="F62" s="563">
        <f t="shared" si="13"/>
        <v>14</v>
      </c>
      <c r="G62" s="563">
        <f t="shared" si="13"/>
        <v>343</v>
      </c>
      <c r="H62" s="563">
        <f t="shared" si="13"/>
        <v>3</v>
      </c>
      <c r="I62" s="494"/>
    </row>
    <row r="63" spans="1:9" x14ac:dyDescent="0.2">
      <c r="A63" s="564" t="s">
        <v>980</v>
      </c>
      <c r="B63" s="562">
        <f t="shared" si="10"/>
        <v>3</v>
      </c>
      <c r="C63" s="565">
        <v>0</v>
      </c>
      <c r="D63" s="565">
        <v>2</v>
      </c>
      <c r="E63" s="565">
        <v>0</v>
      </c>
      <c r="F63" s="565">
        <v>0</v>
      </c>
      <c r="G63" s="565">
        <v>1</v>
      </c>
      <c r="H63" s="565">
        <v>0</v>
      </c>
      <c r="I63" s="494"/>
    </row>
    <row r="64" spans="1:9" x14ac:dyDescent="0.2">
      <c r="A64" s="564" t="s">
        <v>981</v>
      </c>
      <c r="B64" s="562">
        <f t="shared" si="10"/>
        <v>16</v>
      </c>
      <c r="C64" s="565">
        <v>1</v>
      </c>
      <c r="D64" s="565">
        <v>2</v>
      </c>
      <c r="E64" s="565">
        <v>0</v>
      </c>
      <c r="F64" s="565">
        <v>0</v>
      </c>
      <c r="G64" s="565">
        <v>13</v>
      </c>
      <c r="H64" s="565">
        <v>0</v>
      </c>
      <c r="I64" s="494"/>
    </row>
    <row r="65" spans="1:9" x14ac:dyDescent="0.2">
      <c r="A65" s="564" t="s">
        <v>982</v>
      </c>
      <c r="B65" s="562">
        <f t="shared" si="10"/>
        <v>45</v>
      </c>
      <c r="C65" s="565">
        <v>3</v>
      </c>
      <c r="D65" s="565">
        <v>3</v>
      </c>
      <c r="E65" s="565">
        <v>0</v>
      </c>
      <c r="F65" s="565">
        <v>3</v>
      </c>
      <c r="G65" s="565">
        <v>36</v>
      </c>
      <c r="H65" s="565">
        <v>0</v>
      </c>
      <c r="I65" s="494"/>
    </row>
    <row r="66" spans="1:9" x14ac:dyDescent="0.2">
      <c r="A66" s="564" t="s">
        <v>983</v>
      </c>
      <c r="B66" s="562">
        <f t="shared" si="10"/>
        <v>136</v>
      </c>
      <c r="C66" s="565">
        <v>15</v>
      </c>
      <c r="D66" s="565">
        <v>11</v>
      </c>
      <c r="E66" s="565">
        <v>4</v>
      </c>
      <c r="F66" s="565">
        <v>4</v>
      </c>
      <c r="G66" s="565">
        <v>102</v>
      </c>
      <c r="H66" s="565">
        <v>0</v>
      </c>
      <c r="I66" s="494"/>
    </row>
    <row r="67" spans="1:9" x14ac:dyDescent="0.2">
      <c r="A67" s="564" t="s">
        <v>984</v>
      </c>
      <c r="B67" s="562">
        <f t="shared" si="10"/>
        <v>143</v>
      </c>
      <c r="C67" s="565">
        <v>19</v>
      </c>
      <c r="D67" s="565">
        <v>17</v>
      </c>
      <c r="E67" s="565">
        <v>0</v>
      </c>
      <c r="F67" s="565">
        <v>4</v>
      </c>
      <c r="G67" s="565">
        <v>103</v>
      </c>
      <c r="H67" s="565">
        <v>0</v>
      </c>
      <c r="I67" s="494"/>
    </row>
    <row r="68" spans="1:9" x14ac:dyDescent="0.2">
      <c r="A68" s="564" t="s">
        <v>985</v>
      </c>
      <c r="B68" s="562">
        <f t="shared" si="10"/>
        <v>53</v>
      </c>
      <c r="C68" s="565">
        <v>3</v>
      </c>
      <c r="D68" s="565">
        <v>4</v>
      </c>
      <c r="E68" s="565">
        <v>0</v>
      </c>
      <c r="F68" s="565">
        <v>1</v>
      </c>
      <c r="G68" s="565">
        <v>43</v>
      </c>
      <c r="H68" s="565">
        <v>2</v>
      </c>
      <c r="I68" s="494"/>
    </row>
    <row r="69" spans="1:9" x14ac:dyDescent="0.2">
      <c r="A69" s="564" t="s">
        <v>986</v>
      </c>
      <c r="B69" s="562">
        <f t="shared" si="10"/>
        <v>62</v>
      </c>
      <c r="C69" s="565">
        <v>5</v>
      </c>
      <c r="D69" s="565">
        <v>8</v>
      </c>
      <c r="E69" s="565">
        <v>1</v>
      </c>
      <c r="F69" s="565">
        <v>2</v>
      </c>
      <c r="G69" s="565">
        <v>45</v>
      </c>
      <c r="H69" s="565">
        <v>1</v>
      </c>
      <c r="I69" s="494"/>
    </row>
    <row r="70" spans="1:9" x14ac:dyDescent="0.2">
      <c r="A70" s="531" t="s">
        <v>134</v>
      </c>
      <c r="B70" s="562">
        <f t="shared" si="10"/>
        <v>76</v>
      </c>
      <c r="C70" s="563">
        <f t="shared" ref="C70:H70" si="14">SUM(C71:C77)</f>
        <v>9</v>
      </c>
      <c r="D70" s="563">
        <f t="shared" si="14"/>
        <v>4</v>
      </c>
      <c r="E70" s="563">
        <f t="shared" si="14"/>
        <v>0</v>
      </c>
      <c r="F70" s="563">
        <f t="shared" si="14"/>
        <v>1</v>
      </c>
      <c r="G70" s="563">
        <f t="shared" si="14"/>
        <v>62</v>
      </c>
      <c r="H70" s="563">
        <f t="shared" si="14"/>
        <v>0</v>
      </c>
      <c r="I70" s="494"/>
    </row>
    <row r="71" spans="1:9" x14ac:dyDescent="0.2">
      <c r="A71" s="564" t="s">
        <v>980</v>
      </c>
      <c r="B71" s="562">
        <f t="shared" si="10"/>
        <v>2</v>
      </c>
      <c r="C71" s="565">
        <v>1</v>
      </c>
      <c r="D71" s="565">
        <v>0</v>
      </c>
      <c r="E71" s="565">
        <v>0</v>
      </c>
      <c r="F71" s="565">
        <v>0</v>
      </c>
      <c r="G71" s="565">
        <v>1</v>
      </c>
      <c r="H71" s="565">
        <v>0</v>
      </c>
      <c r="I71" s="494"/>
    </row>
    <row r="72" spans="1:9" x14ac:dyDescent="0.2">
      <c r="A72" s="564" t="s">
        <v>981</v>
      </c>
      <c r="B72" s="562">
        <f t="shared" si="10"/>
        <v>3</v>
      </c>
      <c r="C72" s="565">
        <v>0</v>
      </c>
      <c r="D72" s="565">
        <v>0</v>
      </c>
      <c r="E72" s="565">
        <v>0</v>
      </c>
      <c r="F72" s="565">
        <v>0</v>
      </c>
      <c r="G72" s="565">
        <v>3</v>
      </c>
      <c r="H72" s="565">
        <v>0</v>
      </c>
      <c r="I72" s="494"/>
    </row>
    <row r="73" spans="1:9" x14ac:dyDescent="0.2">
      <c r="A73" s="564" t="s">
        <v>982</v>
      </c>
      <c r="B73" s="562">
        <f t="shared" si="10"/>
        <v>9</v>
      </c>
      <c r="C73" s="565">
        <v>1</v>
      </c>
      <c r="D73" s="565">
        <v>3</v>
      </c>
      <c r="E73" s="565">
        <v>0</v>
      </c>
      <c r="F73" s="565">
        <v>0</v>
      </c>
      <c r="G73" s="565">
        <v>5</v>
      </c>
      <c r="H73" s="565">
        <v>0</v>
      </c>
      <c r="I73" s="494"/>
    </row>
    <row r="74" spans="1:9" x14ac:dyDescent="0.2">
      <c r="A74" s="564" t="s">
        <v>983</v>
      </c>
      <c r="B74" s="562">
        <f t="shared" si="10"/>
        <v>34</v>
      </c>
      <c r="C74" s="565">
        <v>3</v>
      </c>
      <c r="D74" s="565">
        <v>1</v>
      </c>
      <c r="E74" s="565">
        <v>0</v>
      </c>
      <c r="F74" s="565">
        <v>0</v>
      </c>
      <c r="G74" s="565">
        <v>30</v>
      </c>
      <c r="H74" s="565">
        <v>0</v>
      </c>
      <c r="I74" s="494"/>
    </row>
    <row r="75" spans="1:9" x14ac:dyDescent="0.2">
      <c r="A75" s="564" t="s">
        <v>984</v>
      </c>
      <c r="B75" s="562">
        <f t="shared" si="10"/>
        <v>18</v>
      </c>
      <c r="C75" s="565">
        <v>1</v>
      </c>
      <c r="D75" s="565">
        <v>0</v>
      </c>
      <c r="E75" s="565">
        <v>0</v>
      </c>
      <c r="F75" s="565">
        <v>0</v>
      </c>
      <c r="G75" s="565">
        <v>17</v>
      </c>
      <c r="H75" s="565">
        <v>0</v>
      </c>
      <c r="I75" s="494"/>
    </row>
    <row r="76" spans="1:9" x14ac:dyDescent="0.2">
      <c r="A76" s="564" t="s">
        <v>985</v>
      </c>
      <c r="B76" s="562">
        <f t="shared" si="10"/>
        <v>6</v>
      </c>
      <c r="C76" s="565">
        <v>2</v>
      </c>
      <c r="D76" s="565">
        <v>0</v>
      </c>
      <c r="E76" s="565">
        <v>0</v>
      </c>
      <c r="F76" s="565">
        <v>1</v>
      </c>
      <c r="G76" s="565">
        <v>3</v>
      </c>
      <c r="H76" s="565">
        <v>0</v>
      </c>
      <c r="I76" s="494"/>
    </row>
    <row r="77" spans="1:9" x14ac:dyDescent="0.2">
      <c r="A77" s="564" t="s">
        <v>986</v>
      </c>
      <c r="B77" s="562">
        <f t="shared" si="10"/>
        <v>4</v>
      </c>
      <c r="C77" s="565">
        <v>1</v>
      </c>
      <c r="D77" s="565">
        <v>0</v>
      </c>
      <c r="E77" s="565">
        <v>0</v>
      </c>
      <c r="F77" s="565">
        <v>0</v>
      </c>
      <c r="G77" s="565">
        <v>3</v>
      </c>
      <c r="H77" s="565">
        <v>0</v>
      </c>
      <c r="I77" s="494"/>
    </row>
    <row r="78" spans="1:9" x14ac:dyDescent="0.2">
      <c r="A78" s="540" t="s">
        <v>12</v>
      </c>
      <c r="B78" s="562">
        <f t="shared" si="10"/>
        <v>73</v>
      </c>
      <c r="C78" s="563">
        <f t="shared" ref="C78:H78" si="15">SUM(C79:C85)</f>
        <v>11</v>
      </c>
      <c r="D78" s="563">
        <f t="shared" si="15"/>
        <v>9</v>
      </c>
      <c r="E78" s="563">
        <f t="shared" si="15"/>
        <v>0</v>
      </c>
      <c r="F78" s="563">
        <f t="shared" si="15"/>
        <v>1</v>
      </c>
      <c r="G78" s="563">
        <f t="shared" si="15"/>
        <v>52</v>
      </c>
      <c r="H78" s="563">
        <f t="shared" si="15"/>
        <v>0</v>
      </c>
      <c r="I78" s="494"/>
    </row>
    <row r="79" spans="1:9" x14ac:dyDescent="0.2">
      <c r="A79" s="564" t="s">
        <v>980</v>
      </c>
      <c r="B79" s="562">
        <f t="shared" si="10"/>
        <v>2</v>
      </c>
      <c r="C79" s="565">
        <v>1</v>
      </c>
      <c r="D79" s="565">
        <v>1</v>
      </c>
      <c r="E79" s="565">
        <v>0</v>
      </c>
      <c r="F79" s="565">
        <v>0</v>
      </c>
      <c r="G79" s="565">
        <v>0</v>
      </c>
      <c r="H79" s="565">
        <v>0</v>
      </c>
      <c r="I79" s="494"/>
    </row>
    <row r="80" spans="1:9" x14ac:dyDescent="0.2">
      <c r="A80" s="564" t="s">
        <v>981</v>
      </c>
      <c r="B80" s="562">
        <f t="shared" si="10"/>
        <v>4</v>
      </c>
      <c r="C80" s="565">
        <v>1</v>
      </c>
      <c r="D80" s="565">
        <v>1</v>
      </c>
      <c r="E80" s="565">
        <v>0</v>
      </c>
      <c r="F80" s="565">
        <v>0</v>
      </c>
      <c r="G80" s="565">
        <v>2</v>
      </c>
      <c r="H80" s="565">
        <v>0</v>
      </c>
      <c r="I80" s="494"/>
    </row>
    <row r="81" spans="1:9" x14ac:dyDescent="0.2">
      <c r="A81" s="564" t="s">
        <v>982</v>
      </c>
      <c r="B81" s="562">
        <f t="shared" si="10"/>
        <v>3</v>
      </c>
      <c r="C81" s="565">
        <v>1</v>
      </c>
      <c r="D81" s="565">
        <v>0</v>
      </c>
      <c r="E81" s="565">
        <v>0</v>
      </c>
      <c r="F81" s="565">
        <v>0</v>
      </c>
      <c r="G81" s="565">
        <v>2</v>
      </c>
      <c r="H81" s="565">
        <v>0</v>
      </c>
      <c r="I81" s="494"/>
    </row>
    <row r="82" spans="1:9" x14ac:dyDescent="0.2">
      <c r="A82" s="564" t="s">
        <v>983</v>
      </c>
      <c r="B82" s="562">
        <f t="shared" si="10"/>
        <v>32</v>
      </c>
      <c r="C82" s="565">
        <v>4</v>
      </c>
      <c r="D82" s="565">
        <v>3</v>
      </c>
      <c r="E82" s="565">
        <v>0</v>
      </c>
      <c r="F82" s="565">
        <v>1</v>
      </c>
      <c r="G82" s="565">
        <v>24</v>
      </c>
      <c r="H82" s="565">
        <v>0</v>
      </c>
      <c r="I82" s="494"/>
    </row>
    <row r="83" spans="1:9" x14ac:dyDescent="0.2">
      <c r="A83" s="564" t="s">
        <v>984</v>
      </c>
      <c r="B83" s="562">
        <f t="shared" si="10"/>
        <v>15</v>
      </c>
      <c r="C83" s="565">
        <v>2</v>
      </c>
      <c r="D83" s="565">
        <v>2</v>
      </c>
      <c r="E83" s="565">
        <v>0</v>
      </c>
      <c r="F83" s="565">
        <v>0</v>
      </c>
      <c r="G83" s="565">
        <v>11</v>
      </c>
      <c r="H83" s="565">
        <v>0</v>
      </c>
      <c r="I83" s="494"/>
    </row>
    <row r="84" spans="1:9" x14ac:dyDescent="0.2">
      <c r="A84" s="564" t="s">
        <v>985</v>
      </c>
      <c r="B84" s="562">
        <f t="shared" si="10"/>
        <v>10</v>
      </c>
      <c r="C84" s="565">
        <v>2</v>
      </c>
      <c r="D84" s="565">
        <v>1</v>
      </c>
      <c r="E84" s="565">
        <v>0</v>
      </c>
      <c r="F84" s="565">
        <v>0</v>
      </c>
      <c r="G84" s="565">
        <v>7</v>
      </c>
      <c r="H84" s="565">
        <v>0</v>
      </c>
      <c r="I84" s="494"/>
    </row>
    <row r="85" spans="1:9" x14ac:dyDescent="0.2">
      <c r="A85" s="564" t="s">
        <v>986</v>
      </c>
      <c r="B85" s="562">
        <f t="shared" si="10"/>
        <v>7</v>
      </c>
      <c r="C85" s="565">
        <v>0</v>
      </c>
      <c r="D85" s="565">
        <v>1</v>
      </c>
      <c r="E85" s="565">
        <v>0</v>
      </c>
      <c r="F85" s="565">
        <v>0</v>
      </c>
      <c r="G85" s="565">
        <v>6</v>
      </c>
      <c r="H85" s="565">
        <v>0</v>
      </c>
      <c r="I85" s="494"/>
    </row>
    <row r="86" spans="1:9" x14ac:dyDescent="0.2">
      <c r="A86" s="540" t="s">
        <v>13</v>
      </c>
      <c r="B86" s="562">
        <f t="shared" si="10"/>
        <v>58</v>
      </c>
      <c r="C86" s="563">
        <f t="shared" ref="C86:H86" si="16">SUM(C87:C93)</f>
        <v>1</v>
      </c>
      <c r="D86" s="563">
        <f t="shared" si="16"/>
        <v>5</v>
      </c>
      <c r="E86" s="563">
        <f t="shared" si="16"/>
        <v>0</v>
      </c>
      <c r="F86" s="563">
        <f t="shared" si="16"/>
        <v>0</v>
      </c>
      <c r="G86" s="563">
        <f t="shared" si="16"/>
        <v>52</v>
      </c>
      <c r="H86" s="563">
        <f t="shared" si="16"/>
        <v>0</v>
      </c>
      <c r="I86" s="494"/>
    </row>
    <row r="87" spans="1:9" x14ac:dyDescent="0.2">
      <c r="A87" s="564" t="s">
        <v>980</v>
      </c>
      <c r="B87" s="562">
        <f t="shared" si="10"/>
        <v>0</v>
      </c>
      <c r="C87" s="565">
        <v>0</v>
      </c>
      <c r="D87" s="565">
        <v>0</v>
      </c>
      <c r="E87" s="565">
        <v>0</v>
      </c>
      <c r="F87" s="565">
        <v>0</v>
      </c>
      <c r="G87" s="565">
        <v>0</v>
      </c>
      <c r="H87" s="565">
        <v>0</v>
      </c>
      <c r="I87" s="494"/>
    </row>
    <row r="88" spans="1:9" x14ac:dyDescent="0.2">
      <c r="A88" s="564" t="s">
        <v>981</v>
      </c>
      <c r="B88" s="562">
        <f t="shared" si="10"/>
        <v>5</v>
      </c>
      <c r="C88" s="565">
        <v>0</v>
      </c>
      <c r="D88" s="565">
        <v>0</v>
      </c>
      <c r="E88" s="565">
        <v>0</v>
      </c>
      <c r="F88" s="565">
        <v>0</v>
      </c>
      <c r="G88" s="565">
        <v>5</v>
      </c>
      <c r="H88" s="565">
        <v>0</v>
      </c>
      <c r="I88" s="494"/>
    </row>
    <row r="89" spans="1:9" x14ac:dyDescent="0.2">
      <c r="A89" s="564" t="s">
        <v>982</v>
      </c>
      <c r="B89" s="562">
        <f t="shared" si="10"/>
        <v>6</v>
      </c>
      <c r="C89" s="565">
        <v>0</v>
      </c>
      <c r="D89" s="565">
        <v>0</v>
      </c>
      <c r="E89" s="565">
        <v>0</v>
      </c>
      <c r="F89" s="565">
        <v>0</v>
      </c>
      <c r="G89" s="565">
        <v>6</v>
      </c>
      <c r="H89" s="565">
        <v>0</v>
      </c>
      <c r="I89" s="494"/>
    </row>
    <row r="90" spans="1:9" x14ac:dyDescent="0.2">
      <c r="A90" s="564" t="s">
        <v>983</v>
      </c>
      <c r="B90" s="562">
        <f t="shared" si="10"/>
        <v>19</v>
      </c>
      <c r="C90" s="565">
        <v>0</v>
      </c>
      <c r="D90" s="565">
        <v>1</v>
      </c>
      <c r="E90" s="565">
        <v>0</v>
      </c>
      <c r="F90" s="565">
        <v>0</v>
      </c>
      <c r="G90" s="565">
        <v>18</v>
      </c>
      <c r="H90" s="565">
        <v>0</v>
      </c>
      <c r="I90" s="494"/>
    </row>
    <row r="91" spans="1:9" x14ac:dyDescent="0.2">
      <c r="A91" s="564" t="s">
        <v>984</v>
      </c>
      <c r="B91" s="562">
        <f t="shared" si="10"/>
        <v>20</v>
      </c>
      <c r="C91" s="565">
        <v>1</v>
      </c>
      <c r="D91" s="565">
        <v>2</v>
      </c>
      <c r="E91" s="565">
        <v>0</v>
      </c>
      <c r="F91" s="565">
        <v>0</v>
      </c>
      <c r="G91" s="565">
        <v>17</v>
      </c>
      <c r="H91" s="565">
        <v>0</v>
      </c>
      <c r="I91" s="494"/>
    </row>
    <row r="92" spans="1:9" x14ac:dyDescent="0.2">
      <c r="A92" s="564" t="s">
        <v>985</v>
      </c>
      <c r="B92" s="562">
        <f t="shared" si="10"/>
        <v>4</v>
      </c>
      <c r="C92" s="565">
        <v>0</v>
      </c>
      <c r="D92" s="565">
        <v>1</v>
      </c>
      <c r="E92" s="565">
        <v>0</v>
      </c>
      <c r="F92" s="565">
        <v>0</v>
      </c>
      <c r="G92" s="565">
        <v>3</v>
      </c>
      <c r="H92" s="565">
        <v>0</v>
      </c>
      <c r="I92" s="494"/>
    </row>
    <row r="93" spans="1:9" x14ac:dyDescent="0.2">
      <c r="A93" s="564" t="s">
        <v>986</v>
      </c>
      <c r="B93" s="562">
        <f t="shared" si="10"/>
        <v>4</v>
      </c>
      <c r="C93" s="565">
        <v>0</v>
      </c>
      <c r="D93" s="565">
        <v>1</v>
      </c>
      <c r="E93" s="565">
        <v>0</v>
      </c>
      <c r="F93" s="565">
        <v>0</v>
      </c>
      <c r="G93" s="565">
        <v>3</v>
      </c>
      <c r="H93" s="565">
        <v>0</v>
      </c>
      <c r="I93" s="494"/>
    </row>
    <row r="94" spans="1:9" x14ac:dyDescent="0.2">
      <c r="A94" s="540" t="s">
        <v>47</v>
      </c>
      <c r="B94" s="562">
        <f t="shared" si="10"/>
        <v>47</v>
      </c>
      <c r="C94" s="563">
        <f t="shared" ref="C94:H94" si="17">SUM(C95:C101)</f>
        <v>4</v>
      </c>
      <c r="D94" s="563">
        <f t="shared" si="17"/>
        <v>4</v>
      </c>
      <c r="E94" s="563">
        <f t="shared" si="17"/>
        <v>0</v>
      </c>
      <c r="F94" s="563">
        <f t="shared" si="17"/>
        <v>0</v>
      </c>
      <c r="G94" s="563">
        <f t="shared" si="17"/>
        <v>39</v>
      </c>
      <c r="H94" s="563">
        <f t="shared" si="17"/>
        <v>0</v>
      </c>
      <c r="I94" s="494"/>
    </row>
    <row r="95" spans="1:9" x14ac:dyDescent="0.2">
      <c r="A95" s="564" t="s">
        <v>980</v>
      </c>
      <c r="B95" s="562">
        <f t="shared" si="10"/>
        <v>0</v>
      </c>
      <c r="C95" s="565">
        <v>0</v>
      </c>
      <c r="D95" s="565">
        <v>0</v>
      </c>
      <c r="E95" s="565">
        <v>0</v>
      </c>
      <c r="F95" s="565">
        <v>0</v>
      </c>
      <c r="G95" s="565">
        <v>0</v>
      </c>
      <c r="H95" s="565">
        <v>0</v>
      </c>
      <c r="I95" s="494"/>
    </row>
    <row r="96" spans="1:9" x14ac:dyDescent="0.2">
      <c r="A96" s="564" t="s">
        <v>981</v>
      </c>
      <c r="B96" s="562">
        <f t="shared" si="10"/>
        <v>1</v>
      </c>
      <c r="C96" s="565">
        <v>0</v>
      </c>
      <c r="D96" s="565">
        <v>0</v>
      </c>
      <c r="E96" s="565">
        <v>0</v>
      </c>
      <c r="F96" s="565">
        <v>0</v>
      </c>
      <c r="G96" s="565">
        <v>1</v>
      </c>
      <c r="H96" s="565">
        <v>0</v>
      </c>
      <c r="I96" s="494"/>
    </row>
    <row r="97" spans="1:9" x14ac:dyDescent="0.2">
      <c r="A97" s="564" t="s">
        <v>982</v>
      </c>
      <c r="B97" s="562">
        <f t="shared" si="10"/>
        <v>4</v>
      </c>
      <c r="C97" s="565">
        <v>0</v>
      </c>
      <c r="D97" s="565">
        <v>0</v>
      </c>
      <c r="E97" s="565">
        <v>0</v>
      </c>
      <c r="F97" s="565">
        <v>0</v>
      </c>
      <c r="G97" s="565">
        <v>4</v>
      </c>
      <c r="H97" s="565">
        <v>0</v>
      </c>
      <c r="I97" s="494"/>
    </row>
    <row r="98" spans="1:9" x14ac:dyDescent="0.2">
      <c r="A98" s="564" t="s">
        <v>983</v>
      </c>
      <c r="B98" s="562">
        <f t="shared" si="10"/>
        <v>23</v>
      </c>
      <c r="C98" s="565">
        <v>2</v>
      </c>
      <c r="D98" s="565">
        <v>1</v>
      </c>
      <c r="E98" s="565">
        <v>0</v>
      </c>
      <c r="F98" s="565">
        <v>0</v>
      </c>
      <c r="G98" s="565">
        <v>20</v>
      </c>
      <c r="H98" s="565">
        <v>0</v>
      </c>
      <c r="I98" s="494"/>
    </row>
    <row r="99" spans="1:9" x14ac:dyDescent="0.2">
      <c r="A99" s="564" t="s">
        <v>984</v>
      </c>
      <c r="B99" s="562">
        <f t="shared" si="10"/>
        <v>12</v>
      </c>
      <c r="C99" s="565">
        <v>2</v>
      </c>
      <c r="D99" s="565">
        <v>3</v>
      </c>
      <c r="E99" s="565">
        <v>0</v>
      </c>
      <c r="F99" s="565">
        <v>0</v>
      </c>
      <c r="G99" s="565">
        <v>7</v>
      </c>
      <c r="H99" s="565">
        <v>0</v>
      </c>
      <c r="I99" s="494"/>
    </row>
    <row r="100" spans="1:9" x14ac:dyDescent="0.2">
      <c r="A100" s="564" t="s">
        <v>985</v>
      </c>
      <c r="B100" s="562">
        <f t="shared" si="10"/>
        <v>2</v>
      </c>
      <c r="C100" s="565">
        <v>0</v>
      </c>
      <c r="D100" s="565">
        <v>0</v>
      </c>
      <c r="E100" s="565">
        <v>0</v>
      </c>
      <c r="F100" s="565">
        <v>0</v>
      </c>
      <c r="G100" s="565">
        <v>2</v>
      </c>
      <c r="H100" s="565">
        <v>0</v>
      </c>
      <c r="I100" s="494"/>
    </row>
    <row r="101" spans="1:9" x14ac:dyDescent="0.2">
      <c r="A101" s="564" t="s">
        <v>986</v>
      </c>
      <c r="B101" s="562">
        <f t="shared" si="10"/>
        <v>5</v>
      </c>
      <c r="C101" s="565">
        <v>0</v>
      </c>
      <c r="D101" s="565">
        <v>0</v>
      </c>
      <c r="E101" s="565">
        <v>0</v>
      </c>
      <c r="F101" s="565">
        <v>0</v>
      </c>
      <c r="G101" s="565">
        <v>5</v>
      </c>
      <c r="H101" s="565">
        <v>0</v>
      </c>
      <c r="I101" s="494"/>
    </row>
    <row r="102" spans="1:9" x14ac:dyDescent="0.2">
      <c r="A102" s="540" t="s">
        <v>135</v>
      </c>
      <c r="B102" s="562">
        <f t="shared" si="10"/>
        <v>35</v>
      </c>
      <c r="C102" s="563">
        <f t="shared" ref="C102:H102" si="18">SUM(C103:C109)</f>
        <v>3</v>
      </c>
      <c r="D102" s="563">
        <f t="shared" si="18"/>
        <v>20</v>
      </c>
      <c r="E102" s="563">
        <f t="shared" si="18"/>
        <v>0</v>
      </c>
      <c r="F102" s="563">
        <f t="shared" si="18"/>
        <v>1</v>
      </c>
      <c r="G102" s="563">
        <f t="shared" si="18"/>
        <v>6</v>
      </c>
      <c r="H102" s="563">
        <f t="shared" si="18"/>
        <v>5</v>
      </c>
      <c r="I102" s="494"/>
    </row>
    <row r="103" spans="1:9" x14ac:dyDescent="0.2">
      <c r="A103" s="564" t="s">
        <v>980</v>
      </c>
      <c r="B103" s="562">
        <f t="shared" ref="B103:B133" si="19">SUM(C103:H103)</f>
        <v>1</v>
      </c>
      <c r="C103" s="565">
        <v>0</v>
      </c>
      <c r="D103" s="565">
        <v>1</v>
      </c>
      <c r="E103" s="565">
        <v>0</v>
      </c>
      <c r="F103" s="565">
        <v>0</v>
      </c>
      <c r="G103" s="565">
        <v>0</v>
      </c>
      <c r="H103" s="565">
        <v>0</v>
      </c>
      <c r="I103" s="494"/>
    </row>
    <row r="104" spans="1:9" x14ac:dyDescent="0.2">
      <c r="A104" s="564" t="s">
        <v>981</v>
      </c>
      <c r="B104" s="562">
        <f t="shared" si="19"/>
        <v>5</v>
      </c>
      <c r="C104" s="565">
        <v>0</v>
      </c>
      <c r="D104" s="565">
        <v>4</v>
      </c>
      <c r="E104" s="565">
        <v>0</v>
      </c>
      <c r="F104" s="565">
        <v>0</v>
      </c>
      <c r="G104" s="565">
        <v>1</v>
      </c>
      <c r="H104" s="565">
        <v>0</v>
      </c>
      <c r="I104" s="494"/>
    </row>
    <row r="105" spans="1:9" x14ac:dyDescent="0.2">
      <c r="A105" s="564" t="s">
        <v>982</v>
      </c>
      <c r="B105" s="562">
        <f t="shared" si="19"/>
        <v>4</v>
      </c>
      <c r="C105" s="565">
        <v>0</v>
      </c>
      <c r="D105" s="565">
        <v>4</v>
      </c>
      <c r="E105" s="565">
        <v>0</v>
      </c>
      <c r="F105" s="565">
        <v>0</v>
      </c>
      <c r="G105" s="565">
        <v>0</v>
      </c>
      <c r="H105" s="565">
        <v>0</v>
      </c>
      <c r="I105" s="494"/>
    </row>
    <row r="106" spans="1:9" x14ac:dyDescent="0.2">
      <c r="A106" s="564" t="s">
        <v>983</v>
      </c>
      <c r="B106" s="562">
        <f t="shared" si="19"/>
        <v>9</v>
      </c>
      <c r="C106" s="565">
        <v>1</v>
      </c>
      <c r="D106" s="565">
        <v>4</v>
      </c>
      <c r="E106" s="565">
        <v>0</v>
      </c>
      <c r="F106" s="565">
        <v>1</v>
      </c>
      <c r="G106" s="565">
        <v>3</v>
      </c>
      <c r="H106" s="565">
        <v>0</v>
      </c>
      <c r="I106" s="494"/>
    </row>
    <row r="107" spans="1:9" x14ac:dyDescent="0.2">
      <c r="A107" s="564" t="s">
        <v>984</v>
      </c>
      <c r="B107" s="562">
        <f t="shared" si="19"/>
        <v>8</v>
      </c>
      <c r="C107" s="565">
        <v>1</v>
      </c>
      <c r="D107" s="565">
        <v>6</v>
      </c>
      <c r="E107" s="565">
        <v>0</v>
      </c>
      <c r="F107" s="565">
        <v>0</v>
      </c>
      <c r="G107" s="565">
        <v>0</v>
      </c>
      <c r="H107" s="565">
        <v>1</v>
      </c>
      <c r="I107" s="494"/>
    </row>
    <row r="108" spans="1:9" x14ac:dyDescent="0.2">
      <c r="A108" s="564" t="s">
        <v>985</v>
      </c>
      <c r="B108" s="562">
        <f t="shared" si="19"/>
        <v>6</v>
      </c>
      <c r="C108" s="565">
        <v>1</v>
      </c>
      <c r="D108" s="565">
        <v>1</v>
      </c>
      <c r="E108" s="565">
        <v>0</v>
      </c>
      <c r="F108" s="565">
        <v>0</v>
      </c>
      <c r="G108" s="565">
        <v>2</v>
      </c>
      <c r="H108" s="565">
        <v>2</v>
      </c>
      <c r="I108" s="494"/>
    </row>
    <row r="109" spans="1:9" x14ac:dyDescent="0.2">
      <c r="A109" s="564" t="s">
        <v>986</v>
      </c>
      <c r="B109" s="562">
        <f t="shared" si="19"/>
        <v>2</v>
      </c>
      <c r="C109" s="565">
        <v>0</v>
      </c>
      <c r="D109" s="565">
        <v>0</v>
      </c>
      <c r="E109" s="565">
        <v>0</v>
      </c>
      <c r="F109" s="565">
        <v>0</v>
      </c>
      <c r="G109" s="565">
        <v>0</v>
      </c>
      <c r="H109" s="565">
        <v>2</v>
      </c>
      <c r="I109" s="494"/>
    </row>
    <row r="110" spans="1:9" x14ac:dyDescent="0.2">
      <c r="A110" s="540" t="s">
        <v>136</v>
      </c>
      <c r="B110" s="562">
        <f t="shared" si="19"/>
        <v>67</v>
      </c>
      <c r="C110" s="563">
        <f t="shared" ref="C110:H110" si="20">SUM(C111:C117)</f>
        <v>10</v>
      </c>
      <c r="D110" s="563">
        <f t="shared" si="20"/>
        <v>19</v>
      </c>
      <c r="E110" s="563">
        <f t="shared" si="20"/>
        <v>0</v>
      </c>
      <c r="F110" s="563">
        <f t="shared" si="20"/>
        <v>0</v>
      </c>
      <c r="G110" s="563">
        <f t="shared" si="20"/>
        <v>38</v>
      </c>
      <c r="H110" s="563">
        <f t="shared" si="20"/>
        <v>0</v>
      </c>
      <c r="I110" s="494"/>
    </row>
    <row r="111" spans="1:9" x14ac:dyDescent="0.2">
      <c r="A111" s="564" t="s">
        <v>980</v>
      </c>
      <c r="B111" s="562">
        <f t="shared" si="19"/>
        <v>0</v>
      </c>
      <c r="C111" s="565">
        <v>0</v>
      </c>
      <c r="D111" s="565">
        <v>0</v>
      </c>
      <c r="E111" s="565">
        <v>0</v>
      </c>
      <c r="F111" s="565">
        <v>0</v>
      </c>
      <c r="G111" s="565">
        <v>0</v>
      </c>
      <c r="H111" s="565">
        <v>0</v>
      </c>
      <c r="I111" s="494"/>
    </row>
    <row r="112" spans="1:9" x14ac:dyDescent="0.2">
      <c r="A112" s="564" t="s">
        <v>981</v>
      </c>
      <c r="B112" s="562">
        <f t="shared" si="19"/>
        <v>6</v>
      </c>
      <c r="C112" s="565">
        <v>0</v>
      </c>
      <c r="D112" s="565">
        <v>3</v>
      </c>
      <c r="E112" s="565">
        <v>0</v>
      </c>
      <c r="F112" s="565">
        <v>0</v>
      </c>
      <c r="G112" s="565">
        <v>3</v>
      </c>
      <c r="H112" s="565">
        <v>0</v>
      </c>
      <c r="I112" s="494"/>
    </row>
    <row r="113" spans="1:9" x14ac:dyDescent="0.2">
      <c r="A113" s="564" t="s">
        <v>982</v>
      </c>
      <c r="B113" s="562">
        <f t="shared" si="19"/>
        <v>6</v>
      </c>
      <c r="C113" s="565">
        <v>2</v>
      </c>
      <c r="D113" s="565">
        <v>1</v>
      </c>
      <c r="E113" s="565">
        <v>0</v>
      </c>
      <c r="F113" s="565">
        <v>0</v>
      </c>
      <c r="G113" s="565">
        <v>3</v>
      </c>
      <c r="H113" s="565">
        <v>0</v>
      </c>
      <c r="I113" s="494"/>
    </row>
    <row r="114" spans="1:9" x14ac:dyDescent="0.2">
      <c r="A114" s="564" t="s">
        <v>983</v>
      </c>
      <c r="B114" s="562">
        <f t="shared" si="19"/>
        <v>24</v>
      </c>
      <c r="C114" s="565">
        <v>3</v>
      </c>
      <c r="D114" s="565">
        <v>7</v>
      </c>
      <c r="E114" s="565">
        <v>0</v>
      </c>
      <c r="F114" s="565">
        <v>0</v>
      </c>
      <c r="G114" s="565">
        <v>14</v>
      </c>
      <c r="H114" s="565">
        <v>0</v>
      </c>
      <c r="I114" s="494"/>
    </row>
    <row r="115" spans="1:9" x14ac:dyDescent="0.2">
      <c r="A115" s="564" t="s">
        <v>984</v>
      </c>
      <c r="B115" s="562">
        <f t="shared" si="19"/>
        <v>24</v>
      </c>
      <c r="C115" s="565">
        <v>4</v>
      </c>
      <c r="D115" s="565">
        <v>6</v>
      </c>
      <c r="E115" s="565">
        <v>0</v>
      </c>
      <c r="F115" s="565">
        <v>0</v>
      </c>
      <c r="G115" s="565">
        <v>14</v>
      </c>
      <c r="H115" s="565">
        <v>0</v>
      </c>
      <c r="I115" s="494"/>
    </row>
    <row r="116" spans="1:9" x14ac:dyDescent="0.2">
      <c r="A116" s="564" t="s">
        <v>985</v>
      </c>
      <c r="B116" s="562">
        <f t="shared" si="19"/>
        <v>6</v>
      </c>
      <c r="C116" s="565">
        <v>1</v>
      </c>
      <c r="D116" s="565">
        <v>1</v>
      </c>
      <c r="E116" s="565">
        <v>0</v>
      </c>
      <c r="F116" s="565">
        <v>0</v>
      </c>
      <c r="G116" s="565">
        <v>4</v>
      </c>
      <c r="H116" s="565">
        <v>0</v>
      </c>
      <c r="I116" s="494"/>
    </row>
    <row r="117" spans="1:9" x14ac:dyDescent="0.2">
      <c r="A117" s="564" t="s">
        <v>986</v>
      </c>
      <c r="B117" s="562">
        <f t="shared" si="19"/>
        <v>1</v>
      </c>
      <c r="C117" s="565">
        <v>0</v>
      </c>
      <c r="D117" s="565">
        <v>1</v>
      </c>
      <c r="E117" s="565">
        <v>0</v>
      </c>
      <c r="F117" s="565">
        <v>0</v>
      </c>
      <c r="G117" s="565">
        <v>0</v>
      </c>
      <c r="H117" s="565">
        <v>0</v>
      </c>
      <c r="I117" s="494"/>
    </row>
    <row r="118" spans="1:9" s="508" customFormat="1" x14ac:dyDescent="0.2">
      <c r="A118" s="540" t="s">
        <v>17</v>
      </c>
      <c r="B118" s="562">
        <f t="shared" si="19"/>
        <v>1</v>
      </c>
      <c r="C118" s="563">
        <f t="shared" ref="C118:H118" si="21">SUM(C119:C125)</f>
        <v>0</v>
      </c>
      <c r="D118" s="563">
        <f t="shared" si="21"/>
        <v>1</v>
      </c>
      <c r="E118" s="563">
        <f t="shared" si="21"/>
        <v>0</v>
      </c>
      <c r="F118" s="563">
        <f t="shared" si="21"/>
        <v>0</v>
      </c>
      <c r="G118" s="563">
        <f t="shared" si="21"/>
        <v>0</v>
      </c>
      <c r="H118" s="563">
        <f t="shared" si="21"/>
        <v>0</v>
      </c>
    </row>
    <row r="119" spans="1:9" x14ac:dyDescent="0.2">
      <c r="A119" s="564" t="s">
        <v>980</v>
      </c>
      <c r="B119" s="562">
        <f t="shared" si="19"/>
        <v>0</v>
      </c>
      <c r="C119" s="565">
        <v>0</v>
      </c>
      <c r="D119" s="565">
        <v>0</v>
      </c>
      <c r="E119" s="565">
        <v>0</v>
      </c>
      <c r="F119" s="565">
        <v>0</v>
      </c>
      <c r="G119" s="565">
        <v>0</v>
      </c>
      <c r="H119" s="565">
        <v>0</v>
      </c>
      <c r="I119" s="494"/>
    </row>
    <row r="120" spans="1:9" x14ac:dyDescent="0.2">
      <c r="A120" s="564" t="s">
        <v>981</v>
      </c>
      <c r="B120" s="562">
        <f t="shared" si="19"/>
        <v>0</v>
      </c>
      <c r="C120" s="565">
        <v>0</v>
      </c>
      <c r="D120" s="565">
        <v>0</v>
      </c>
      <c r="E120" s="565">
        <v>0</v>
      </c>
      <c r="F120" s="565">
        <v>0</v>
      </c>
      <c r="G120" s="565">
        <v>0</v>
      </c>
      <c r="H120" s="565">
        <v>0</v>
      </c>
      <c r="I120" s="494"/>
    </row>
    <row r="121" spans="1:9" x14ac:dyDescent="0.2">
      <c r="A121" s="564" t="s">
        <v>982</v>
      </c>
      <c r="B121" s="562">
        <f t="shared" si="19"/>
        <v>0</v>
      </c>
      <c r="C121" s="565">
        <v>0</v>
      </c>
      <c r="D121" s="565">
        <v>0</v>
      </c>
      <c r="E121" s="565">
        <v>0</v>
      </c>
      <c r="F121" s="565">
        <v>0</v>
      </c>
      <c r="G121" s="565">
        <v>0</v>
      </c>
      <c r="H121" s="565">
        <v>0</v>
      </c>
      <c r="I121" s="494"/>
    </row>
    <row r="122" spans="1:9" x14ac:dyDescent="0.2">
      <c r="A122" s="564" t="s">
        <v>983</v>
      </c>
      <c r="B122" s="562">
        <f t="shared" si="19"/>
        <v>0</v>
      </c>
      <c r="C122" s="565">
        <v>0</v>
      </c>
      <c r="D122" s="565">
        <v>0</v>
      </c>
      <c r="E122" s="565">
        <v>0</v>
      </c>
      <c r="F122" s="565">
        <v>0</v>
      </c>
      <c r="G122" s="565">
        <v>0</v>
      </c>
      <c r="H122" s="565">
        <v>0</v>
      </c>
      <c r="I122" s="494"/>
    </row>
    <row r="123" spans="1:9" x14ac:dyDescent="0.2">
      <c r="A123" s="564" t="s">
        <v>984</v>
      </c>
      <c r="B123" s="562">
        <f t="shared" si="19"/>
        <v>0</v>
      </c>
      <c r="C123" s="565">
        <v>0</v>
      </c>
      <c r="D123" s="565">
        <v>0</v>
      </c>
      <c r="E123" s="565">
        <v>0</v>
      </c>
      <c r="F123" s="565">
        <v>0</v>
      </c>
      <c r="G123" s="565">
        <v>0</v>
      </c>
      <c r="H123" s="565">
        <v>0</v>
      </c>
      <c r="I123" s="494"/>
    </row>
    <row r="124" spans="1:9" x14ac:dyDescent="0.2">
      <c r="A124" s="564" t="s">
        <v>985</v>
      </c>
      <c r="B124" s="562">
        <f t="shared" si="19"/>
        <v>1</v>
      </c>
      <c r="C124" s="565">
        <v>0</v>
      </c>
      <c r="D124" s="565">
        <v>1</v>
      </c>
      <c r="E124" s="565">
        <v>0</v>
      </c>
      <c r="F124" s="565">
        <v>0</v>
      </c>
      <c r="G124" s="565">
        <v>0</v>
      </c>
      <c r="H124" s="565">
        <v>0</v>
      </c>
      <c r="I124" s="494"/>
    </row>
    <row r="125" spans="1:9" x14ac:dyDescent="0.2">
      <c r="A125" s="564" t="s">
        <v>986</v>
      </c>
      <c r="B125" s="562">
        <f t="shared" si="19"/>
        <v>0</v>
      </c>
      <c r="C125" s="565">
        <v>0</v>
      </c>
      <c r="D125" s="565">
        <v>0</v>
      </c>
      <c r="E125" s="565">
        <v>0</v>
      </c>
      <c r="F125" s="565">
        <v>0</v>
      </c>
      <c r="G125" s="565">
        <v>0</v>
      </c>
      <c r="H125" s="565">
        <v>0</v>
      </c>
      <c r="I125" s="494"/>
    </row>
    <row r="126" spans="1:9" x14ac:dyDescent="0.2">
      <c r="A126" s="531" t="s">
        <v>18</v>
      </c>
      <c r="B126" s="566">
        <f t="shared" si="19"/>
        <v>10</v>
      </c>
      <c r="C126" s="563">
        <f t="shared" ref="C126:H126" si="22">SUM(C127:C133)</f>
        <v>4</v>
      </c>
      <c r="D126" s="563">
        <f t="shared" si="22"/>
        <v>1</v>
      </c>
      <c r="E126" s="563">
        <f t="shared" si="22"/>
        <v>0</v>
      </c>
      <c r="F126" s="563">
        <f t="shared" si="22"/>
        <v>0</v>
      </c>
      <c r="G126" s="563">
        <f t="shared" si="22"/>
        <v>5</v>
      </c>
      <c r="H126" s="563">
        <f t="shared" si="22"/>
        <v>0</v>
      </c>
      <c r="I126" s="494"/>
    </row>
    <row r="127" spans="1:9" x14ac:dyDescent="0.2">
      <c r="A127" s="564" t="s">
        <v>980</v>
      </c>
      <c r="B127" s="562">
        <f t="shared" si="19"/>
        <v>0</v>
      </c>
      <c r="C127" s="565">
        <v>0</v>
      </c>
      <c r="D127" s="565">
        <v>0</v>
      </c>
      <c r="E127" s="565">
        <v>0</v>
      </c>
      <c r="F127" s="565">
        <v>0</v>
      </c>
      <c r="G127" s="565">
        <v>0</v>
      </c>
      <c r="H127" s="565">
        <v>0</v>
      </c>
      <c r="I127" s="494"/>
    </row>
    <row r="128" spans="1:9" x14ac:dyDescent="0.2">
      <c r="A128" s="564" t="s">
        <v>981</v>
      </c>
      <c r="B128" s="562">
        <f t="shared" si="19"/>
        <v>0</v>
      </c>
      <c r="C128" s="565">
        <v>0</v>
      </c>
      <c r="D128" s="565">
        <v>0</v>
      </c>
      <c r="E128" s="565">
        <v>0</v>
      </c>
      <c r="F128" s="565">
        <v>0</v>
      </c>
      <c r="G128" s="565">
        <v>0</v>
      </c>
      <c r="H128" s="565">
        <v>0</v>
      </c>
      <c r="I128" s="494"/>
    </row>
    <row r="129" spans="1:9" x14ac:dyDescent="0.2">
      <c r="A129" s="564" t="s">
        <v>982</v>
      </c>
      <c r="B129" s="562">
        <f t="shared" si="19"/>
        <v>0</v>
      </c>
      <c r="C129" s="565">
        <v>0</v>
      </c>
      <c r="D129" s="565">
        <v>0</v>
      </c>
      <c r="E129" s="565">
        <v>0</v>
      </c>
      <c r="F129" s="565">
        <v>0</v>
      </c>
      <c r="G129" s="565">
        <v>0</v>
      </c>
      <c r="H129" s="565">
        <v>0</v>
      </c>
      <c r="I129" s="494"/>
    </row>
    <row r="130" spans="1:9" x14ac:dyDescent="0.2">
      <c r="A130" s="564" t="s">
        <v>983</v>
      </c>
      <c r="B130" s="562">
        <f t="shared" si="19"/>
        <v>6</v>
      </c>
      <c r="C130" s="565">
        <v>3</v>
      </c>
      <c r="D130" s="565">
        <v>0</v>
      </c>
      <c r="E130" s="565">
        <v>0</v>
      </c>
      <c r="F130" s="565">
        <v>0</v>
      </c>
      <c r="G130" s="565">
        <v>3</v>
      </c>
      <c r="H130" s="565">
        <v>0</v>
      </c>
      <c r="I130" s="494"/>
    </row>
    <row r="131" spans="1:9" x14ac:dyDescent="0.2">
      <c r="A131" s="564" t="s">
        <v>984</v>
      </c>
      <c r="B131" s="562">
        <f t="shared" si="19"/>
        <v>2</v>
      </c>
      <c r="C131" s="565">
        <v>0</v>
      </c>
      <c r="D131" s="565">
        <v>0</v>
      </c>
      <c r="E131" s="565">
        <v>0</v>
      </c>
      <c r="F131" s="565">
        <v>0</v>
      </c>
      <c r="G131" s="565">
        <v>2</v>
      </c>
      <c r="H131" s="565">
        <v>0</v>
      </c>
      <c r="I131" s="494"/>
    </row>
    <row r="132" spans="1:9" x14ac:dyDescent="0.2">
      <c r="A132" s="564" t="s">
        <v>985</v>
      </c>
      <c r="B132" s="562">
        <f t="shared" si="19"/>
        <v>0</v>
      </c>
      <c r="C132" s="565">
        <v>0</v>
      </c>
      <c r="D132" s="565">
        <v>0</v>
      </c>
      <c r="E132" s="565">
        <v>0</v>
      </c>
      <c r="F132" s="565">
        <v>0</v>
      </c>
      <c r="G132" s="565">
        <v>0</v>
      </c>
      <c r="H132" s="565">
        <v>0</v>
      </c>
      <c r="I132" s="494"/>
    </row>
    <row r="133" spans="1:9" x14ac:dyDescent="0.2">
      <c r="A133" s="564" t="s">
        <v>986</v>
      </c>
      <c r="B133" s="562">
        <f t="shared" si="19"/>
        <v>2</v>
      </c>
      <c r="C133" s="565">
        <v>1</v>
      </c>
      <c r="D133" s="565">
        <v>1</v>
      </c>
      <c r="E133" s="565">
        <v>0</v>
      </c>
      <c r="F133" s="565">
        <v>0</v>
      </c>
      <c r="G133" s="565">
        <v>0</v>
      </c>
      <c r="H133" s="565">
        <v>0</v>
      </c>
      <c r="I133" s="494"/>
    </row>
    <row r="134" spans="1:9" x14ac:dyDescent="0.2">
      <c r="A134" s="564"/>
      <c r="B134" s="567"/>
      <c r="C134" s="568"/>
      <c r="D134" s="568"/>
      <c r="E134" s="568"/>
      <c r="F134" s="568"/>
      <c r="G134" s="568"/>
      <c r="H134" s="568"/>
    </row>
    <row r="135" spans="1:9" x14ac:dyDescent="0.2">
      <c r="A135" s="569" t="s">
        <v>19</v>
      </c>
      <c r="B135" s="569"/>
      <c r="C135" s="569"/>
      <c r="D135" s="569"/>
      <c r="E135" s="569"/>
      <c r="F135" s="569"/>
      <c r="G135" s="569"/>
      <c r="H135" s="569"/>
    </row>
    <row r="136" spans="1:9" x14ac:dyDescent="0.2">
      <c r="A136" s="384" t="s">
        <v>936</v>
      </c>
      <c r="B136" s="384"/>
      <c r="C136" s="384"/>
      <c r="D136" s="384"/>
      <c r="E136" s="384"/>
      <c r="F136" s="384"/>
      <c r="G136" s="384"/>
      <c r="H136" s="384"/>
    </row>
    <row r="137" spans="1:9" x14ac:dyDescent="0.2">
      <c r="B137" s="567"/>
      <c r="C137" s="570"/>
      <c r="D137" s="570"/>
      <c r="E137" s="570"/>
      <c r="F137" s="570"/>
      <c r="G137" s="570"/>
      <c r="H137" s="570"/>
    </row>
    <row r="138" spans="1:9" x14ac:dyDescent="0.2">
      <c r="B138" s="567"/>
      <c r="C138" s="570"/>
      <c r="D138" s="570"/>
      <c r="E138" s="570"/>
      <c r="F138" s="570"/>
      <c r="G138" s="570"/>
      <c r="H138" s="570"/>
    </row>
    <row r="139" spans="1:9" x14ac:dyDescent="0.2">
      <c r="B139" s="567"/>
      <c r="C139" s="570"/>
      <c r="D139" s="570"/>
      <c r="E139" s="570"/>
      <c r="F139" s="570"/>
      <c r="G139" s="570"/>
      <c r="H139" s="570"/>
    </row>
    <row r="140" spans="1:9" x14ac:dyDescent="0.2">
      <c r="B140" s="567"/>
      <c r="C140" s="570"/>
      <c r="D140" s="570"/>
      <c r="E140" s="570"/>
      <c r="F140" s="570"/>
      <c r="G140" s="570"/>
      <c r="H140" s="570"/>
    </row>
    <row r="141" spans="1:9" x14ac:dyDescent="0.2">
      <c r="B141" s="567"/>
      <c r="C141" s="570"/>
      <c r="D141" s="570"/>
      <c r="E141" s="570"/>
      <c r="F141" s="570"/>
      <c r="G141" s="570"/>
      <c r="H141" s="570"/>
    </row>
    <row r="142" spans="1:9" x14ac:dyDescent="0.2">
      <c r="B142" s="567"/>
      <c r="C142" s="570"/>
      <c r="D142" s="570"/>
      <c r="E142" s="570"/>
      <c r="F142" s="570"/>
      <c r="G142" s="570"/>
      <c r="H142" s="570"/>
    </row>
    <row r="143" spans="1:9" x14ac:dyDescent="0.2">
      <c r="B143" s="567"/>
      <c r="C143" s="570"/>
      <c r="D143" s="570"/>
      <c r="E143" s="570"/>
      <c r="F143" s="570"/>
      <c r="G143" s="570"/>
      <c r="H143" s="570"/>
    </row>
    <row r="144" spans="1:9" x14ac:dyDescent="0.2">
      <c r="B144" s="567"/>
      <c r="C144" s="570"/>
      <c r="D144" s="570"/>
      <c r="E144" s="570"/>
      <c r="F144" s="570"/>
      <c r="G144" s="570"/>
      <c r="H144" s="570"/>
    </row>
    <row r="145" spans="1:9" x14ac:dyDescent="0.2">
      <c r="B145" s="567"/>
      <c r="C145" s="570"/>
      <c r="D145" s="570"/>
      <c r="E145" s="570"/>
      <c r="F145" s="570"/>
      <c r="G145" s="570"/>
      <c r="H145" s="570"/>
    </row>
    <row r="146" spans="1:9" x14ac:dyDescent="0.2">
      <c r="A146" s="494"/>
      <c r="B146" s="567"/>
      <c r="C146" s="570"/>
      <c r="D146" s="570"/>
      <c r="E146" s="570"/>
      <c r="F146" s="570"/>
      <c r="G146" s="570"/>
      <c r="H146" s="570"/>
      <c r="I146" s="494"/>
    </row>
    <row r="147" spans="1:9" x14ac:dyDescent="0.2">
      <c r="A147" s="494"/>
      <c r="B147" s="567"/>
      <c r="C147" s="570"/>
      <c r="D147" s="570"/>
      <c r="E147" s="570"/>
      <c r="F147" s="570"/>
      <c r="G147" s="570"/>
      <c r="H147" s="570"/>
      <c r="I147" s="494"/>
    </row>
    <row r="148" spans="1:9" x14ac:dyDescent="0.2">
      <c r="A148" s="494"/>
      <c r="B148" s="567"/>
      <c r="C148" s="570"/>
      <c r="D148" s="570"/>
      <c r="E148" s="570"/>
      <c r="F148" s="570"/>
      <c r="G148" s="570"/>
      <c r="H148" s="570"/>
      <c r="I148" s="494"/>
    </row>
    <row r="149" spans="1:9" x14ac:dyDescent="0.2">
      <c r="A149" s="494"/>
      <c r="B149" s="567"/>
      <c r="C149" s="570"/>
      <c r="D149" s="570"/>
      <c r="E149" s="570"/>
      <c r="F149" s="570"/>
      <c r="G149" s="570"/>
      <c r="H149" s="570"/>
      <c r="I149" s="494"/>
    </row>
    <row r="150" spans="1:9" x14ac:dyDescent="0.2">
      <c r="A150" s="494"/>
      <c r="B150" s="567"/>
      <c r="C150" s="570"/>
      <c r="D150" s="570"/>
      <c r="E150" s="570"/>
      <c r="F150" s="570"/>
      <c r="G150" s="570"/>
      <c r="H150" s="570"/>
      <c r="I150" s="494"/>
    </row>
    <row r="151" spans="1:9" x14ac:dyDescent="0.2">
      <c r="A151" s="494"/>
      <c r="B151" s="567"/>
      <c r="C151" s="570"/>
      <c r="D151" s="570"/>
      <c r="E151" s="570"/>
      <c r="F151" s="570"/>
      <c r="G151" s="570"/>
      <c r="H151" s="570"/>
      <c r="I151" s="494"/>
    </row>
    <row r="152" spans="1:9" x14ac:dyDescent="0.2">
      <c r="A152" s="494"/>
      <c r="B152" s="567"/>
      <c r="C152" s="570"/>
      <c r="D152" s="570"/>
      <c r="E152" s="570"/>
      <c r="F152" s="570"/>
      <c r="G152" s="570"/>
      <c r="H152" s="570"/>
      <c r="I152" s="494"/>
    </row>
    <row r="153" spans="1:9" x14ac:dyDescent="0.2">
      <c r="A153" s="494"/>
      <c r="B153" s="567"/>
      <c r="C153" s="570"/>
      <c r="D153" s="570"/>
      <c r="E153" s="570"/>
      <c r="F153" s="570"/>
      <c r="G153" s="570"/>
      <c r="H153" s="570"/>
      <c r="I153" s="494"/>
    </row>
    <row r="154" spans="1:9" x14ac:dyDescent="0.2">
      <c r="A154" s="494"/>
      <c r="B154" s="567"/>
      <c r="C154" s="570"/>
      <c r="D154" s="570"/>
      <c r="E154" s="570"/>
      <c r="F154" s="570"/>
      <c r="G154" s="570"/>
      <c r="H154" s="570"/>
      <c r="I154" s="494"/>
    </row>
  </sheetData>
  <mergeCells count="6">
    <mergeCell ref="A2:H2"/>
    <mergeCell ref="A4:A5"/>
    <mergeCell ref="B4:B5"/>
    <mergeCell ref="C4:H4"/>
    <mergeCell ref="A135:H135"/>
    <mergeCell ref="A136:H136"/>
  </mergeCells>
  <pageMargins left="0.70866141732283472" right="0.70866141732283472" top="0.74803149606299213" bottom="0.74803149606299213" header="0.31496062992125984" footer="0.31496062992125984"/>
  <pageSetup paperSize="14" scale="75"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AE697-3F12-4318-982E-A00EDEC38C1A}">
  <sheetPr codeName="Hoja55"/>
  <dimension ref="A2:L38"/>
  <sheetViews>
    <sheetView showGridLines="0" zoomScaleNormal="100" workbookViewId="0">
      <selection activeCell="B31" sqref="B31"/>
    </sheetView>
  </sheetViews>
  <sheetFormatPr baseColWidth="10" defaultColWidth="11.44140625" defaultRowHeight="14.4" x14ac:dyDescent="0.3"/>
  <cols>
    <col min="1" max="1" width="57" style="584" customWidth="1"/>
    <col min="2" max="2" width="10.109375" style="583" bestFit="1" customWidth="1"/>
    <col min="3" max="6" width="9.6640625" style="583" customWidth="1"/>
    <col min="7" max="7" width="15.33203125" style="583" customWidth="1"/>
    <col min="8" max="8" width="12.6640625" style="583" customWidth="1"/>
    <col min="9" max="9" width="9.6640625" style="583" customWidth="1"/>
    <col min="10" max="10" width="12.33203125" style="583" customWidth="1"/>
    <col min="11" max="11" width="9.6640625" style="583" customWidth="1"/>
    <col min="12" max="16384" width="11.44140625" style="583"/>
  </cols>
  <sheetData>
    <row r="2" spans="1:12" s="571" customFormat="1" ht="13.5" customHeight="1" x14ac:dyDescent="0.2">
      <c r="A2" s="63" t="s">
        <v>817</v>
      </c>
    </row>
    <row r="3" spans="1:12" s="571" customFormat="1" ht="10.199999999999999" x14ac:dyDescent="0.2">
      <c r="B3" s="62"/>
      <c r="C3" s="62"/>
      <c r="D3" s="62"/>
      <c r="E3" s="62"/>
      <c r="F3" s="62"/>
      <c r="G3" s="62"/>
      <c r="H3" s="62"/>
      <c r="I3" s="62"/>
      <c r="J3" s="62"/>
    </row>
    <row r="4" spans="1:12" s="62" customFormat="1" ht="12.75" customHeight="1" x14ac:dyDescent="0.2">
      <c r="A4" s="229" t="s">
        <v>987</v>
      </c>
      <c r="B4" s="96" t="s">
        <v>42</v>
      </c>
      <c r="C4" s="572" t="s">
        <v>988</v>
      </c>
      <c r="D4" s="572"/>
      <c r="E4" s="572"/>
      <c r="F4" s="572"/>
      <c r="G4" s="572"/>
      <c r="H4" s="572"/>
      <c r="I4" s="572"/>
      <c r="J4" s="572"/>
      <c r="K4" s="572"/>
    </row>
    <row r="5" spans="1:12" s="62" customFormat="1" ht="20.399999999999999" x14ac:dyDescent="0.2">
      <c r="A5" s="230"/>
      <c r="B5" s="96"/>
      <c r="C5" s="170" t="s">
        <v>945</v>
      </c>
      <c r="D5" s="170" t="s">
        <v>989</v>
      </c>
      <c r="E5" s="170" t="s">
        <v>990</v>
      </c>
      <c r="F5" s="170" t="s">
        <v>991</v>
      </c>
      <c r="G5" s="170" t="s">
        <v>992</v>
      </c>
      <c r="H5" s="170" t="s">
        <v>993</v>
      </c>
      <c r="I5" s="170" t="s">
        <v>994</v>
      </c>
      <c r="J5" s="170" t="s">
        <v>995</v>
      </c>
      <c r="K5" s="170" t="s">
        <v>996</v>
      </c>
      <c r="L5" s="70"/>
    </row>
    <row r="6" spans="1:12" s="575" customFormat="1" ht="13.5" customHeight="1" x14ac:dyDescent="0.2">
      <c r="A6" s="63" t="s">
        <v>3</v>
      </c>
      <c r="B6" s="573">
        <f>SUM(C6:K6)</f>
        <v>533504</v>
      </c>
      <c r="C6" s="573">
        <f t="shared" ref="C6:K6" si="0">SUM(C7:C33)</f>
        <v>3018</v>
      </c>
      <c r="D6" s="573">
        <f t="shared" si="0"/>
        <v>8375</v>
      </c>
      <c r="E6" s="573">
        <f t="shared" si="0"/>
        <v>26098</v>
      </c>
      <c r="F6" s="573">
        <f t="shared" si="0"/>
        <v>5</v>
      </c>
      <c r="G6" s="573">
        <f t="shared" si="0"/>
        <v>5</v>
      </c>
      <c r="H6" s="573">
        <f t="shared" si="0"/>
        <v>2</v>
      </c>
      <c r="I6" s="573">
        <f t="shared" si="0"/>
        <v>7</v>
      </c>
      <c r="J6" s="573">
        <f t="shared" si="0"/>
        <v>7327</v>
      </c>
      <c r="K6" s="573">
        <f t="shared" si="0"/>
        <v>488667</v>
      </c>
      <c r="L6" s="574"/>
    </row>
    <row r="7" spans="1:12" s="571" customFormat="1" ht="13.5" customHeight="1" x14ac:dyDescent="0.2">
      <c r="A7" s="73" t="s">
        <v>997</v>
      </c>
      <c r="B7" s="503">
        <f t="shared" ref="B7:B33" si="1">SUM(C7:K7)</f>
        <v>0</v>
      </c>
      <c r="C7" s="576">
        <v>0</v>
      </c>
      <c r="D7" s="576">
        <v>0</v>
      </c>
      <c r="E7" s="576">
        <v>0</v>
      </c>
      <c r="F7" s="576">
        <v>0</v>
      </c>
      <c r="G7" s="576">
        <v>0</v>
      </c>
      <c r="H7" s="576">
        <v>0</v>
      </c>
      <c r="I7" s="576">
        <v>0</v>
      </c>
      <c r="J7" s="576">
        <v>0</v>
      </c>
      <c r="K7" s="577">
        <v>0</v>
      </c>
    </row>
    <row r="8" spans="1:12" s="571" customFormat="1" ht="13.5" customHeight="1" x14ac:dyDescent="0.2">
      <c r="A8" s="73" t="s">
        <v>998</v>
      </c>
      <c r="B8" s="503">
        <f t="shared" si="1"/>
        <v>0</v>
      </c>
      <c r="C8" s="576">
        <v>0</v>
      </c>
      <c r="D8" s="576">
        <v>0</v>
      </c>
      <c r="E8" s="576">
        <v>0</v>
      </c>
      <c r="F8" s="576">
        <v>0</v>
      </c>
      <c r="G8" s="576">
        <v>0</v>
      </c>
      <c r="H8" s="576">
        <v>0</v>
      </c>
      <c r="I8" s="576">
        <v>0</v>
      </c>
      <c r="J8" s="576">
        <v>0</v>
      </c>
      <c r="K8" s="577">
        <v>0</v>
      </c>
    </row>
    <row r="9" spans="1:12" s="571" customFormat="1" ht="13.5" customHeight="1" x14ac:dyDescent="0.2">
      <c r="A9" s="73" t="s">
        <v>999</v>
      </c>
      <c r="B9" s="503">
        <f t="shared" si="1"/>
        <v>0</v>
      </c>
      <c r="C9" s="576">
        <v>0</v>
      </c>
      <c r="D9" s="576">
        <v>0</v>
      </c>
      <c r="E9" s="576">
        <v>0</v>
      </c>
      <c r="F9" s="576">
        <v>0</v>
      </c>
      <c r="G9" s="576">
        <v>0</v>
      </c>
      <c r="H9" s="576">
        <v>0</v>
      </c>
      <c r="I9" s="576">
        <v>0</v>
      </c>
      <c r="J9" s="576">
        <v>0</v>
      </c>
      <c r="K9" s="577">
        <v>0</v>
      </c>
    </row>
    <row r="10" spans="1:12" s="571" customFormat="1" ht="13.5" customHeight="1" x14ac:dyDescent="0.2">
      <c r="A10" s="73" t="s">
        <v>1000</v>
      </c>
      <c r="B10" s="503">
        <f t="shared" si="1"/>
        <v>0</v>
      </c>
      <c r="C10" s="576">
        <v>0</v>
      </c>
      <c r="D10" s="576">
        <v>0</v>
      </c>
      <c r="E10" s="576">
        <v>0</v>
      </c>
      <c r="F10" s="576">
        <v>0</v>
      </c>
      <c r="G10" s="576">
        <v>0</v>
      </c>
      <c r="H10" s="576">
        <v>0</v>
      </c>
      <c r="I10" s="576">
        <v>0</v>
      </c>
      <c r="J10" s="576">
        <v>0</v>
      </c>
      <c r="K10" s="577">
        <v>0</v>
      </c>
    </row>
    <row r="11" spans="1:12" s="571" customFormat="1" ht="13.5" customHeight="1" x14ac:dyDescent="0.2">
      <c r="A11" s="73" t="s">
        <v>1001</v>
      </c>
      <c r="B11" s="503">
        <f>SUM(C11:K11)</f>
        <v>9039</v>
      </c>
      <c r="C11" s="576">
        <v>1488</v>
      </c>
      <c r="D11" s="576">
        <v>663</v>
      </c>
      <c r="E11" s="576">
        <v>6539</v>
      </c>
      <c r="F11" s="576">
        <v>0</v>
      </c>
      <c r="G11" s="576">
        <v>0</v>
      </c>
      <c r="H11" s="576">
        <v>0</v>
      </c>
      <c r="I11" s="576">
        <v>0</v>
      </c>
      <c r="J11" s="576">
        <v>0</v>
      </c>
      <c r="K11" s="577">
        <v>349</v>
      </c>
    </row>
    <row r="12" spans="1:12" s="571" customFormat="1" ht="13.5" customHeight="1" x14ac:dyDescent="0.2">
      <c r="A12" s="73" t="s">
        <v>1002</v>
      </c>
      <c r="B12" s="503">
        <f>SUM(C12:K12)</f>
        <v>300</v>
      </c>
      <c r="C12" s="576">
        <v>0</v>
      </c>
      <c r="D12" s="576">
        <v>0</v>
      </c>
      <c r="E12" s="576">
        <v>0</v>
      </c>
      <c r="F12" s="576">
        <v>0</v>
      </c>
      <c r="G12" s="576">
        <v>0</v>
      </c>
      <c r="H12" s="576">
        <v>0</v>
      </c>
      <c r="I12" s="576">
        <v>0</v>
      </c>
      <c r="J12" s="576">
        <v>0</v>
      </c>
      <c r="K12" s="577">
        <v>300</v>
      </c>
    </row>
    <row r="13" spans="1:12" s="571" customFormat="1" ht="13.5" customHeight="1" x14ac:dyDescent="0.2">
      <c r="A13" s="73" t="s">
        <v>1003</v>
      </c>
      <c r="B13" s="503">
        <f t="shared" si="1"/>
        <v>0</v>
      </c>
      <c r="C13" s="576">
        <v>0</v>
      </c>
      <c r="D13" s="576">
        <v>0</v>
      </c>
      <c r="E13" s="576">
        <v>0</v>
      </c>
      <c r="F13" s="576">
        <v>0</v>
      </c>
      <c r="G13" s="576">
        <v>0</v>
      </c>
      <c r="H13" s="576">
        <v>0</v>
      </c>
      <c r="I13" s="576">
        <v>0</v>
      </c>
      <c r="J13" s="576">
        <v>0</v>
      </c>
      <c r="K13" s="577">
        <v>0</v>
      </c>
    </row>
    <row r="14" spans="1:12" s="571" customFormat="1" ht="13.5" customHeight="1" x14ac:dyDescent="0.2">
      <c r="A14" s="73" t="s">
        <v>1004</v>
      </c>
      <c r="B14" s="503">
        <f>SUM(C14:K14)</f>
        <v>254</v>
      </c>
      <c r="C14" s="576">
        <v>54</v>
      </c>
      <c r="D14" s="576">
        <v>0</v>
      </c>
      <c r="E14" s="576">
        <v>0</v>
      </c>
      <c r="F14" s="576">
        <v>0</v>
      </c>
      <c r="G14" s="576">
        <v>0</v>
      </c>
      <c r="H14" s="576">
        <v>0</v>
      </c>
      <c r="I14" s="576">
        <v>0</v>
      </c>
      <c r="J14" s="576">
        <v>0</v>
      </c>
      <c r="K14" s="577">
        <v>200</v>
      </c>
    </row>
    <row r="15" spans="1:12" s="571" customFormat="1" ht="13.5" customHeight="1" x14ac:dyDescent="0.2">
      <c r="A15" s="73" t="s">
        <v>1005</v>
      </c>
      <c r="B15" s="503">
        <f t="shared" si="1"/>
        <v>0</v>
      </c>
      <c r="C15" s="576">
        <v>0</v>
      </c>
      <c r="D15" s="576">
        <v>0</v>
      </c>
      <c r="E15" s="576">
        <v>0</v>
      </c>
      <c r="F15" s="576">
        <v>0</v>
      </c>
      <c r="G15" s="576">
        <v>0</v>
      </c>
      <c r="H15" s="576">
        <v>0</v>
      </c>
      <c r="I15" s="576">
        <v>0</v>
      </c>
      <c r="J15" s="576">
        <v>0</v>
      </c>
      <c r="K15" s="577">
        <v>0</v>
      </c>
    </row>
    <row r="16" spans="1:12" s="571" customFormat="1" ht="13.5" customHeight="1" x14ac:dyDescent="0.2">
      <c r="A16" s="73" t="s">
        <v>1006</v>
      </c>
      <c r="B16" s="503">
        <f>SUM(C16:K16)</f>
        <v>2428</v>
      </c>
      <c r="C16" s="576">
        <v>0</v>
      </c>
      <c r="D16" s="576">
        <v>0</v>
      </c>
      <c r="E16" s="578">
        <v>2428</v>
      </c>
      <c r="F16" s="576">
        <v>0</v>
      </c>
      <c r="G16" s="576">
        <v>0</v>
      </c>
      <c r="H16" s="576">
        <v>0</v>
      </c>
      <c r="I16" s="576">
        <v>0</v>
      </c>
      <c r="J16" s="576">
        <v>0</v>
      </c>
      <c r="K16" s="577">
        <v>0</v>
      </c>
    </row>
    <row r="17" spans="1:11" s="571" customFormat="1" ht="13.5" customHeight="1" x14ac:dyDescent="0.2">
      <c r="A17" s="73" t="s">
        <v>1007</v>
      </c>
      <c r="B17" s="503">
        <f t="shared" si="1"/>
        <v>0</v>
      </c>
      <c r="C17" s="576">
        <v>0</v>
      </c>
      <c r="D17" s="576">
        <v>0</v>
      </c>
      <c r="E17" s="576">
        <v>0</v>
      </c>
      <c r="F17" s="576">
        <v>0</v>
      </c>
      <c r="G17" s="576">
        <v>0</v>
      </c>
      <c r="H17" s="576">
        <v>0</v>
      </c>
      <c r="I17" s="576">
        <v>0</v>
      </c>
      <c r="J17" s="576">
        <v>0</v>
      </c>
      <c r="K17" s="576">
        <v>0</v>
      </c>
    </row>
    <row r="18" spans="1:11" s="571" customFormat="1" ht="13.5" customHeight="1" x14ac:dyDescent="0.2">
      <c r="A18" s="73" t="s">
        <v>1008</v>
      </c>
      <c r="B18" s="503">
        <f t="shared" si="1"/>
        <v>212</v>
      </c>
      <c r="C18" s="576">
        <v>0</v>
      </c>
      <c r="D18" s="579">
        <v>38</v>
      </c>
      <c r="E18" s="579">
        <f>100+74</f>
        <v>174</v>
      </c>
      <c r="F18" s="576">
        <v>0</v>
      </c>
      <c r="G18" s="576">
        <v>0</v>
      </c>
      <c r="H18" s="576">
        <v>0</v>
      </c>
      <c r="I18" s="576">
        <v>0</v>
      </c>
      <c r="J18" s="576">
        <v>0</v>
      </c>
      <c r="K18" s="577">
        <v>0</v>
      </c>
    </row>
    <row r="19" spans="1:11" s="571" customFormat="1" ht="13.5" customHeight="1" x14ac:dyDescent="0.2">
      <c r="A19" s="73" t="s">
        <v>1009</v>
      </c>
      <c r="B19" s="503">
        <f t="shared" si="1"/>
        <v>1594</v>
      </c>
      <c r="C19" s="576">
        <v>0</v>
      </c>
      <c r="D19" s="576">
        <v>1594</v>
      </c>
      <c r="E19" s="576"/>
      <c r="F19" s="576">
        <v>0</v>
      </c>
      <c r="G19" s="576">
        <v>0</v>
      </c>
      <c r="H19" s="576">
        <v>0</v>
      </c>
      <c r="I19" s="576">
        <v>0</v>
      </c>
      <c r="J19" s="576">
        <v>0</v>
      </c>
      <c r="K19" s="577">
        <v>0</v>
      </c>
    </row>
    <row r="20" spans="1:11" s="571" customFormat="1" ht="13.5" customHeight="1" x14ac:dyDescent="0.2">
      <c r="A20" s="73" t="s">
        <v>1010</v>
      </c>
      <c r="B20" s="503">
        <f t="shared" si="1"/>
        <v>1810</v>
      </c>
      <c r="C20" s="576">
        <v>205</v>
      </c>
      <c r="D20" s="576">
        <v>334</v>
      </c>
      <c r="E20" s="576">
        <v>1149</v>
      </c>
      <c r="F20" s="576">
        <v>0</v>
      </c>
      <c r="G20" s="576">
        <v>0</v>
      </c>
      <c r="H20" s="576">
        <v>0</v>
      </c>
      <c r="I20" s="576">
        <v>0</v>
      </c>
      <c r="J20" s="576">
        <v>70</v>
      </c>
      <c r="K20" s="577">
        <v>52</v>
      </c>
    </row>
    <row r="21" spans="1:11" s="571" customFormat="1" ht="13.5" customHeight="1" x14ac:dyDescent="0.2">
      <c r="A21" s="73" t="s">
        <v>1011</v>
      </c>
      <c r="B21" s="503">
        <f t="shared" si="1"/>
        <v>1113</v>
      </c>
      <c r="C21" s="576">
        <v>0</v>
      </c>
      <c r="D21" s="576">
        <v>0</v>
      </c>
      <c r="E21" s="576">
        <v>351</v>
      </c>
      <c r="F21" s="576">
        <v>0</v>
      </c>
      <c r="G21" s="576">
        <v>0</v>
      </c>
      <c r="H21" s="576">
        <v>0</v>
      </c>
      <c r="I21" s="576">
        <v>0</v>
      </c>
      <c r="J21" s="576">
        <v>371</v>
      </c>
      <c r="K21" s="577">
        <v>391</v>
      </c>
    </row>
    <row r="22" spans="1:11" s="571" customFormat="1" ht="13.5" customHeight="1" x14ac:dyDescent="0.2">
      <c r="A22" s="73" t="s">
        <v>1012</v>
      </c>
      <c r="B22" s="503">
        <f t="shared" si="1"/>
        <v>4265</v>
      </c>
      <c r="C22" s="576">
        <v>0</v>
      </c>
      <c r="D22" s="576">
        <v>1270</v>
      </c>
      <c r="E22" s="576">
        <v>2993</v>
      </c>
      <c r="F22" s="576">
        <v>0</v>
      </c>
      <c r="G22" s="576">
        <v>0</v>
      </c>
      <c r="H22" s="576">
        <v>1</v>
      </c>
      <c r="I22" s="576"/>
      <c r="J22" s="576"/>
      <c r="K22" s="577">
        <v>1</v>
      </c>
    </row>
    <row r="23" spans="1:11" s="571" customFormat="1" ht="13.5" customHeight="1" x14ac:dyDescent="0.2">
      <c r="A23" s="73" t="s">
        <v>1013</v>
      </c>
      <c r="B23" s="503">
        <f t="shared" si="1"/>
        <v>11633</v>
      </c>
      <c r="C23" s="576">
        <v>0</v>
      </c>
      <c r="D23" s="576"/>
      <c r="E23" s="576">
        <v>8632</v>
      </c>
      <c r="F23" s="576">
        <v>3</v>
      </c>
      <c r="G23" s="576">
        <v>1</v>
      </c>
      <c r="H23" s="576"/>
      <c r="I23" s="576">
        <v>5</v>
      </c>
      <c r="J23" s="576">
        <v>2984</v>
      </c>
      <c r="K23" s="577">
        <v>8</v>
      </c>
    </row>
    <row r="24" spans="1:11" s="571" customFormat="1" ht="13.5" customHeight="1" x14ac:dyDescent="0.2">
      <c r="A24" s="73" t="s">
        <v>1014</v>
      </c>
      <c r="B24" s="503">
        <f t="shared" si="1"/>
        <v>2615</v>
      </c>
      <c r="C24" s="576">
        <v>0</v>
      </c>
      <c r="D24" s="578">
        <v>171</v>
      </c>
      <c r="E24" s="578">
        <v>2214</v>
      </c>
      <c r="F24" s="576">
        <v>0</v>
      </c>
      <c r="G24" s="576">
        <v>0</v>
      </c>
      <c r="H24" s="576">
        <v>0</v>
      </c>
      <c r="I24" s="576">
        <v>0</v>
      </c>
      <c r="J24" s="576">
        <v>0</v>
      </c>
      <c r="K24" s="577">
        <v>230</v>
      </c>
    </row>
    <row r="25" spans="1:11" s="571" customFormat="1" ht="13.5" customHeight="1" x14ac:dyDescent="0.2">
      <c r="A25" s="73" t="s">
        <v>1015</v>
      </c>
      <c r="B25" s="503">
        <f t="shared" si="1"/>
        <v>0</v>
      </c>
      <c r="C25" s="576">
        <v>0</v>
      </c>
      <c r="D25" s="576">
        <v>0</v>
      </c>
      <c r="E25" s="576">
        <v>0</v>
      </c>
      <c r="F25" s="576">
        <v>0</v>
      </c>
      <c r="G25" s="576">
        <v>0</v>
      </c>
      <c r="H25" s="576">
        <v>0</v>
      </c>
      <c r="I25" s="576">
        <v>0</v>
      </c>
      <c r="J25" s="576">
        <v>0</v>
      </c>
      <c r="K25" s="577">
        <v>0</v>
      </c>
    </row>
    <row r="26" spans="1:11" s="571" customFormat="1" ht="13.5" customHeight="1" x14ac:dyDescent="0.2">
      <c r="A26" s="73" t="s">
        <v>1016</v>
      </c>
      <c r="B26" s="503">
        <f>SUM(C26:K26)</f>
        <v>11814</v>
      </c>
      <c r="C26" s="576">
        <v>0</v>
      </c>
      <c r="D26" s="576">
        <v>3902</v>
      </c>
      <c r="E26" s="576">
        <v>0</v>
      </c>
      <c r="F26" s="576">
        <v>1</v>
      </c>
      <c r="G26" s="576">
        <v>2</v>
      </c>
      <c r="H26" s="576">
        <v>1</v>
      </c>
      <c r="I26" s="576">
        <v>2</v>
      </c>
      <c r="J26" s="576">
        <v>3902</v>
      </c>
      <c r="K26" s="577">
        <v>4004</v>
      </c>
    </row>
    <row r="27" spans="1:11" s="571" customFormat="1" ht="13.5" customHeight="1" x14ac:dyDescent="0.2">
      <c r="A27" s="73" t="s">
        <v>1017</v>
      </c>
      <c r="B27" s="503">
        <f>SUM(C27:K27)</f>
        <v>485436</v>
      </c>
      <c r="C27" s="580">
        <v>1198</v>
      </c>
      <c r="D27" s="580">
        <v>264</v>
      </c>
      <c r="E27" s="580">
        <v>1275</v>
      </c>
      <c r="F27" s="576">
        <v>0</v>
      </c>
      <c r="G27" s="576">
        <v>0</v>
      </c>
      <c r="H27" s="576">
        <v>0</v>
      </c>
      <c r="I27" s="576">
        <v>0</v>
      </c>
      <c r="J27" s="576">
        <v>0</v>
      </c>
      <c r="K27" s="577">
        <v>482699</v>
      </c>
    </row>
    <row r="28" spans="1:11" s="571" customFormat="1" ht="13.5" customHeight="1" x14ac:dyDescent="0.2">
      <c r="A28" s="92" t="s">
        <v>1018</v>
      </c>
      <c r="B28" s="503">
        <f>SUM(C28:K28)</f>
        <v>991</v>
      </c>
      <c r="C28" s="580">
        <v>73</v>
      </c>
      <c r="D28" s="580">
        <v>139</v>
      </c>
      <c r="E28" s="580">
        <v>343</v>
      </c>
      <c r="F28" s="580">
        <v>1</v>
      </c>
      <c r="G28" s="580">
        <v>2</v>
      </c>
      <c r="H28" s="576">
        <v>0</v>
      </c>
      <c r="I28" s="576">
        <v>0</v>
      </c>
      <c r="J28" s="576">
        <v>0</v>
      </c>
      <c r="K28" s="577">
        <v>433</v>
      </c>
    </row>
    <row r="29" spans="1:11" s="571" customFormat="1" ht="13.5" customHeight="1" x14ac:dyDescent="0.2">
      <c r="A29" s="73" t="s">
        <v>1019</v>
      </c>
      <c r="B29" s="503">
        <f t="shared" si="1"/>
        <v>0</v>
      </c>
      <c r="C29" s="576">
        <v>0</v>
      </c>
      <c r="D29" s="576">
        <v>0</v>
      </c>
      <c r="E29" s="576">
        <v>0</v>
      </c>
      <c r="F29" s="576">
        <v>0</v>
      </c>
      <c r="G29" s="576">
        <v>0</v>
      </c>
      <c r="H29" s="576">
        <v>0</v>
      </c>
      <c r="I29" s="576">
        <v>0</v>
      </c>
      <c r="J29" s="576">
        <v>0</v>
      </c>
      <c r="K29" s="577">
        <v>0</v>
      </c>
    </row>
    <row r="30" spans="1:11" s="571" customFormat="1" ht="13.5" customHeight="1" x14ac:dyDescent="0.2">
      <c r="A30" s="73" t="s">
        <v>1020</v>
      </c>
      <c r="B30" s="503">
        <f t="shared" si="1"/>
        <v>0</v>
      </c>
      <c r="C30" s="576">
        <v>0</v>
      </c>
      <c r="D30" s="576">
        <v>0</v>
      </c>
      <c r="E30" s="576">
        <v>0</v>
      </c>
      <c r="F30" s="576">
        <v>0</v>
      </c>
      <c r="G30" s="576">
        <v>0</v>
      </c>
      <c r="H30" s="576">
        <v>0</v>
      </c>
      <c r="I30" s="576">
        <v>0</v>
      </c>
      <c r="J30" s="576">
        <v>0</v>
      </c>
      <c r="K30" s="577">
        <v>0</v>
      </c>
    </row>
    <row r="31" spans="1:11" s="571" customFormat="1" ht="13.5" customHeight="1" x14ac:dyDescent="0.2">
      <c r="A31" s="92" t="s">
        <v>1021</v>
      </c>
      <c r="B31" s="503">
        <f t="shared" si="1"/>
        <v>0</v>
      </c>
      <c r="C31" s="576">
        <v>0</v>
      </c>
      <c r="D31" s="576">
        <v>0</v>
      </c>
      <c r="E31" s="576">
        <v>0</v>
      </c>
      <c r="F31" s="576">
        <v>0</v>
      </c>
      <c r="G31" s="576">
        <v>0</v>
      </c>
      <c r="H31" s="576">
        <v>0</v>
      </c>
      <c r="I31" s="576">
        <v>0</v>
      </c>
      <c r="J31" s="576">
        <v>0</v>
      </c>
      <c r="K31" s="577">
        <v>0</v>
      </c>
    </row>
    <row r="32" spans="1:11" s="571" customFormat="1" ht="13.5" customHeight="1" x14ac:dyDescent="0.2">
      <c r="A32" s="92" t="s">
        <v>1022</v>
      </c>
      <c r="B32" s="503">
        <f t="shared" si="1"/>
        <v>0</v>
      </c>
      <c r="C32" s="576">
        <v>0</v>
      </c>
      <c r="D32" s="576">
        <v>0</v>
      </c>
      <c r="E32" s="576">
        <v>0</v>
      </c>
      <c r="F32" s="576">
        <v>0</v>
      </c>
      <c r="G32" s="576">
        <v>0</v>
      </c>
      <c r="H32" s="576">
        <v>0</v>
      </c>
      <c r="I32" s="576">
        <v>0</v>
      </c>
      <c r="J32" s="576">
        <v>0</v>
      </c>
      <c r="K32" s="577">
        <v>0</v>
      </c>
    </row>
    <row r="33" spans="1:11" s="571" customFormat="1" ht="13.5" customHeight="1" x14ac:dyDescent="0.2">
      <c r="A33" s="73" t="s">
        <v>1023</v>
      </c>
      <c r="B33" s="503">
        <f t="shared" si="1"/>
        <v>0</v>
      </c>
      <c r="C33" s="576">
        <v>0</v>
      </c>
      <c r="D33" s="576">
        <v>0</v>
      </c>
      <c r="E33" s="576">
        <v>0</v>
      </c>
      <c r="F33" s="576">
        <v>0</v>
      </c>
      <c r="G33" s="576">
        <v>0</v>
      </c>
      <c r="H33" s="576">
        <v>0</v>
      </c>
      <c r="I33" s="576">
        <v>0</v>
      </c>
      <c r="J33" s="576">
        <v>0</v>
      </c>
      <c r="K33" s="577">
        <v>0</v>
      </c>
    </row>
    <row r="34" spans="1:11" s="571" customFormat="1" ht="6.75" customHeight="1" x14ac:dyDescent="0.2">
      <c r="A34" s="73"/>
      <c r="B34" s="581"/>
      <c r="C34" s="576"/>
      <c r="D34" s="576"/>
      <c r="E34" s="576"/>
      <c r="F34" s="576"/>
      <c r="G34" s="576"/>
      <c r="H34" s="576"/>
      <c r="I34" s="576"/>
      <c r="J34" s="576"/>
      <c r="K34" s="582"/>
    </row>
    <row r="35" spans="1:11" s="571" customFormat="1" ht="10.199999999999999" x14ac:dyDescent="0.2">
      <c r="A35" s="478" t="s">
        <v>19</v>
      </c>
      <c r="B35" s="581"/>
      <c r="C35" s="576"/>
      <c r="D35" s="576"/>
      <c r="E35" s="576"/>
      <c r="F35" s="576"/>
      <c r="G35" s="576"/>
      <c r="H35" s="576"/>
      <c r="I35" s="576"/>
      <c r="J35" s="576"/>
      <c r="K35" s="582"/>
    </row>
    <row r="36" spans="1:11" s="571" customFormat="1" ht="10.199999999999999" x14ac:dyDescent="0.2">
      <c r="A36" s="384" t="s">
        <v>1024</v>
      </c>
      <c r="B36" s="384"/>
      <c r="C36" s="384"/>
      <c r="D36" s="384"/>
      <c r="E36" s="384"/>
      <c r="F36" s="384"/>
      <c r="G36" s="384"/>
      <c r="H36" s="384"/>
      <c r="I36" s="384"/>
      <c r="J36" s="384"/>
      <c r="K36" s="384"/>
    </row>
    <row r="37" spans="1:11" x14ac:dyDescent="0.3">
      <c r="A37" s="62"/>
      <c r="B37" s="62"/>
      <c r="C37" s="62"/>
      <c r="D37" s="62"/>
      <c r="E37" s="62"/>
      <c r="F37" s="62"/>
      <c r="G37" s="62"/>
      <c r="H37" s="62"/>
      <c r="I37" s="62"/>
      <c r="J37" s="62"/>
      <c r="K37" s="571"/>
    </row>
    <row r="38" spans="1:11" x14ac:dyDescent="0.3">
      <c r="A38" s="571"/>
      <c r="B38" s="571"/>
      <c r="C38" s="571"/>
      <c r="D38" s="571"/>
      <c r="E38" s="571"/>
      <c r="F38" s="571"/>
      <c r="G38" s="571"/>
      <c r="H38" s="571"/>
      <c r="I38" s="571"/>
      <c r="J38" s="571"/>
      <c r="K38" s="571"/>
    </row>
  </sheetData>
  <mergeCells count="4">
    <mergeCell ref="A4:A5"/>
    <mergeCell ref="B4:B5"/>
    <mergeCell ref="C4:K4"/>
    <mergeCell ref="A36:K36"/>
  </mergeCells>
  <pageMargins left="0.25" right="0.25" top="0.75" bottom="0.75" header="0.3" footer="0.3"/>
  <pageSetup paperSize="14" scale="85"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C71D4-53B5-41A9-9608-78DC67439E4C}">
  <sheetPr codeName="Hoja56"/>
  <dimension ref="A2:E28"/>
  <sheetViews>
    <sheetView workbookViewId="0">
      <selection activeCell="B31" sqref="B31"/>
    </sheetView>
  </sheetViews>
  <sheetFormatPr baseColWidth="10" defaultRowHeight="13.2" x14ac:dyDescent="0.25"/>
  <cols>
    <col min="1" max="3" width="26.33203125" style="79" customWidth="1"/>
    <col min="4" max="16384" width="11.5546875" style="79"/>
  </cols>
  <sheetData>
    <row r="2" spans="1:5" s="62" customFormat="1" ht="33" customHeight="1" x14ac:dyDescent="0.2">
      <c r="A2" s="585" t="s">
        <v>818</v>
      </c>
      <c r="B2" s="585"/>
      <c r="C2" s="585"/>
      <c r="D2" s="94"/>
      <c r="E2" s="94"/>
    </row>
    <row r="3" spans="1:5" s="62" customFormat="1" ht="10.199999999999999" x14ac:dyDescent="0.2">
      <c r="A3" s="586"/>
      <c r="B3" s="586"/>
      <c r="C3" s="586"/>
      <c r="D3" s="586"/>
      <c r="E3" s="586"/>
    </row>
    <row r="4" spans="1:5" s="62" customFormat="1" ht="33.75" customHeight="1" x14ac:dyDescent="0.2">
      <c r="A4" s="587" t="s">
        <v>1025</v>
      </c>
      <c r="B4" s="96" t="s">
        <v>1026</v>
      </c>
      <c r="C4" s="96"/>
      <c r="D4" s="206"/>
      <c r="E4" s="586"/>
    </row>
    <row r="5" spans="1:5" s="62" customFormat="1" ht="10.199999999999999" x14ac:dyDescent="0.2">
      <c r="A5" s="588"/>
      <c r="B5" s="72" t="s">
        <v>1027</v>
      </c>
      <c r="C5" s="72" t="s">
        <v>1028</v>
      </c>
      <c r="D5" s="589"/>
      <c r="E5" s="586"/>
    </row>
    <row r="6" spans="1:5" s="62" customFormat="1" ht="10.199999999999999" x14ac:dyDescent="0.2">
      <c r="A6" s="590" t="s">
        <v>3</v>
      </c>
      <c r="B6" s="591">
        <f>SUM(B7:B23)</f>
        <v>29</v>
      </c>
      <c r="C6" s="591">
        <f>SUM(C7:C23)</f>
        <v>45</v>
      </c>
      <c r="D6" s="592"/>
      <c r="E6" s="593"/>
    </row>
    <row r="7" spans="1:5" s="62" customFormat="1" ht="10.199999999999999" x14ac:dyDescent="0.2">
      <c r="A7" s="594" t="s">
        <v>871</v>
      </c>
      <c r="B7" s="123">
        <v>0</v>
      </c>
      <c r="C7" s="123">
        <v>1</v>
      </c>
      <c r="E7" s="586"/>
    </row>
    <row r="8" spans="1:5" s="62" customFormat="1" ht="10.199999999999999" x14ac:dyDescent="0.2">
      <c r="A8" s="594" t="s">
        <v>872</v>
      </c>
      <c r="B8" s="123">
        <v>0</v>
      </c>
      <c r="C8" s="123">
        <v>1</v>
      </c>
      <c r="E8" s="586"/>
    </row>
    <row r="9" spans="1:5" s="62" customFormat="1" ht="10.199999999999999" x14ac:dyDescent="0.2">
      <c r="A9" s="594" t="s">
        <v>6</v>
      </c>
      <c r="B9" s="123">
        <v>0</v>
      </c>
      <c r="C9" s="123">
        <v>1</v>
      </c>
      <c r="E9" s="586"/>
    </row>
    <row r="10" spans="1:5" s="62" customFormat="1" ht="10.199999999999999" x14ac:dyDescent="0.2">
      <c r="A10" s="594" t="s">
        <v>876</v>
      </c>
      <c r="B10" s="123">
        <v>1</v>
      </c>
      <c r="C10" s="123">
        <v>1</v>
      </c>
      <c r="E10" s="586"/>
    </row>
    <row r="11" spans="1:5" s="62" customFormat="1" ht="10.199999999999999" x14ac:dyDescent="0.2">
      <c r="A11" s="594" t="s">
        <v>1029</v>
      </c>
      <c r="B11" s="123">
        <v>4</v>
      </c>
      <c r="C11" s="123">
        <v>6</v>
      </c>
      <c r="E11" s="586"/>
    </row>
    <row r="12" spans="1:5" s="62" customFormat="1" ht="10.199999999999999" x14ac:dyDescent="0.2">
      <c r="A12" s="594" t="s">
        <v>9</v>
      </c>
      <c r="B12" s="123">
        <v>3</v>
      </c>
      <c r="C12" s="123">
        <v>5</v>
      </c>
      <c r="E12" s="586"/>
    </row>
    <row r="13" spans="1:5" s="62" customFormat="1" ht="10.199999999999999" x14ac:dyDescent="0.2">
      <c r="A13" s="594" t="s">
        <v>917</v>
      </c>
      <c r="B13" s="123">
        <v>1</v>
      </c>
      <c r="C13" s="123">
        <v>0</v>
      </c>
      <c r="D13" s="586"/>
      <c r="E13" s="586"/>
    </row>
    <row r="14" spans="1:5" s="62" customFormat="1" ht="10.199999999999999" x14ac:dyDescent="0.2">
      <c r="A14" s="594" t="s">
        <v>920</v>
      </c>
      <c r="B14" s="123">
        <v>7</v>
      </c>
      <c r="C14" s="123">
        <v>10</v>
      </c>
      <c r="E14" s="586"/>
    </row>
    <row r="15" spans="1:5" s="62" customFormat="1" ht="10.199999999999999" x14ac:dyDescent="0.2">
      <c r="A15" s="594" t="s">
        <v>921</v>
      </c>
      <c r="B15" s="123">
        <v>0</v>
      </c>
      <c r="C15" s="123">
        <v>0</v>
      </c>
      <c r="D15" s="586"/>
      <c r="E15" s="586"/>
    </row>
    <row r="16" spans="1:5" s="62" customFormat="1" ht="10.199999999999999" x14ac:dyDescent="0.2">
      <c r="A16" s="594" t="s">
        <v>889</v>
      </c>
      <c r="B16" s="123">
        <v>1</v>
      </c>
      <c r="C16" s="123">
        <v>1</v>
      </c>
      <c r="E16" s="586"/>
    </row>
    <row r="17" spans="1:5" s="62" customFormat="1" ht="10.199999999999999" x14ac:dyDescent="0.2">
      <c r="A17" s="594" t="s">
        <v>895</v>
      </c>
      <c r="B17" s="123">
        <v>0</v>
      </c>
      <c r="C17" s="123">
        <v>0</v>
      </c>
      <c r="E17" s="586"/>
    </row>
    <row r="18" spans="1:5" s="62" customFormat="1" ht="10.199999999999999" x14ac:dyDescent="0.2">
      <c r="A18" s="594" t="s">
        <v>928</v>
      </c>
      <c r="B18" s="123">
        <v>0</v>
      </c>
      <c r="C18" s="123">
        <v>1</v>
      </c>
      <c r="E18" s="586"/>
    </row>
    <row r="19" spans="1:5" s="62" customFormat="1" ht="10.199999999999999" x14ac:dyDescent="0.2">
      <c r="A19" s="594" t="s">
        <v>1030</v>
      </c>
      <c r="B19" s="123">
        <v>0</v>
      </c>
      <c r="C19" s="123">
        <v>1</v>
      </c>
      <c r="E19" s="586"/>
    </row>
    <row r="20" spans="1:5" s="62" customFormat="1" ht="10.199999999999999" x14ac:dyDescent="0.2">
      <c r="A20" s="594" t="s">
        <v>1031</v>
      </c>
      <c r="B20" s="123">
        <v>0</v>
      </c>
      <c r="C20" s="123">
        <v>0</v>
      </c>
      <c r="D20" s="586"/>
      <c r="E20" s="586"/>
    </row>
    <row r="21" spans="1:5" s="62" customFormat="1" ht="10.199999999999999" x14ac:dyDescent="0.2">
      <c r="A21" s="594" t="s">
        <v>934</v>
      </c>
      <c r="B21" s="123">
        <v>2</v>
      </c>
      <c r="C21" s="123">
        <v>1</v>
      </c>
      <c r="E21" s="586"/>
    </row>
    <row r="22" spans="1:5" s="62" customFormat="1" ht="10.199999999999999" x14ac:dyDescent="0.2">
      <c r="A22" s="594" t="s">
        <v>890</v>
      </c>
      <c r="B22" s="123">
        <v>8</v>
      </c>
      <c r="C22" s="123">
        <v>12</v>
      </c>
      <c r="E22" s="586"/>
    </row>
    <row r="23" spans="1:5" s="62" customFormat="1" ht="10.199999999999999" x14ac:dyDescent="0.2">
      <c r="A23" s="594" t="s">
        <v>1032</v>
      </c>
      <c r="B23" s="123">
        <v>2</v>
      </c>
      <c r="C23" s="123">
        <v>4</v>
      </c>
      <c r="E23" s="586"/>
    </row>
    <row r="24" spans="1:5" s="62" customFormat="1" ht="5.25" customHeight="1" x14ac:dyDescent="0.2">
      <c r="A24" s="594"/>
      <c r="B24" s="216"/>
      <c r="C24" s="216"/>
      <c r="E24" s="586"/>
    </row>
    <row r="25" spans="1:5" s="62" customFormat="1" ht="10.199999999999999" x14ac:dyDescent="0.2">
      <c r="A25" s="569" t="s">
        <v>19</v>
      </c>
      <c r="B25" s="569"/>
      <c r="C25" s="569"/>
      <c r="E25" s="586"/>
    </row>
    <row r="26" spans="1:5" s="62" customFormat="1" ht="10.199999999999999" x14ac:dyDescent="0.2">
      <c r="A26" s="384" t="s">
        <v>1033</v>
      </c>
      <c r="B26" s="384"/>
      <c r="C26" s="384"/>
      <c r="D26" s="586"/>
      <c r="E26" s="586"/>
    </row>
    <row r="27" spans="1:5" s="62" customFormat="1" ht="10.199999999999999" x14ac:dyDescent="0.2">
      <c r="B27" s="594"/>
      <c r="C27" s="594"/>
      <c r="D27" s="586"/>
      <c r="E27" s="586"/>
    </row>
    <row r="28" spans="1:5" s="62" customFormat="1" ht="10.199999999999999" x14ac:dyDescent="0.2"/>
  </sheetData>
  <mergeCells count="5">
    <mergeCell ref="A2:C2"/>
    <mergeCell ref="A4:A5"/>
    <mergeCell ref="B4:C4"/>
    <mergeCell ref="A25:C25"/>
    <mergeCell ref="A26:C26"/>
  </mergeCells>
  <pageMargins left="0.70866141732283472" right="0.70866141732283472" top="0.74803149606299213" bottom="0.74803149606299213" header="0.31496062992125984" footer="0.31496062992125984"/>
  <pageSetup paperSize="14" orientation="portrait" verticalDpi="599"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E4B36-A7C8-476C-B393-5C6022443BDA}">
  <sheetPr codeName="Hoja57"/>
  <dimension ref="A2:N29"/>
  <sheetViews>
    <sheetView workbookViewId="0">
      <selection activeCell="B31" sqref="B31"/>
    </sheetView>
  </sheetViews>
  <sheetFormatPr baseColWidth="10" defaultColWidth="11.44140625" defaultRowHeight="10.199999999999999" x14ac:dyDescent="0.2"/>
  <cols>
    <col min="1" max="1" width="20.109375" style="62" customWidth="1"/>
    <col min="2" max="2" width="16.33203125" style="62" customWidth="1"/>
    <col min="3" max="3" width="15.44140625" style="62" customWidth="1"/>
    <col min="4" max="6" width="13.44140625" style="62" customWidth="1"/>
    <col min="7" max="7" width="21.5546875" style="62" customWidth="1"/>
    <col min="8" max="8" width="13.44140625" style="62" customWidth="1"/>
    <col min="9" max="9" width="11.44140625" style="62"/>
    <col min="10" max="10" width="22.109375" style="62" customWidth="1"/>
    <col min="11" max="16384" width="11.44140625" style="62"/>
  </cols>
  <sheetData>
    <row r="2" spans="1:14" x14ac:dyDescent="0.2">
      <c r="A2" s="595" t="s">
        <v>819</v>
      </c>
      <c r="D2" s="595"/>
      <c r="E2" s="595"/>
      <c r="F2" s="595"/>
      <c r="G2" s="595"/>
    </row>
    <row r="3" spans="1:14" x14ac:dyDescent="0.2">
      <c r="B3" s="595"/>
      <c r="C3" s="595"/>
      <c r="D3" s="595"/>
      <c r="E3" s="595"/>
      <c r="F3" s="595"/>
      <c r="G3" s="595"/>
    </row>
    <row r="4" spans="1:14" ht="12.75" customHeight="1" x14ac:dyDescent="0.2">
      <c r="A4" s="587" t="s">
        <v>1025</v>
      </c>
      <c r="B4" s="596" t="s">
        <v>42</v>
      </c>
      <c r="C4" s="597" t="s">
        <v>1034</v>
      </c>
      <c r="D4" s="597"/>
      <c r="E4" s="597"/>
      <c r="F4" s="597"/>
      <c r="G4" s="597"/>
      <c r="H4" s="597"/>
    </row>
    <row r="5" spans="1:14" ht="61.2" x14ac:dyDescent="0.2">
      <c r="A5" s="588"/>
      <c r="B5" s="596"/>
      <c r="C5" s="598" t="s">
        <v>1035</v>
      </c>
      <c r="D5" s="598" t="s">
        <v>1036</v>
      </c>
      <c r="E5" s="598" t="s">
        <v>1037</v>
      </c>
      <c r="F5" s="598" t="s">
        <v>1038</v>
      </c>
      <c r="G5" s="598" t="s">
        <v>1039</v>
      </c>
      <c r="H5" s="598" t="s">
        <v>1040</v>
      </c>
      <c r="I5" s="595"/>
      <c r="M5" s="73"/>
      <c r="N5" s="73"/>
    </row>
    <row r="6" spans="1:14" x14ac:dyDescent="0.2">
      <c r="A6" s="599" t="s">
        <v>3</v>
      </c>
      <c r="B6" s="600">
        <f t="shared" ref="B6:H6" si="0">SUM(B7:B23)</f>
        <v>3961</v>
      </c>
      <c r="C6" s="600">
        <f t="shared" si="0"/>
        <v>44</v>
      </c>
      <c r="D6" s="210">
        <f t="shared" si="0"/>
        <v>230</v>
      </c>
      <c r="E6" s="210">
        <f t="shared" si="0"/>
        <v>161</v>
      </c>
      <c r="F6" s="210">
        <f t="shared" si="0"/>
        <v>3021</v>
      </c>
      <c r="G6" s="210">
        <f t="shared" si="0"/>
        <v>26</v>
      </c>
      <c r="H6" s="210">
        <f t="shared" si="0"/>
        <v>479</v>
      </c>
      <c r="I6" s="595"/>
    </row>
    <row r="7" spans="1:14" x14ac:dyDescent="0.2">
      <c r="A7" s="586" t="s">
        <v>871</v>
      </c>
      <c r="B7" s="601">
        <f>SUM(C7:H7)</f>
        <v>118</v>
      </c>
      <c r="C7" s="602">
        <v>0</v>
      </c>
      <c r="D7" s="120">
        <v>0</v>
      </c>
      <c r="E7" s="132">
        <v>1</v>
      </c>
      <c r="F7" s="132">
        <v>49</v>
      </c>
      <c r="G7" s="120">
        <v>0</v>
      </c>
      <c r="H7" s="493">
        <v>68</v>
      </c>
      <c r="I7" s="595"/>
    </row>
    <row r="8" spans="1:14" x14ac:dyDescent="0.2">
      <c r="A8" s="586" t="s">
        <v>872</v>
      </c>
      <c r="B8" s="601">
        <f t="shared" ref="B8:B23" si="1">SUM(C8:H8)</f>
        <v>188</v>
      </c>
      <c r="C8" s="602">
        <v>0</v>
      </c>
      <c r="D8" s="120">
        <v>0</v>
      </c>
      <c r="E8" s="132">
        <v>4</v>
      </c>
      <c r="F8" s="132">
        <v>155</v>
      </c>
      <c r="G8" s="120">
        <v>25</v>
      </c>
      <c r="H8" s="493">
        <v>4</v>
      </c>
      <c r="J8" s="73"/>
      <c r="K8" s="73"/>
      <c r="L8" s="73"/>
    </row>
    <row r="9" spans="1:14" x14ac:dyDescent="0.2">
      <c r="A9" s="586" t="s">
        <v>6</v>
      </c>
      <c r="B9" s="601">
        <f t="shared" si="1"/>
        <v>122</v>
      </c>
      <c r="C9" s="602">
        <v>0</v>
      </c>
      <c r="D9" s="120">
        <v>0</v>
      </c>
      <c r="E9" s="132">
        <v>7</v>
      </c>
      <c r="F9" s="132">
        <v>79</v>
      </c>
      <c r="G9" s="120">
        <v>0</v>
      </c>
      <c r="H9" s="493">
        <v>36</v>
      </c>
    </row>
    <row r="10" spans="1:14" x14ac:dyDescent="0.2">
      <c r="A10" s="586" t="s">
        <v>876</v>
      </c>
      <c r="B10" s="601">
        <f t="shared" si="1"/>
        <v>67</v>
      </c>
      <c r="C10" s="602">
        <v>4</v>
      </c>
      <c r="D10" s="120">
        <v>0</v>
      </c>
      <c r="E10" s="132">
        <v>7</v>
      </c>
      <c r="F10" s="132">
        <v>32</v>
      </c>
      <c r="G10" s="120">
        <v>0</v>
      </c>
      <c r="H10" s="493">
        <v>24</v>
      </c>
    </row>
    <row r="11" spans="1:14" x14ac:dyDescent="0.2">
      <c r="A11" s="586" t="s">
        <v>1029</v>
      </c>
      <c r="B11" s="601">
        <f t="shared" si="1"/>
        <v>126</v>
      </c>
      <c r="C11" s="602">
        <v>5</v>
      </c>
      <c r="D11" s="120">
        <v>0</v>
      </c>
      <c r="E11" s="132">
        <v>7</v>
      </c>
      <c r="F11" s="132">
        <v>103</v>
      </c>
      <c r="G11" s="120">
        <v>0</v>
      </c>
      <c r="H11" s="493">
        <v>11</v>
      </c>
    </row>
    <row r="12" spans="1:14" x14ac:dyDescent="0.2">
      <c r="A12" s="586" t="s">
        <v>9</v>
      </c>
      <c r="B12" s="601">
        <f t="shared" si="1"/>
        <v>499</v>
      </c>
      <c r="C12" s="602">
        <v>11</v>
      </c>
      <c r="D12" s="120">
        <v>0</v>
      </c>
      <c r="E12" s="132">
        <v>24</v>
      </c>
      <c r="F12" s="132">
        <v>418</v>
      </c>
      <c r="G12" s="120">
        <v>0</v>
      </c>
      <c r="H12" s="493">
        <v>46</v>
      </c>
    </row>
    <row r="13" spans="1:14" x14ac:dyDescent="0.2">
      <c r="A13" s="586" t="s">
        <v>890</v>
      </c>
      <c r="B13" s="601">
        <f>SUM(C13:H13)</f>
        <v>1165</v>
      </c>
      <c r="C13" s="602">
        <v>10</v>
      </c>
      <c r="D13" s="120">
        <v>229</v>
      </c>
      <c r="E13" s="132">
        <v>36</v>
      </c>
      <c r="F13" s="132">
        <v>770</v>
      </c>
      <c r="G13" s="120">
        <v>1</v>
      </c>
      <c r="H13" s="493">
        <v>119</v>
      </c>
    </row>
    <row r="14" spans="1:14" x14ac:dyDescent="0.2">
      <c r="A14" s="586" t="s">
        <v>1032</v>
      </c>
      <c r="B14" s="601">
        <f>SUM(C14:H14)</f>
        <v>504</v>
      </c>
      <c r="C14" s="602">
        <v>2</v>
      </c>
      <c r="D14" s="120">
        <v>1</v>
      </c>
      <c r="E14" s="132">
        <v>5</v>
      </c>
      <c r="F14" s="132">
        <v>456</v>
      </c>
      <c r="G14" s="120">
        <v>0</v>
      </c>
      <c r="H14" s="493">
        <v>40</v>
      </c>
    </row>
    <row r="15" spans="1:14" x14ac:dyDescent="0.2">
      <c r="A15" s="586" t="s">
        <v>917</v>
      </c>
      <c r="B15" s="601">
        <f t="shared" si="1"/>
        <v>267</v>
      </c>
      <c r="C15" s="602">
        <v>1</v>
      </c>
      <c r="D15" s="120">
        <v>0</v>
      </c>
      <c r="E15" s="132">
        <v>11</v>
      </c>
      <c r="F15" s="132">
        <v>232</v>
      </c>
      <c r="G15" s="120">
        <v>0</v>
      </c>
      <c r="H15" s="493">
        <v>23</v>
      </c>
    </row>
    <row r="16" spans="1:14" x14ac:dyDescent="0.2">
      <c r="A16" s="586" t="s">
        <v>920</v>
      </c>
      <c r="B16" s="601">
        <f t="shared" si="1"/>
        <v>206</v>
      </c>
      <c r="C16" s="602">
        <v>7</v>
      </c>
      <c r="D16" s="120">
        <v>0</v>
      </c>
      <c r="E16" s="132">
        <v>15</v>
      </c>
      <c r="F16" s="132">
        <v>152</v>
      </c>
      <c r="G16" s="120">
        <v>0</v>
      </c>
      <c r="H16" s="493">
        <v>32</v>
      </c>
    </row>
    <row r="17" spans="1:8" x14ac:dyDescent="0.2">
      <c r="A17" s="586" t="s">
        <v>921</v>
      </c>
      <c r="B17" s="601">
        <f t="shared" si="1"/>
        <v>69</v>
      </c>
      <c r="C17" s="602">
        <v>0</v>
      </c>
      <c r="D17" s="120">
        <v>0</v>
      </c>
      <c r="E17" s="132">
        <v>6</v>
      </c>
      <c r="F17" s="132">
        <v>52</v>
      </c>
      <c r="G17" s="120">
        <v>0</v>
      </c>
      <c r="H17" s="493">
        <v>11</v>
      </c>
    </row>
    <row r="18" spans="1:8" x14ac:dyDescent="0.2">
      <c r="A18" s="586" t="s">
        <v>889</v>
      </c>
      <c r="B18" s="601">
        <f t="shared" si="1"/>
        <v>219</v>
      </c>
      <c r="C18" s="602">
        <v>1</v>
      </c>
      <c r="D18" s="120">
        <v>0</v>
      </c>
      <c r="E18" s="132">
        <v>15</v>
      </c>
      <c r="F18" s="132">
        <v>176</v>
      </c>
      <c r="G18" s="120">
        <v>0</v>
      </c>
      <c r="H18" s="493">
        <v>27</v>
      </c>
    </row>
    <row r="19" spans="1:8" x14ac:dyDescent="0.2">
      <c r="A19" s="586" t="s">
        <v>895</v>
      </c>
      <c r="B19" s="601">
        <f t="shared" si="1"/>
        <v>75</v>
      </c>
      <c r="C19" s="602">
        <v>1</v>
      </c>
      <c r="D19" s="120">
        <v>0</v>
      </c>
      <c r="E19" s="132">
        <v>6</v>
      </c>
      <c r="F19" s="132">
        <v>64</v>
      </c>
      <c r="G19" s="120">
        <v>0</v>
      </c>
      <c r="H19" s="493">
        <v>4</v>
      </c>
    </row>
    <row r="20" spans="1:8" x14ac:dyDescent="0.2">
      <c r="A20" s="586" t="s">
        <v>928</v>
      </c>
      <c r="B20" s="601">
        <f t="shared" si="1"/>
        <v>92</v>
      </c>
      <c r="C20" s="602">
        <v>0</v>
      </c>
      <c r="D20" s="120">
        <v>0</v>
      </c>
      <c r="E20" s="132">
        <v>9</v>
      </c>
      <c r="F20" s="132">
        <v>67</v>
      </c>
      <c r="G20" s="120">
        <v>0</v>
      </c>
      <c r="H20" s="493">
        <v>16</v>
      </c>
    </row>
    <row r="21" spans="1:8" x14ac:dyDescent="0.2">
      <c r="A21" s="586" t="s">
        <v>1030</v>
      </c>
      <c r="B21" s="601">
        <f t="shared" si="1"/>
        <v>211</v>
      </c>
      <c r="C21" s="602">
        <v>0</v>
      </c>
      <c r="D21" s="120">
        <v>0</v>
      </c>
      <c r="E21" s="132">
        <v>6</v>
      </c>
      <c r="F21" s="132">
        <v>187</v>
      </c>
      <c r="G21" s="120">
        <v>0</v>
      </c>
      <c r="H21" s="493">
        <v>18</v>
      </c>
    </row>
    <row r="22" spans="1:8" x14ac:dyDescent="0.2">
      <c r="A22" s="586" t="s">
        <v>1031</v>
      </c>
      <c r="B22" s="601">
        <f t="shared" si="1"/>
        <v>6</v>
      </c>
      <c r="C22" s="602">
        <v>0</v>
      </c>
      <c r="D22" s="120">
        <v>0</v>
      </c>
      <c r="E22" s="132">
        <v>0</v>
      </c>
      <c r="F22" s="132">
        <v>6</v>
      </c>
      <c r="G22" s="120">
        <v>0</v>
      </c>
      <c r="H22" s="493">
        <v>0</v>
      </c>
    </row>
    <row r="23" spans="1:8" x14ac:dyDescent="0.2">
      <c r="A23" s="586" t="s">
        <v>934</v>
      </c>
      <c r="B23" s="601">
        <f t="shared" si="1"/>
        <v>27</v>
      </c>
      <c r="C23" s="602">
        <v>2</v>
      </c>
      <c r="D23" s="120">
        <v>0</v>
      </c>
      <c r="E23" s="132">
        <v>2</v>
      </c>
      <c r="F23" s="132">
        <v>23</v>
      </c>
      <c r="G23" s="120">
        <v>0</v>
      </c>
      <c r="H23" s="493">
        <v>0</v>
      </c>
    </row>
    <row r="26" spans="1:8" ht="6" customHeight="1" x14ac:dyDescent="0.2">
      <c r="A26" s="586"/>
      <c r="B26" s="601"/>
      <c r="C26" s="601"/>
      <c r="D26" s="603"/>
      <c r="E26" s="603"/>
      <c r="F26" s="603"/>
      <c r="G26" s="603"/>
      <c r="H26" s="603"/>
    </row>
    <row r="27" spans="1:8" x14ac:dyDescent="0.2">
      <c r="A27" s="478" t="s">
        <v>19</v>
      </c>
      <c r="B27" s="604"/>
      <c r="C27" s="604"/>
      <c r="D27" s="605"/>
      <c r="E27" s="605"/>
      <c r="F27" s="605"/>
      <c r="G27" s="605"/>
      <c r="H27" s="603"/>
    </row>
    <row r="28" spans="1:8" x14ac:dyDescent="0.2">
      <c r="A28" s="62" t="s">
        <v>1033</v>
      </c>
      <c r="H28" s="603"/>
    </row>
    <row r="29" spans="1:8" x14ac:dyDescent="0.2">
      <c r="H29" s="603"/>
    </row>
  </sheetData>
  <mergeCells count="3">
    <mergeCell ref="A4:A5"/>
    <mergeCell ref="B4:B5"/>
    <mergeCell ref="C4:H4"/>
  </mergeCells>
  <pageMargins left="0.74803149606299213" right="0.74803149606299213" top="0.98425196850393704" bottom="0.98425196850393704" header="0" footer="0"/>
  <pageSetup paperSize="14"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2710EF-AAAD-42FB-8B2C-60E25644B52C}">
  <sheetPr codeName="Hoja58"/>
  <dimension ref="A1:R34"/>
  <sheetViews>
    <sheetView workbookViewId="0">
      <selection activeCell="B31" sqref="B31"/>
    </sheetView>
  </sheetViews>
  <sheetFormatPr baseColWidth="10" defaultRowHeight="13.2" x14ac:dyDescent="0.25"/>
  <cols>
    <col min="1" max="1" width="20.5546875" style="79" customWidth="1"/>
    <col min="2" max="6" width="11.5546875" style="79"/>
    <col min="7" max="7" width="12.33203125" style="79" customWidth="1"/>
    <col min="8" max="16384" width="11.5546875" style="79"/>
  </cols>
  <sheetData>
    <row r="1" spans="1:18" s="62" customFormat="1" ht="15.6" x14ac:dyDescent="0.2">
      <c r="A1" s="606"/>
      <c r="H1" s="603"/>
    </row>
    <row r="2" spans="1:18" s="62" customFormat="1" ht="15" customHeight="1" x14ac:dyDescent="0.2">
      <c r="A2" s="595" t="s">
        <v>820</v>
      </c>
      <c r="B2" s="595"/>
      <c r="C2" s="595"/>
      <c r="D2" s="595"/>
      <c r="E2" s="595"/>
    </row>
    <row r="3" spans="1:18" s="62" customFormat="1" ht="10.199999999999999" x14ac:dyDescent="0.2"/>
    <row r="4" spans="1:18" s="62" customFormat="1" ht="12.75" customHeight="1" x14ac:dyDescent="0.2">
      <c r="A4" s="587" t="s">
        <v>1025</v>
      </c>
      <c r="B4" s="596" t="s">
        <v>42</v>
      </c>
      <c r="C4" s="607" t="s">
        <v>1041</v>
      </c>
      <c r="D4" s="608"/>
      <c r="E4" s="608"/>
      <c r="F4" s="608"/>
      <c r="G4" s="609"/>
    </row>
    <row r="5" spans="1:18" s="62" customFormat="1" ht="71.400000000000006" x14ac:dyDescent="0.2">
      <c r="A5" s="588"/>
      <c r="B5" s="596"/>
      <c r="C5" s="610" t="s">
        <v>1042</v>
      </c>
      <c r="D5" s="598" t="s">
        <v>1037</v>
      </c>
      <c r="E5" s="598" t="s">
        <v>1038</v>
      </c>
      <c r="F5" s="598" t="s">
        <v>1040</v>
      </c>
      <c r="G5" s="598" t="s">
        <v>1043</v>
      </c>
      <c r="M5" s="94"/>
      <c r="N5" s="94"/>
      <c r="O5" s="94"/>
      <c r="P5" s="94"/>
      <c r="Q5" s="94"/>
      <c r="R5" s="94"/>
    </row>
    <row r="6" spans="1:18" s="62" customFormat="1" ht="10.199999999999999" x14ac:dyDescent="0.2">
      <c r="A6" s="595" t="s">
        <v>3</v>
      </c>
      <c r="B6" s="117">
        <f>SUM(B7:B23)</f>
        <v>1445</v>
      </c>
      <c r="C6" s="117">
        <f>SUM(C7:C23)</f>
        <v>92</v>
      </c>
      <c r="D6" s="117">
        <f>SUM(D7:D23)</f>
        <v>48</v>
      </c>
      <c r="E6" s="117">
        <f>SUM(E7:E23)</f>
        <v>1095</v>
      </c>
      <c r="F6" s="117">
        <f>SUM(F7:F23)</f>
        <v>210</v>
      </c>
      <c r="G6" s="117">
        <v>0</v>
      </c>
    </row>
    <row r="7" spans="1:18" s="62" customFormat="1" ht="10.199999999999999" x14ac:dyDescent="0.2">
      <c r="A7" s="586" t="s">
        <v>871</v>
      </c>
      <c r="B7" s="117">
        <f t="shared" ref="B7:B23" si="0">SUM(C7:G7)</f>
        <v>30</v>
      </c>
      <c r="C7" s="121">
        <v>0</v>
      </c>
      <c r="D7" s="121">
        <v>0</v>
      </c>
      <c r="E7" s="121">
        <v>11</v>
      </c>
      <c r="F7" s="121">
        <v>19</v>
      </c>
      <c r="G7" s="117">
        <v>0</v>
      </c>
    </row>
    <row r="8" spans="1:18" s="62" customFormat="1" ht="10.199999999999999" x14ac:dyDescent="0.2">
      <c r="A8" s="586" t="s">
        <v>872</v>
      </c>
      <c r="B8" s="117">
        <f t="shared" si="0"/>
        <v>68</v>
      </c>
      <c r="C8" s="121">
        <v>0</v>
      </c>
      <c r="D8" s="121">
        <v>0</v>
      </c>
      <c r="E8" s="121">
        <v>67</v>
      </c>
      <c r="F8" s="121">
        <v>1</v>
      </c>
      <c r="G8" s="117">
        <v>0</v>
      </c>
      <c r="K8" s="94"/>
      <c r="L8" s="94"/>
    </row>
    <row r="9" spans="1:18" s="62" customFormat="1" ht="10.199999999999999" x14ac:dyDescent="0.2">
      <c r="A9" s="586" t="s">
        <v>6</v>
      </c>
      <c r="B9" s="117">
        <f t="shared" si="0"/>
        <v>59</v>
      </c>
      <c r="C9" s="121">
        <v>0</v>
      </c>
      <c r="D9" s="121">
        <v>4</v>
      </c>
      <c r="E9" s="121">
        <v>30</v>
      </c>
      <c r="F9" s="121">
        <v>25</v>
      </c>
      <c r="G9" s="117">
        <v>0</v>
      </c>
    </row>
    <row r="10" spans="1:18" s="62" customFormat="1" ht="10.199999999999999" x14ac:dyDescent="0.2">
      <c r="A10" s="586" t="s">
        <v>876</v>
      </c>
      <c r="B10" s="117">
        <f t="shared" si="0"/>
        <v>36</v>
      </c>
      <c r="C10" s="121">
        <v>0</v>
      </c>
      <c r="D10" s="121">
        <v>3</v>
      </c>
      <c r="E10" s="121">
        <v>20</v>
      </c>
      <c r="F10" s="121">
        <v>13</v>
      </c>
      <c r="G10" s="117">
        <v>0</v>
      </c>
    </row>
    <row r="11" spans="1:18" s="62" customFormat="1" ht="10.199999999999999" x14ac:dyDescent="0.2">
      <c r="A11" s="586" t="s">
        <v>1029</v>
      </c>
      <c r="B11" s="117">
        <f t="shared" si="0"/>
        <v>84</v>
      </c>
      <c r="C11" s="121">
        <v>0</v>
      </c>
      <c r="D11" s="121">
        <v>3</v>
      </c>
      <c r="E11" s="121">
        <v>73</v>
      </c>
      <c r="F11" s="121">
        <v>8</v>
      </c>
      <c r="G11" s="117">
        <v>0</v>
      </c>
    </row>
    <row r="12" spans="1:18" s="62" customFormat="1" ht="10.199999999999999" x14ac:dyDescent="0.2">
      <c r="A12" s="586" t="s">
        <v>9</v>
      </c>
      <c r="B12" s="117">
        <f t="shared" si="0"/>
        <v>152</v>
      </c>
      <c r="C12" s="121">
        <v>0</v>
      </c>
      <c r="D12" s="121">
        <v>7</v>
      </c>
      <c r="E12" s="121">
        <v>114</v>
      </c>
      <c r="F12" s="121">
        <v>31</v>
      </c>
      <c r="G12" s="117">
        <v>0</v>
      </c>
    </row>
    <row r="13" spans="1:18" s="62" customFormat="1" ht="10.199999999999999" x14ac:dyDescent="0.2">
      <c r="A13" s="586" t="s">
        <v>890</v>
      </c>
      <c r="B13" s="117">
        <f>SUM(C13:G13)</f>
        <v>363</v>
      </c>
      <c r="C13" s="121">
        <v>92</v>
      </c>
      <c r="D13" s="121">
        <v>7</v>
      </c>
      <c r="E13" s="121">
        <v>244</v>
      </c>
      <c r="F13" s="121">
        <v>20</v>
      </c>
      <c r="G13" s="117">
        <v>0</v>
      </c>
    </row>
    <row r="14" spans="1:18" s="62" customFormat="1" ht="10.199999999999999" x14ac:dyDescent="0.2">
      <c r="A14" s="586" t="s">
        <v>1032</v>
      </c>
      <c r="B14" s="117">
        <f>SUM(C14:G14)</f>
        <v>133</v>
      </c>
      <c r="C14" s="121">
        <v>0</v>
      </c>
      <c r="D14" s="121">
        <v>5</v>
      </c>
      <c r="E14" s="121">
        <v>93</v>
      </c>
      <c r="F14" s="121">
        <v>35</v>
      </c>
      <c r="G14" s="117">
        <v>0</v>
      </c>
    </row>
    <row r="15" spans="1:18" s="62" customFormat="1" ht="10.199999999999999" x14ac:dyDescent="0.2">
      <c r="A15" s="586" t="s">
        <v>917</v>
      </c>
      <c r="B15" s="117">
        <f t="shared" si="0"/>
        <v>90</v>
      </c>
      <c r="C15" s="121">
        <v>0</v>
      </c>
      <c r="D15" s="121">
        <v>0</v>
      </c>
      <c r="E15" s="121">
        <v>82</v>
      </c>
      <c r="F15" s="121">
        <v>8</v>
      </c>
      <c r="G15" s="117">
        <v>0</v>
      </c>
    </row>
    <row r="16" spans="1:18" s="62" customFormat="1" ht="10.199999999999999" x14ac:dyDescent="0.2">
      <c r="A16" s="586" t="s">
        <v>920</v>
      </c>
      <c r="B16" s="117">
        <f t="shared" si="0"/>
        <v>96</v>
      </c>
      <c r="C16" s="121">
        <v>0</v>
      </c>
      <c r="D16" s="121">
        <v>4</v>
      </c>
      <c r="E16" s="121">
        <v>73</v>
      </c>
      <c r="F16" s="121">
        <v>19</v>
      </c>
      <c r="G16" s="117">
        <v>0</v>
      </c>
    </row>
    <row r="17" spans="1:7" s="62" customFormat="1" ht="10.199999999999999" x14ac:dyDescent="0.2">
      <c r="A17" s="586" t="s">
        <v>921</v>
      </c>
      <c r="B17" s="117">
        <f t="shared" si="0"/>
        <v>36</v>
      </c>
      <c r="C17" s="121">
        <v>0</v>
      </c>
      <c r="D17" s="121">
        <v>4</v>
      </c>
      <c r="E17" s="121">
        <v>29</v>
      </c>
      <c r="F17" s="121">
        <v>3</v>
      </c>
      <c r="G17" s="117">
        <v>0</v>
      </c>
    </row>
    <row r="18" spans="1:7" s="62" customFormat="1" ht="10.199999999999999" x14ac:dyDescent="0.2">
      <c r="A18" s="586" t="s">
        <v>889</v>
      </c>
      <c r="B18" s="117">
        <f t="shared" si="0"/>
        <v>110</v>
      </c>
      <c r="C18" s="121">
        <v>0</v>
      </c>
      <c r="D18" s="121">
        <v>5</v>
      </c>
      <c r="E18" s="121">
        <v>92</v>
      </c>
      <c r="F18" s="121">
        <v>13</v>
      </c>
      <c r="G18" s="117">
        <v>0</v>
      </c>
    </row>
    <row r="19" spans="1:7" s="62" customFormat="1" ht="10.199999999999999" x14ac:dyDescent="0.2">
      <c r="A19" s="586" t="s">
        <v>895</v>
      </c>
      <c r="B19" s="117">
        <f t="shared" si="0"/>
        <v>45</v>
      </c>
      <c r="C19" s="121">
        <v>0</v>
      </c>
      <c r="D19" s="121">
        <v>0</v>
      </c>
      <c r="E19" s="121">
        <v>43</v>
      </c>
      <c r="F19" s="121">
        <v>2</v>
      </c>
      <c r="G19" s="117">
        <v>0</v>
      </c>
    </row>
    <row r="20" spans="1:7" s="62" customFormat="1" ht="10.199999999999999" x14ac:dyDescent="0.2">
      <c r="A20" s="586" t="s">
        <v>928</v>
      </c>
      <c r="B20" s="117">
        <f t="shared" si="0"/>
        <v>42</v>
      </c>
      <c r="C20" s="121">
        <v>0</v>
      </c>
      <c r="D20" s="121">
        <v>4</v>
      </c>
      <c r="E20" s="121">
        <v>35</v>
      </c>
      <c r="F20" s="121">
        <v>3</v>
      </c>
      <c r="G20" s="117">
        <v>0</v>
      </c>
    </row>
    <row r="21" spans="1:7" s="62" customFormat="1" ht="10.199999999999999" x14ac:dyDescent="0.2">
      <c r="A21" s="586" t="s">
        <v>1030</v>
      </c>
      <c r="B21" s="117">
        <f t="shared" si="0"/>
        <v>90</v>
      </c>
      <c r="C21" s="121">
        <v>0</v>
      </c>
      <c r="D21" s="121">
        <v>1</v>
      </c>
      <c r="E21" s="121">
        <v>79</v>
      </c>
      <c r="F21" s="121">
        <v>10</v>
      </c>
      <c r="G21" s="117">
        <v>0</v>
      </c>
    </row>
    <row r="22" spans="1:7" s="62" customFormat="1" ht="10.199999999999999" x14ac:dyDescent="0.2">
      <c r="A22" s="586" t="s">
        <v>1031</v>
      </c>
      <c r="B22" s="117">
        <f t="shared" si="0"/>
        <v>6</v>
      </c>
      <c r="C22" s="121">
        <v>0</v>
      </c>
      <c r="D22" s="121">
        <v>0</v>
      </c>
      <c r="E22" s="121">
        <v>6</v>
      </c>
      <c r="F22" s="121">
        <v>0</v>
      </c>
      <c r="G22" s="117">
        <v>0</v>
      </c>
    </row>
    <row r="23" spans="1:7" s="62" customFormat="1" ht="10.199999999999999" x14ac:dyDescent="0.2">
      <c r="A23" s="586" t="s">
        <v>934</v>
      </c>
      <c r="B23" s="117">
        <f t="shared" si="0"/>
        <v>5</v>
      </c>
      <c r="C23" s="121">
        <v>0</v>
      </c>
      <c r="D23" s="121">
        <v>1</v>
      </c>
      <c r="E23" s="121">
        <v>4</v>
      </c>
      <c r="F23" s="121">
        <v>0</v>
      </c>
      <c r="G23" s="117">
        <v>0</v>
      </c>
    </row>
    <row r="24" spans="1:7" s="62" customFormat="1" ht="10.199999999999999" x14ac:dyDescent="0.2">
      <c r="A24" s="586"/>
      <c r="B24" s="581"/>
      <c r="G24" s="611"/>
    </row>
    <row r="25" spans="1:7" s="62" customFormat="1" ht="10.199999999999999" x14ac:dyDescent="0.2">
      <c r="A25" s="569" t="s">
        <v>19</v>
      </c>
      <c r="B25" s="569"/>
      <c r="C25" s="569"/>
      <c r="D25" s="569"/>
      <c r="E25" s="569"/>
      <c r="F25" s="569"/>
      <c r="G25" s="569"/>
    </row>
    <row r="26" spans="1:7" s="62" customFormat="1" ht="10.199999999999999" x14ac:dyDescent="0.2">
      <c r="A26" s="384" t="s">
        <v>1033</v>
      </c>
      <c r="B26" s="384"/>
      <c r="C26" s="384"/>
      <c r="D26" s="384"/>
      <c r="E26" s="384"/>
      <c r="F26" s="384"/>
      <c r="G26" s="384"/>
    </row>
    <row r="27" spans="1:7" s="62" customFormat="1" ht="10.199999999999999" x14ac:dyDescent="0.2"/>
    <row r="28" spans="1:7" s="62" customFormat="1" ht="10.199999999999999" x14ac:dyDescent="0.2"/>
    <row r="29" spans="1:7" s="62" customFormat="1" ht="10.199999999999999" x14ac:dyDescent="0.2"/>
    <row r="30" spans="1:7" s="62" customFormat="1" ht="10.199999999999999" x14ac:dyDescent="0.2"/>
    <row r="31" spans="1:7" s="62" customFormat="1" ht="10.199999999999999" x14ac:dyDescent="0.2"/>
    <row r="32" spans="1:7" s="62" customFormat="1" ht="10.199999999999999" x14ac:dyDescent="0.2"/>
    <row r="33" s="62" customFormat="1" ht="10.199999999999999" x14ac:dyDescent="0.2"/>
    <row r="34" s="62" customFormat="1" ht="10.199999999999999" x14ac:dyDescent="0.2"/>
  </sheetData>
  <mergeCells count="5">
    <mergeCell ref="A4:A5"/>
    <mergeCell ref="B4:B5"/>
    <mergeCell ref="C4:G4"/>
    <mergeCell ref="A25:G25"/>
    <mergeCell ref="A26:G26"/>
  </mergeCells>
  <pageMargins left="0.70866141732283472" right="0.70866141732283472" top="0.74803149606299213" bottom="0.74803149606299213" header="0.31496062992125984" footer="0.31496062992125984"/>
  <pageSetup paperSize="14" orientation="portrait" verticalDpi="599"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523CC7-593E-41DC-B20E-0923CE42FD30}">
  <sheetPr codeName="Hoja59"/>
  <dimension ref="A2:P31"/>
  <sheetViews>
    <sheetView workbookViewId="0">
      <selection activeCell="B31" sqref="B31"/>
    </sheetView>
  </sheetViews>
  <sheetFormatPr baseColWidth="10" defaultRowHeight="13.2" x14ac:dyDescent="0.25"/>
  <cols>
    <col min="1" max="1" width="26.33203125" style="79" customWidth="1"/>
    <col min="2" max="16384" width="11.5546875" style="79"/>
  </cols>
  <sheetData>
    <row r="2" spans="1:16" s="62" customFormat="1" ht="27.75" customHeight="1" x14ac:dyDescent="0.25">
      <c r="A2" s="157" t="s">
        <v>821</v>
      </c>
      <c r="B2" s="157"/>
      <c r="C2" s="157"/>
      <c r="D2" s="157"/>
      <c r="E2" s="157"/>
      <c r="F2" s="157"/>
      <c r="G2" s="612"/>
      <c r="H2" s="612"/>
      <c r="M2" s="612"/>
      <c r="N2" s="79"/>
      <c r="O2" s="79"/>
      <c r="P2" s="79"/>
    </row>
    <row r="3" spans="1:16" s="62" customFormat="1" ht="10.5" customHeight="1" x14ac:dyDescent="0.25">
      <c r="B3" s="613"/>
      <c r="C3" s="613"/>
      <c r="D3" s="613"/>
      <c r="J3" s="79"/>
      <c r="K3" s="79"/>
      <c r="L3" s="79"/>
      <c r="N3" s="79"/>
      <c r="O3" s="79"/>
      <c r="P3" s="79"/>
    </row>
    <row r="4" spans="1:16" s="70" customFormat="1" ht="27.75" customHeight="1" x14ac:dyDescent="0.25">
      <c r="A4" s="72" t="s">
        <v>1044</v>
      </c>
      <c r="B4" s="72" t="s">
        <v>1045</v>
      </c>
      <c r="C4" s="72" t="s">
        <v>1046</v>
      </c>
      <c r="D4" s="72" t="s">
        <v>1047</v>
      </c>
      <c r="E4" s="72" t="s">
        <v>1048</v>
      </c>
      <c r="F4" s="72">
        <v>2013</v>
      </c>
      <c r="J4" s="614"/>
      <c r="N4" s="615"/>
      <c r="O4" s="615"/>
      <c r="P4" s="615"/>
    </row>
    <row r="5" spans="1:16" s="63" customFormat="1" x14ac:dyDescent="0.25">
      <c r="A5" s="590" t="s">
        <v>3</v>
      </c>
      <c r="B5" s="212">
        <f>SUM(B6:B23)</f>
        <v>6031</v>
      </c>
      <c r="C5" s="212">
        <f>SUM(C6:C23)</f>
        <v>5369</v>
      </c>
      <c r="D5" s="212">
        <f>SUM(D6:D23)</f>
        <v>4465</v>
      </c>
      <c r="E5" s="212">
        <f>SUM(E6:E23)</f>
        <v>3327</v>
      </c>
      <c r="F5" s="212">
        <f>SUM(F6:F23)</f>
        <v>2888</v>
      </c>
      <c r="G5" s="212"/>
      <c r="H5" s="212"/>
      <c r="I5" s="616"/>
      <c r="J5" s="90"/>
      <c r="K5" s="90"/>
      <c r="L5" s="90"/>
      <c r="M5" s="90"/>
      <c r="N5" s="79"/>
      <c r="O5" s="79"/>
      <c r="P5" s="79"/>
    </row>
    <row r="6" spans="1:16" s="62" customFormat="1" ht="10.5" customHeight="1" x14ac:dyDescent="0.25">
      <c r="A6" s="617" t="s">
        <v>4</v>
      </c>
      <c r="B6" s="90">
        <v>266</v>
      </c>
      <c r="C6" s="605">
        <v>192</v>
      </c>
      <c r="D6" s="605">
        <v>177</v>
      </c>
      <c r="E6" s="90">
        <v>82</v>
      </c>
      <c r="F6" s="62">
        <v>95</v>
      </c>
      <c r="G6" s="90"/>
      <c r="H6" s="90"/>
      <c r="I6" s="617"/>
      <c r="J6" s="90"/>
      <c r="K6" s="605"/>
      <c r="L6" s="605"/>
      <c r="M6" s="90"/>
      <c r="N6" s="79"/>
      <c r="O6" s="79"/>
      <c r="P6" s="79"/>
    </row>
    <row r="7" spans="1:16" s="62" customFormat="1" ht="10.5" customHeight="1" x14ac:dyDescent="0.25">
      <c r="A7" s="107" t="s">
        <v>5</v>
      </c>
      <c r="B7" s="90">
        <v>217</v>
      </c>
      <c r="C7" s="605">
        <v>232</v>
      </c>
      <c r="D7" s="605">
        <v>224</v>
      </c>
      <c r="E7" s="90">
        <v>207</v>
      </c>
      <c r="F7" s="62">
        <v>208</v>
      </c>
      <c r="G7" s="90"/>
      <c r="H7" s="90"/>
      <c r="I7" s="107"/>
      <c r="J7" s="90"/>
      <c r="K7" s="605"/>
      <c r="L7" s="605"/>
      <c r="M7" s="90"/>
      <c r="N7" s="79"/>
      <c r="O7" s="79"/>
      <c r="P7" s="79"/>
    </row>
    <row r="8" spans="1:16" s="62" customFormat="1" ht="10.5" customHeight="1" x14ac:dyDescent="0.25">
      <c r="A8" s="107" t="s">
        <v>6</v>
      </c>
      <c r="B8" s="90">
        <v>236</v>
      </c>
      <c r="C8" s="605">
        <v>252</v>
      </c>
      <c r="D8" s="605">
        <v>163</v>
      </c>
      <c r="E8" s="90">
        <v>128</v>
      </c>
      <c r="F8" s="62">
        <v>111</v>
      </c>
      <c r="G8" s="90"/>
      <c r="H8" s="90"/>
      <c r="I8" s="107"/>
      <c r="J8" s="90"/>
      <c r="K8" s="605"/>
      <c r="L8" s="605"/>
      <c r="M8" s="90"/>
      <c r="N8" s="79"/>
      <c r="O8" s="79"/>
      <c r="P8" s="79"/>
    </row>
    <row r="9" spans="1:16" s="62" customFormat="1" ht="10.5" customHeight="1" x14ac:dyDescent="0.25">
      <c r="A9" s="107" t="s">
        <v>7</v>
      </c>
      <c r="B9" s="90">
        <v>110</v>
      </c>
      <c r="C9" s="605">
        <v>73</v>
      </c>
      <c r="D9" s="605">
        <v>55</v>
      </c>
      <c r="E9" s="90">
        <v>50</v>
      </c>
      <c r="F9" s="62">
        <v>71</v>
      </c>
      <c r="G9" s="90"/>
      <c r="H9" s="90"/>
      <c r="I9" s="107"/>
      <c r="J9" s="90"/>
      <c r="K9" s="605"/>
      <c r="L9" s="605"/>
      <c r="M9" s="90"/>
      <c r="N9" s="79"/>
      <c r="O9" s="79"/>
      <c r="P9" s="79"/>
    </row>
    <row r="10" spans="1:16" s="62" customFormat="1" ht="10.5" customHeight="1" x14ac:dyDescent="0.25">
      <c r="A10" s="107" t="s">
        <v>8</v>
      </c>
      <c r="B10" s="90">
        <v>197</v>
      </c>
      <c r="C10" s="605">
        <v>201</v>
      </c>
      <c r="D10" s="605">
        <v>94</v>
      </c>
      <c r="E10" s="90">
        <v>95</v>
      </c>
      <c r="F10" s="62">
        <v>125</v>
      </c>
      <c r="G10" s="90"/>
      <c r="H10" s="90"/>
      <c r="I10" s="107"/>
      <c r="J10" s="90"/>
      <c r="K10" s="605"/>
      <c r="L10" s="605"/>
      <c r="M10" s="90"/>
      <c r="N10" s="79"/>
      <c r="O10" s="79"/>
      <c r="P10" s="79"/>
    </row>
    <row r="11" spans="1:16" s="62" customFormat="1" ht="10.5" customHeight="1" x14ac:dyDescent="0.25">
      <c r="A11" s="107" t="s">
        <v>9</v>
      </c>
      <c r="B11" s="90">
        <v>620</v>
      </c>
      <c r="C11" s="605">
        <v>634</v>
      </c>
      <c r="D11" s="605">
        <v>552</v>
      </c>
      <c r="E11" s="90">
        <v>404</v>
      </c>
      <c r="F11" s="62">
        <v>351</v>
      </c>
      <c r="G11" s="90"/>
      <c r="H11" s="90"/>
      <c r="I11" s="107"/>
      <c r="J11" s="90"/>
      <c r="K11" s="605"/>
      <c r="L11" s="605"/>
      <c r="M11" s="90"/>
      <c r="N11" s="79"/>
      <c r="O11" s="79"/>
      <c r="P11" s="79"/>
    </row>
    <row r="12" spans="1:16" s="62" customFormat="1" x14ac:dyDescent="0.25">
      <c r="A12" s="94" t="s">
        <v>1049</v>
      </c>
      <c r="B12" s="90">
        <v>1082</v>
      </c>
      <c r="C12" s="605">
        <v>997</v>
      </c>
      <c r="D12" s="605">
        <v>766</v>
      </c>
      <c r="E12" s="90">
        <v>593</v>
      </c>
      <c r="F12" s="62">
        <v>533</v>
      </c>
      <c r="G12" s="90"/>
      <c r="H12" s="90"/>
      <c r="I12" s="94"/>
      <c r="J12" s="90"/>
      <c r="K12" s="605"/>
      <c r="L12" s="605"/>
      <c r="M12" s="90"/>
      <c r="N12" s="79"/>
      <c r="O12" s="79"/>
      <c r="P12" s="79"/>
    </row>
    <row r="13" spans="1:16" s="62" customFormat="1" x14ac:dyDescent="0.25">
      <c r="A13" s="62" t="s">
        <v>1050</v>
      </c>
      <c r="B13" s="90">
        <v>370</v>
      </c>
      <c r="C13" s="605">
        <v>344</v>
      </c>
      <c r="D13" s="605">
        <v>265</v>
      </c>
      <c r="E13" s="90">
        <v>181</v>
      </c>
      <c r="F13" s="62">
        <v>180</v>
      </c>
      <c r="G13" s="90"/>
      <c r="H13" s="90"/>
      <c r="J13" s="90"/>
      <c r="K13" s="605"/>
      <c r="L13" s="605"/>
      <c r="M13" s="90"/>
      <c r="N13" s="79"/>
      <c r="O13" s="79"/>
      <c r="P13" s="79"/>
    </row>
    <row r="14" spans="1:16" s="62" customFormat="1" x14ac:dyDescent="0.25">
      <c r="A14" s="62" t="s">
        <v>1051</v>
      </c>
      <c r="B14" s="90">
        <v>680</v>
      </c>
      <c r="C14" s="605">
        <v>501</v>
      </c>
      <c r="D14" s="605">
        <v>474</v>
      </c>
      <c r="E14" s="90">
        <v>250</v>
      </c>
      <c r="F14" s="62">
        <v>203</v>
      </c>
      <c r="G14" s="90"/>
      <c r="H14" s="90"/>
      <c r="J14" s="90"/>
      <c r="K14" s="605"/>
      <c r="L14" s="605"/>
      <c r="M14" s="90"/>
      <c r="N14" s="79"/>
      <c r="O14" s="79"/>
      <c r="P14" s="79"/>
    </row>
    <row r="15" spans="1:16" s="62" customFormat="1" x14ac:dyDescent="0.25">
      <c r="A15" s="62" t="s">
        <v>1052</v>
      </c>
      <c r="B15" s="90">
        <v>688</v>
      </c>
      <c r="C15" s="605">
        <v>571</v>
      </c>
      <c r="D15" s="605">
        <v>478</v>
      </c>
      <c r="E15" s="90">
        <v>364</v>
      </c>
      <c r="F15" s="62">
        <v>255</v>
      </c>
      <c r="G15" s="90"/>
      <c r="H15" s="90"/>
      <c r="J15" s="90"/>
      <c r="K15" s="605"/>
      <c r="L15" s="605"/>
      <c r="M15" s="90"/>
      <c r="N15" s="79"/>
      <c r="O15" s="79"/>
      <c r="P15" s="79"/>
    </row>
    <row r="16" spans="1:16" s="62" customFormat="1" x14ac:dyDescent="0.25">
      <c r="A16" s="617" t="s">
        <v>134</v>
      </c>
      <c r="B16" s="90">
        <v>269</v>
      </c>
      <c r="C16" s="605">
        <v>254</v>
      </c>
      <c r="D16" s="605">
        <v>249</v>
      </c>
      <c r="E16" s="90">
        <v>215</v>
      </c>
      <c r="F16" s="62">
        <v>155</v>
      </c>
      <c r="G16" s="90"/>
      <c r="H16" s="90"/>
      <c r="I16" s="617"/>
      <c r="J16" s="90"/>
      <c r="K16" s="605"/>
      <c r="L16" s="605"/>
      <c r="M16" s="90"/>
      <c r="N16" s="79"/>
      <c r="O16" s="79"/>
      <c r="P16" s="79"/>
    </row>
    <row r="17" spans="1:16" s="62" customFormat="1" x14ac:dyDescent="0.25">
      <c r="A17" s="107" t="s">
        <v>12</v>
      </c>
      <c r="B17" s="90">
        <v>314</v>
      </c>
      <c r="C17" s="605">
        <v>202</v>
      </c>
      <c r="D17" s="605">
        <v>149</v>
      </c>
      <c r="E17" s="90">
        <v>158</v>
      </c>
      <c r="F17" s="62">
        <v>114</v>
      </c>
      <c r="G17" s="90"/>
      <c r="H17" s="90"/>
      <c r="I17" s="107"/>
      <c r="J17" s="90"/>
      <c r="K17" s="605"/>
      <c r="L17" s="605"/>
      <c r="M17" s="90"/>
      <c r="N17" s="79"/>
      <c r="O17" s="79"/>
      <c r="P17" s="79"/>
    </row>
    <row r="18" spans="1:16" s="62" customFormat="1" ht="10.5" customHeight="1" x14ac:dyDescent="0.25">
      <c r="A18" s="107" t="s">
        <v>13</v>
      </c>
      <c r="B18" s="90">
        <v>490</v>
      </c>
      <c r="C18" s="605">
        <v>353</v>
      </c>
      <c r="D18" s="605">
        <v>352</v>
      </c>
      <c r="E18" s="90">
        <v>250</v>
      </c>
      <c r="F18" s="62">
        <v>213</v>
      </c>
      <c r="G18" s="90"/>
      <c r="H18" s="90"/>
      <c r="I18" s="107"/>
      <c r="J18" s="90"/>
      <c r="K18" s="605"/>
      <c r="L18" s="605"/>
      <c r="M18" s="90"/>
      <c r="N18" s="79"/>
      <c r="O18" s="79"/>
      <c r="P18" s="79"/>
    </row>
    <row r="19" spans="1:16" s="62" customFormat="1" ht="10.5" customHeight="1" x14ac:dyDescent="0.25">
      <c r="A19" s="107" t="s">
        <v>14</v>
      </c>
      <c r="B19" s="90">
        <v>152</v>
      </c>
      <c r="C19" s="605">
        <v>192</v>
      </c>
      <c r="D19" s="605">
        <v>113</v>
      </c>
      <c r="E19" s="90">
        <v>66</v>
      </c>
      <c r="F19" s="62">
        <v>89</v>
      </c>
      <c r="G19" s="90"/>
      <c r="H19" s="90"/>
      <c r="I19" s="107"/>
      <c r="J19" s="90"/>
      <c r="K19" s="605"/>
      <c r="L19" s="605"/>
      <c r="M19" s="90"/>
      <c r="N19" s="79"/>
      <c r="O19" s="79"/>
      <c r="P19" s="79"/>
    </row>
    <row r="20" spans="1:16" s="62" customFormat="1" ht="10.5" customHeight="1" x14ac:dyDescent="0.25">
      <c r="A20" s="107" t="s">
        <v>135</v>
      </c>
      <c r="B20" s="90">
        <v>69</v>
      </c>
      <c r="C20" s="605">
        <v>63</v>
      </c>
      <c r="D20" s="605">
        <v>49</v>
      </c>
      <c r="E20" s="90">
        <v>40</v>
      </c>
      <c r="F20" s="62">
        <v>36</v>
      </c>
      <c r="G20" s="90"/>
      <c r="H20" s="90"/>
      <c r="I20" s="107"/>
      <c r="J20" s="90"/>
      <c r="K20" s="605"/>
      <c r="L20" s="605"/>
      <c r="M20" s="90"/>
      <c r="N20" s="79"/>
      <c r="O20" s="79"/>
      <c r="P20" s="79"/>
    </row>
    <row r="21" spans="1:16" s="62" customFormat="1" ht="10.5" customHeight="1" x14ac:dyDescent="0.25">
      <c r="A21" s="107" t="s">
        <v>136</v>
      </c>
      <c r="B21" s="90">
        <v>235</v>
      </c>
      <c r="C21" s="605">
        <v>278</v>
      </c>
      <c r="D21" s="605">
        <v>264</v>
      </c>
      <c r="E21" s="90">
        <v>220</v>
      </c>
      <c r="F21" s="62">
        <v>131</v>
      </c>
      <c r="G21" s="90"/>
      <c r="H21" s="90"/>
      <c r="I21" s="107"/>
      <c r="J21" s="90"/>
      <c r="K21" s="605"/>
      <c r="L21" s="605"/>
      <c r="M21" s="90"/>
      <c r="N21" s="79"/>
      <c r="O21" s="79"/>
      <c r="P21" s="79"/>
    </row>
    <row r="22" spans="1:16" s="62" customFormat="1" ht="10.5" customHeight="1" x14ac:dyDescent="0.25">
      <c r="A22" s="107" t="s">
        <v>17</v>
      </c>
      <c r="B22" s="90">
        <v>14</v>
      </c>
      <c r="C22" s="605">
        <v>11</v>
      </c>
      <c r="D22" s="605">
        <v>11</v>
      </c>
      <c r="E22" s="90">
        <v>3</v>
      </c>
      <c r="F22" s="62">
        <v>2</v>
      </c>
      <c r="G22" s="90"/>
      <c r="H22" s="90"/>
      <c r="I22" s="107"/>
      <c r="J22" s="90"/>
      <c r="K22" s="605"/>
      <c r="L22" s="605"/>
      <c r="M22" s="90"/>
      <c r="N22" s="79"/>
      <c r="O22" s="79"/>
      <c r="P22" s="79"/>
    </row>
    <row r="23" spans="1:16" s="62" customFormat="1" ht="10.5" customHeight="1" x14ac:dyDescent="0.25">
      <c r="A23" s="617" t="s">
        <v>18</v>
      </c>
      <c r="B23" s="90">
        <v>22</v>
      </c>
      <c r="C23" s="605">
        <v>19</v>
      </c>
      <c r="D23" s="605">
        <v>30</v>
      </c>
      <c r="E23" s="90">
        <v>21</v>
      </c>
      <c r="F23" s="62">
        <v>16</v>
      </c>
      <c r="G23" s="90"/>
      <c r="H23" s="90"/>
      <c r="I23" s="617"/>
      <c r="J23" s="90"/>
      <c r="K23" s="605"/>
      <c r="L23" s="605"/>
      <c r="M23" s="90"/>
      <c r="N23" s="79"/>
      <c r="O23" s="79"/>
      <c r="P23" s="79"/>
    </row>
    <row r="24" spans="1:16" s="62" customFormat="1" ht="5.25" customHeight="1" x14ac:dyDescent="0.25">
      <c r="B24" s="90"/>
      <c r="C24" s="605"/>
      <c r="D24" s="605"/>
      <c r="E24" s="90"/>
      <c r="G24" s="90"/>
      <c r="H24" s="90"/>
      <c r="J24" s="90"/>
      <c r="K24" s="605"/>
      <c r="L24" s="605"/>
      <c r="M24" s="90"/>
      <c r="N24" s="79"/>
      <c r="O24" s="79"/>
      <c r="P24" s="79"/>
    </row>
    <row r="25" spans="1:16" s="62" customFormat="1" x14ac:dyDescent="0.25">
      <c r="A25" s="384" t="s">
        <v>1053</v>
      </c>
      <c r="B25" s="384"/>
      <c r="C25" s="384"/>
      <c r="D25" s="384"/>
      <c r="E25" s="384"/>
      <c r="F25" s="384"/>
      <c r="N25" s="79"/>
      <c r="O25" s="79"/>
      <c r="P25" s="79"/>
    </row>
    <row r="26" spans="1:16" s="62" customFormat="1" x14ac:dyDescent="0.25">
      <c r="A26" s="94" t="s">
        <v>1054</v>
      </c>
      <c r="B26" s="490"/>
      <c r="C26" s="490"/>
      <c r="D26" s="490"/>
      <c r="E26" s="490"/>
      <c r="F26" s="490"/>
      <c r="N26" s="79"/>
      <c r="O26" s="79"/>
      <c r="P26" s="79"/>
    </row>
    <row r="27" spans="1:16" s="62" customFormat="1" x14ac:dyDescent="0.25">
      <c r="A27" s="62" t="s">
        <v>1055</v>
      </c>
      <c r="B27" s="490"/>
      <c r="C27" s="490"/>
      <c r="D27" s="490"/>
      <c r="E27" s="490"/>
      <c r="F27" s="490"/>
      <c r="N27" s="79"/>
      <c r="O27" s="79"/>
      <c r="P27" s="79"/>
    </row>
    <row r="28" spans="1:16" s="62" customFormat="1" x14ac:dyDescent="0.25">
      <c r="A28" s="62" t="s">
        <v>1056</v>
      </c>
      <c r="B28" s="490"/>
      <c r="C28" s="490"/>
      <c r="D28" s="490"/>
      <c r="E28" s="490"/>
      <c r="F28" s="490"/>
      <c r="N28" s="79"/>
      <c r="O28" s="79"/>
      <c r="P28" s="79"/>
    </row>
    <row r="29" spans="1:16" s="62" customFormat="1" x14ac:dyDescent="0.25">
      <c r="A29" s="62" t="s">
        <v>1057</v>
      </c>
      <c r="B29" s="490"/>
      <c r="C29" s="490"/>
      <c r="D29" s="490"/>
      <c r="E29" s="490"/>
      <c r="F29" s="490"/>
      <c r="N29" s="79"/>
      <c r="O29" s="79"/>
      <c r="P29" s="79"/>
    </row>
    <row r="30" spans="1:16" s="62" customFormat="1" x14ac:dyDescent="0.25">
      <c r="A30" s="384" t="s">
        <v>1058</v>
      </c>
      <c r="B30" s="384"/>
      <c r="C30" s="384"/>
      <c r="D30" s="384"/>
      <c r="E30" s="384"/>
      <c r="F30" s="384"/>
      <c r="J30" s="90"/>
      <c r="K30" s="90"/>
      <c r="L30" s="90"/>
      <c r="N30" s="79"/>
      <c r="O30" s="79"/>
      <c r="P30" s="79"/>
    </row>
    <row r="31" spans="1:16" s="62" customFormat="1" x14ac:dyDescent="0.25">
      <c r="A31" s="490"/>
      <c r="B31" s="490"/>
      <c r="C31" s="490"/>
      <c r="D31" s="490"/>
      <c r="E31" s="490"/>
      <c r="F31" s="490"/>
      <c r="J31" s="90"/>
      <c r="K31" s="90"/>
      <c r="L31" s="90"/>
      <c r="N31" s="79"/>
      <c r="O31" s="79"/>
      <c r="P31" s="79"/>
    </row>
  </sheetData>
  <mergeCells count="4">
    <mergeCell ref="A2:F2"/>
    <mergeCell ref="B3:D3"/>
    <mergeCell ref="A25:F25"/>
    <mergeCell ref="A30:F30"/>
  </mergeCells>
  <pageMargins left="0.70866141732283472" right="0.70866141732283472" top="0.74803149606299213" bottom="0.74803149606299213" header="0.31496062992125984" footer="0.31496062992125984"/>
  <pageSetup paperSize="14" orientation="portrait" verticalDpi="599"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DB265-6175-48DC-818F-BD895419F333}">
  <sheetPr codeName="Hoja6">
    <tabColor theme="8"/>
  </sheetPr>
  <dimension ref="A2:A9"/>
  <sheetViews>
    <sheetView zoomScaleNormal="100" workbookViewId="0">
      <selection activeCell="A9" sqref="A9"/>
    </sheetView>
  </sheetViews>
  <sheetFormatPr baseColWidth="10" defaultColWidth="11.44140625" defaultRowHeight="10.199999999999999" x14ac:dyDescent="0.2"/>
  <cols>
    <col min="1" max="16384" width="11.44140625" style="62"/>
  </cols>
  <sheetData>
    <row r="2" spans="1:1" x14ac:dyDescent="0.2">
      <c r="A2" s="63" t="s">
        <v>90</v>
      </c>
    </row>
    <row r="4" spans="1:1" x14ac:dyDescent="0.2">
      <c r="A4" s="1708" t="s">
        <v>91</v>
      </c>
    </row>
    <row r="5" spans="1:1" x14ac:dyDescent="0.2">
      <c r="A5" s="1708" t="s">
        <v>92</v>
      </c>
    </row>
    <row r="6" spans="1:1" x14ac:dyDescent="0.2">
      <c r="A6" s="1708" t="s">
        <v>93</v>
      </c>
    </row>
    <row r="7" spans="1:1" x14ac:dyDescent="0.2">
      <c r="A7" s="1708" t="s">
        <v>94</v>
      </c>
    </row>
    <row r="8" spans="1:1" x14ac:dyDescent="0.2">
      <c r="A8" s="1708" t="s">
        <v>95</v>
      </c>
    </row>
    <row r="9" spans="1:1" x14ac:dyDescent="0.2">
      <c r="A9" s="1708" t="s">
        <v>96</v>
      </c>
    </row>
  </sheetData>
  <hyperlinks>
    <hyperlink ref="A4" location="'2.2-01'!A1" display="CUADRO 2.2-01: NÚMERO DE INSCRIPCIONES, CERTIFICADOS Y CONSULTAS REALIZADAS EN EL DEPARTAMENTO DE DERECHOS INTELECTUALES DE LA DIRECCIÓN DE BIBLIOTECAS, ARCHIVOS Y MUSEOS (DIBAM), SEGÚN ÍTEM. 2009-2013" xr:uid="{A4B637BF-C3F7-4ACF-BB3A-ED748C409587}"/>
    <hyperlink ref="A5" location="'2.2-02'!A1" display="CUADRO 2.2-02: NÚMERO DE INSCRIPCIONES EN MATERIA DE DERECHOS DE AUTOR REGISTRADOS EN EL DEPARTAMENTO DE DERECHOS INTELECTUALES DE LA DIRECCIÓN DE BIBLIOTECAS, ARCHIVOS Y MUSEOS (DIBAM), SEGÚN TIPO DE REGISTRO. 2009-2013 " xr:uid="{DAFE0FDF-97E0-42A7-9FC0-667A929BFF29}"/>
    <hyperlink ref="A6" location="'2.2-03'!A1" display="CUADRO 2.2-03: NÚMERO DE INSCRIPCIONES EN MATERIA DE DERECHOS DE AUTOR A NIVEL NACIONAL REGISTRADOS EN EL DEPARTAMENTO DE DERECHOS INTELECTUALES DE LA DIRECCIÓN DE BIBLIOTECAS, ARCHIVOS Y MUSEOS (DIBAM), SEGÚN SEXO Y TIPO DE SOLICITANTE. 2009-2013/1" xr:uid="{1C919DBA-806E-4B11-BFDD-C0AC410BAD72}"/>
    <hyperlink ref="A7" location="'2.2-04'!A1" display="CUADRO 2.2-04: INSCRIPCIÓN DE DERECHOS DE AUTOR, DERECHOS CONEXOS Y SEUDÓNIMOS, SEGÚN ORIGEN DE LA SOLICITUD, REGIÓN Y NACIONALIDAD (NACIONAL Y EXTRANJERA). 2009-2013/1" xr:uid="{20C0076A-54EF-4A90-87BB-8EA082FA0542}"/>
    <hyperlink ref="A8" location="'2.2-05'!A1" display="CUADRO 2.2-05: RECAUDACIÓN DE DERECHOS DE AUTOR, SEGÚN INSTITUCIÓN. 2009–2013" xr:uid="{69DE4E77-D59D-4BCB-8F2B-2D0BDD03D308}"/>
    <hyperlink ref="A9" location="'2.2-06'!A1" display="CUADRO 2.2-06: DISTRIBUCIÓN DE DERECHOS DE AUTOR, SEGÚN INSTITUCIÓN. 2009-2013" xr:uid="{FFC52C02-1C57-404E-8E02-FED0A046C15A}"/>
  </hyperlinks>
  <pageMargins left="0.7" right="0.7" top="0.75" bottom="0.75" header="0.3" footer="0.3"/>
  <pageSetup paperSize="14"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FE21F-37DB-4CA7-BA90-2272ACE01BB1}">
  <sheetPr codeName="Hoja60"/>
  <dimension ref="A1:O31"/>
  <sheetViews>
    <sheetView workbookViewId="0">
      <selection activeCell="B31" sqref="B31"/>
    </sheetView>
  </sheetViews>
  <sheetFormatPr baseColWidth="10" defaultRowHeight="13.2" x14ac:dyDescent="0.25"/>
  <cols>
    <col min="1" max="1" width="29.44140625" style="79" customWidth="1"/>
    <col min="2" max="16384" width="11.5546875" style="79"/>
  </cols>
  <sheetData>
    <row r="1" spans="1:15" x14ac:dyDescent="0.25">
      <c r="A1" s="615"/>
    </row>
    <row r="2" spans="1:15" s="62" customFormat="1" ht="25.5" customHeight="1" x14ac:dyDescent="0.2">
      <c r="A2" s="157" t="s">
        <v>822</v>
      </c>
      <c r="B2" s="157"/>
      <c r="C2" s="157"/>
      <c r="D2" s="157"/>
      <c r="E2" s="157"/>
      <c r="F2" s="157"/>
    </row>
    <row r="3" spans="1:15" s="62" customFormat="1" x14ac:dyDescent="0.25">
      <c r="B3" s="613"/>
      <c r="C3" s="613"/>
      <c r="D3" s="613"/>
    </row>
    <row r="4" spans="1:15" s="70" customFormat="1" ht="27.75" customHeight="1" x14ac:dyDescent="0.25">
      <c r="A4" s="72" t="s">
        <v>1044</v>
      </c>
      <c r="B4" s="72" t="s">
        <v>1045</v>
      </c>
      <c r="C4" s="72" t="s">
        <v>1046</v>
      </c>
      <c r="D4" s="72" t="s">
        <v>1047</v>
      </c>
      <c r="E4" s="72" t="s">
        <v>1048</v>
      </c>
      <c r="F4" s="72">
        <v>2013</v>
      </c>
    </row>
    <row r="5" spans="1:15" s="62" customFormat="1" ht="10.199999999999999" x14ac:dyDescent="0.2">
      <c r="A5" s="618" t="s">
        <v>3</v>
      </c>
      <c r="B5" s="212">
        <f>SUM(B6:B23)</f>
        <v>5701</v>
      </c>
      <c r="C5" s="212">
        <f>SUM(C6:C23)</f>
        <v>5392</v>
      </c>
      <c r="D5" s="212">
        <f>SUM(D6:D23)</f>
        <v>6207</v>
      </c>
      <c r="E5" s="212">
        <f>SUM(E6:E23)</f>
        <v>5173</v>
      </c>
      <c r="F5" s="212">
        <f>SUM(F6:F23)</f>
        <v>4384</v>
      </c>
      <c r="K5" s="605"/>
      <c r="L5" s="605"/>
      <c r="M5" s="605"/>
      <c r="N5" s="605"/>
      <c r="O5" s="605"/>
    </row>
    <row r="6" spans="1:15" s="62" customFormat="1" ht="10.199999999999999" x14ac:dyDescent="0.2">
      <c r="A6" s="617" t="s">
        <v>4</v>
      </c>
      <c r="B6" s="605">
        <v>263</v>
      </c>
      <c r="C6" s="605">
        <v>291</v>
      </c>
      <c r="D6" s="605">
        <v>219</v>
      </c>
      <c r="E6" s="605">
        <v>185</v>
      </c>
      <c r="F6" s="605">
        <v>154</v>
      </c>
      <c r="K6" s="605"/>
      <c r="L6" s="605"/>
      <c r="M6" s="605"/>
      <c r="N6" s="605"/>
      <c r="O6" s="605"/>
    </row>
    <row r="7" spans="1:15" s="62" customFormat="1" ht="10.199999999999999" x14ac:dyDescent="0.2">
      <c r="A7" s="107" t="s">
        <v>5</v>
      </c>
      <c r="B7" s="605">
        <v>181</v>
      </c>
      <c r="C7" s="605">
        <v>167</v>
      </c>
      <c r="D7" s="605">
        <v>269</v>
      </c>
      <c r="E7" s="605">
        <v>348</v>
      </c>
      <c r="F7" s="605">
        <v>256</v>
      </c>
      <c r="K7" s="605"/>
      <c r="L7" s="605"/>
      <c r="M7" s="605"/>
      <c r="N7" s="605"/>
      <c r="O7" s="605"/>
    </row>
    <row r="8" spans="1:15" s="62" customFormat="1" ht="10.199999999999999" x14ac:dyDescent="0.2">
      <c r="A8" s="107" t="s">
        <v>6</v>
      </c>
      <c r="B8" s="605">
        <v>260</v>
      </c>
      <c r="C8" s="605">
        <v>236</v>
      </c>
      <c r="D8" s="605">
        <v>224</v>
      </c>
      <c r="E8" s="605">
        <v>156</v>
      </c>
      <c r="F8" s="605">
        <v>151</v>
      </c>
      <c r="K8" s="605"/>
      <c r="L8" s="605"/>
      <c r="M8" s="605"/>
      <c r="N8" s="605"/>
      <c r="O8" s="605"/>
    </row>
    <row r="9" spans="1:15" s="62" customFormat="1" ht="10.199999999999999" x14ac:dyDescent="0.2">
      <c r="A9" s="107" t="s">
        <v>7</v>
      </c>
      <c r="B9" s="605">
        <v>120</v>
      </c>
      <c r="C9" s="605">
        <v>98</v>
      </c>
      <c r="D9" s="605">
        <v>69</v>
      </c>
      <c r="E9" s="605">
        <v>58</v>
      </c>
      <c r="F9" s="605">
        <v>85</v>
      </c>
      <c r="K9" s="605"/>
      <c r="L9" s="605"/>
      <c r="M9" s="605"/>
      <c r="N9" s="605"/>
      <c r="O9" s="605"/>
    </row>
    <row r="10" spans="1:15" s="62" customFormat="1" ht="10.199999999999999" x14ac:dyDescent="0.2">
      <c r="A10" s="107" t="s">
        <v>8</v>
      </c>
      <c r="B10" s="605">
        <v>250</v>
      </c>
      <c r="C10" s="605">
        <v>235</v>
      </c>
      <c r="D10" s="605">
        <v>164</v>
      </c>
      <c r="E10" s="605">
        <v>126</v>
      </c>
      <c r="F10" s="605">
        <v>159</v>
      </c>
      <c r="K10" s="605"/>
      <c r="L10" s="605"/>
      <c r="M10" s="605"/>
      <c r="N10" s="605"/>
      <c r="O10" s="605"/>
    </row>
    <row r="11" spans="1:15" s="62" customFormat="1" ht="10.199999999999999" x14ac:dyDescent="0.2">
      <c r="A11" s="107" t="s">
        <v>9</v>
      </c>
      <c r="B11" s="605">
        <v>574</v>
      </c>
      <c r="C11" s="605">
        <v>615</v>
      </c>
      <c r="D11" s="605">
        <v>723</v>
      </c>
      <c r="E11" s="605">
        <v>544</v>
      </c>
      <c r="F11" s="605">
        <v>486</v>
      </c>
      <c r="K11" s="605"/>
      <c r="L11" s="605"/>
      <c r="M11" s="605"/>
      <c r="N11" s="605"/>
      <c r="O11" s="605"/>
    </row>
    <row r="12" spans="1:15" s="62" customFormat="1" ht="11.25" customHeight="1" x14ac:dyDescent="0.2">
      <c r="A12" s="94" t="s">
        <v>1049</v>
      </c>
      <c r="B12" s="605">
        <v>801</v>
      </c>
      <c r="C12" s="605">
        <v>709</v>
      </c>
      <c r="D12" s="605">
        <v>1458</v>
      </c>
      <c r="E12" s="605">
        <v>891</v>
      </c>
      <c r="F12" s="605">
        <v>961</v>
      </c>
      <c r="K12" s="605"/>
      <c r="L12" s="605"/>
      <c r="M12" s="605"/>
      <c r="N12" s="605"/>
      <c r="O12" s="605"/>
    </row>
    <row r="13" spans="1:15" s="62" customFormat="1" ht="12" x14ac:dyDescent="0.2">
      <c r="A13" s="62" t="s">
        <v>1050</v>
      </c>
      <c r="B13" s="605">
        <v>344</v>
      </c>
      <c r="C13" s="605">
        <v>359</v>
      </c>
      <c r="D13" s="605">
        <v>359</v>
      </c>
      <c r="E13" s="605">
        <v>351</v>
      </c>
      <c r="F13" s="605">
        <v>259</v>
      </c>
      <c r="K13" s="605"/>
      <c r="L13" s="605"/>
      <c r="M13" s="605"/>
      <c r="N13" s="605"/>
      <c r="O13" s="605"/>
    </row>
    <row r="14" spans="1:15" s="62" customFormat="1" ht="12" x14ac:dyDescent="0.2">
      <c r="A14" s="62" t="s">
        <v>1051</v>
      </c>
      <c r="B14" s="605">
        <v>586</v>
      </c>
      <c r="C14" s="605">
        <v>597</v>
      </c>
      <c r="D14" s="605">
        <v>611</v>
      </c>
      <c r="E14" s="605">
        <v>644</v>
      </c>
      <c r="F14" s="605">
        <v>317</v>
      </c>
      <c r="K14" s="605"/>
      <c r="L14" s="605"/>
      <c r="M14" s="605"/>
      <c r="N14" s="605"/>
      <c r="O14" s="605"/>
    </row>
    <row r="15" spans="1:15" s="62" customFormat="1" ht="12" x14ac:dyDescent="0.2">
      <c r="A15" s="62" t="s">
        <v>1052</v>
      </c>
      <c r="B15" s="605">
        <v>571</v>
      </c>
      <c r="C15" s="605">
        <v>535</v>
      </c>
      <c r="D15" s="605">
        <v>627</v>
      </c>
      <c r="E15" s="605">
        <v>677</v>
      </c>
      <c r="F15" s="605">
        <v>422</v>
      </c>
      <c r="K15" s="605"/>
      <c r="L15" s="605"/>
      <c r="M15" s="605"/>
      <c r="N15" s="605"/>
      <c r="O15" s="605"/>
    </row>
    <row r="16" spans="1:15" s="62" customFormat="1" ht="10.199999999999999" x14ac:dyDescent="0.2">
      <c r="A16" s="617" t="s">
        <v>134</v>
      </c>
      <c r="B16" s="605">
        <v>310</v>
      </c>
      <c r="C16" s="605">
        <v>274</v>
      </c>
      <c r="D16" s="605">
        <v>286</v>
      </c>
      <c r="E16" s="605">
        <v>240</v>
      </c>
      <c r="F16" s="605">
        <v>246</v>
      </c>
      <c r="K16" s="605"/>
      <c r="L16" s="605"/>
      <c r="M16" s="605"/>
      <c r="N16" s="605"/>
      <c r="O16" s="605"/>
    </row>
    <row r="17" spans="1:15" s="62" customFormat="1" ht="10.199999999999999" x14ac:dyDescent="0.2">
      <c r="A17" s="107" t="s">
        <v>12</v>
      </c>
      <c r="B17" s="605">
        <v>348</v>
      </c>
      <c r="C17" s="605">
        <v>267</v>
      </c>
      <c r="D17" s="605">
        <v>213</v>
      </c>
      <c r="E17" s="605">
        <v>204</v>
      </c>
      <c r="F17" s="605">
        <v>203</v>
      </c>
      <c r="K17" s="605"/>
      <c r="L17" s="605"/>
      <c r="M17" s="605"/>
      <c r="N17" s="605"/>
      <c r="O17" s="605"/>
    </row>
    <row r="18" spans="1:15" s="62" customFormat="1" ht="10.199999999999999" x14ac:dyDescent="0.2">
      <c r="A18" s="107" t="s">
        <v>13</v>
      </c>
      <c r="B18" s="605">
        <v>530</v>
      </c>
      <c r="C18" s="605">
        <v>406</v>
      </c>
      <c r="D18" s="605">
        <v>458</v>
      </c>
      <c r="E18" s="605">
        <v>329</v>
      </c>
      <c r="F18" s="605">
        <v>293</v>
      </c>
      <c r="K18" s="605"/>
      <c r="L18" s="605"/>
      <c r="M18" s="605"/>
      <c r="N18" s="605"/>
      <c r="O18" s="605"/>
    </row>
    <row r="19" spans="1:15" s="62" customFormat="1" ht="10.199999999999999" x14ac:dyDescent="0.2">
      <c r="A19" s="107" t="s">
        <v>14</v>
      </c>
      <c r="B19" s="605">
        <v>154</v>
      </c>
      <c r="C19" s="605">
        <v>210</v>
      </c>
      <c r="D19" s="605">
        <v>152</v>
      </c>
      <c r="E19" s="605">
        <v>96</v>
      </c>
      <c r="F19" s="605">
        <v>104</v>
      </c>
      <c r="K19" s="605"/>
      <c r="L19" s="605"/>
      <c r="M19" s="605"/>
      <c r="N19" s="605"/>
      <c r="O19" s="605"/>
    </row>
    <row r="20" spans="1:15" s="62" customFormat="1" ht="10.199999999999999" x14ac:dyDescent="0.2">
      <c r="A20" s="107" t="s">
        <v>135</v>
      </c>
      <c r="B20" s="605">
        <v>67</v>
      </c>
      <c r="C20" s="605">
        <v>87</v>
      </c>
      <c r="D20" s="605">
        <v>50</v>
      </c>
      <c r="E20" s="605">
        <v>50</v>
      </c>
      <c r="F20" s="605">
        <v>58</v>
      </c>
      <c r="K20" s="605"/>
      <c r="L20" s="605"/>
      <c r="M20" s="605"/>
      <c r="N20" s="605"/>
      <c r="O20" s="605"/>
    </row>
    <row r="21" spans="1:15" s="62" customFormat="1" ht="10.199999999999999" x14ac:dyDescent="0.2">
      <c r="A21" s="107" t="s">
        <v>136</v>
      </c>
      <c r="B21" s="605">
        <v>291</v>
      </c>
      <c r="C21" s="605">
        <v>276</v>
      </c>
      <c r="D21" s="605">
        <v>287</v>
      </c>
      <c r="E21" s="605">
        <v>242</v>
      </c>
      <c r="F21" s="605">
        <v>204</v>
      </c>
      <c r="K21" s="605"/>
      <c r="L21" s="605"/>
      <c r="M21" s="605"/>
      <c r="N21" s="605"/>
      <c r="O21" s="605"/>
    </row>
    <row r="22" spans="1:15" s="62" customFormat="1" ht="10.199999999999999" x14ac:dyDescent="0.2">
      <c r="A22" s="107" t="s">
        <v>17</v>
      </c>
      <c r="B22" s="605">
        <v>16</v>
      </c>
      <c r="C22" s="605">
        <v>11</v>
      </c>
      <c r="D22" s="605">
        <v>12</v>
      </c>
      <c r="E22" s="605">
        <v>5</v>
      </c>
      <c r="F22" s="605">
        <v>7</v>
      </c>
      <c r="K22" s="605"/>
      <c r="L22" s="605"/>
      <c r="M22" s="605"/>
      <c r="N22" s="605"/>
      <c r="O22" s="605"/>
    </row>
    <row r="23" spans="1:15" s="62" customFormat="1" ht="11.25" customHeight="1" x14ac:dyDescent="0.2">
      <c r="A23" s="617" t="s">
        <v>18</v>
      </c>
      <c r="B23" s="605">
        <v>35</v>
      </c>
      <c r="C23" s="605">
        <v>19</v>
      </c>
      <c r="D23" s="605">
        <v>26</v>
      </c>
      <c r="E23" s="605">
        <v>27</v>
      </c>
      <c r="F23" s="605">
        <v>19</v>
      </c>
      <c r="K23" s="605"/>
      <c r="L23" s="605"/>
      <c r="M23" s="605"/>
      <c r="N23" s="605"/>
      <c r="O23" s="605"/>
    </row>
    <row r="24" spans="1:15" s="62" customFormat="1" ht="6.75" customHeight="1" x14ac:dyDescent="0.2">
      <c r="B24" s="605"/>
      <c r="C24" s="605"/>
      <c r="D24" s="605"/>
      <c r="E24" s="605"/>
      <c r="F24" s="605"/>
      <c r="K24" s="605"/>
      <c r="L24" s="605"/>
      <c r="M24" s="605"/>
      <c r="N24" s="605"/>
      <c r="O24" s="605"/>
    </row>
    <row r="25" spans="1:15" s="62" customFormat="1" ht="10.199999999999999" x14ac:dyDescent="0.2">
      <c r="A25" s="384" t="s">
        <v>1059</v>
      </c>
      <c r="B25" s="384"/>
      <c r="C25" s="384"/>
      <c r="D25" s="384"/>
      <c r="E25" s="384"/>
      <c r="F25" s="384"/>
    </row>
    <row r="26" spans="1:15" s="62" customFormat="1" ht="10.199999999999999" x14ac:dyDescent="0.2">
      <c r="A26" s="94" t="s">
        <v>1054</v>
      </c>
      <c r="B26" s="490"/>
      <c r="C26" s="490"/>
      <c r="D26" s="490"/>
      <c r="E26" s="490"/>
      <c r="F26" s="490"/>
    </row>
    <row r="27" spans="1:15" s="62" customFormat="1" ht="10.199999999999999" x14ac:dyDescent="0.2">
      <c r="A27" s="62" t="s">
        <v>1055</v>
      </c>
      <c r="B27" s="490"/>
      <c r="C27" s="490"/>
      <c r="D27" s="490"/>
      <c r="E27" s="490"/>
      <c r="F27" s="490"/>
    </row>
    <row r="28" spans="1:15" s="62" customFormat="1" ht="10.199999999999999" x14ac:dyDescent="0.2">
      <c r="A28" s="62" t="s">
        <v>1056</v>
      </c>
      <c r="B28" s="490"/>
      <c r="C28" s="490"/>
      <c r="D28" s="490"/>
      <c r="E28" s="490"/>
      <c r="F28" s="490"/>
    </row>
    <row r="29" spans="1:15" s="62" customFormat="1" ht="10.199999999999999" x14ac:dyDescent="0.2">
      <c r="A29" s="62" t="s">
        <v>1057</v>
      </c>
      <c r="B29" s="490"/>
      <c r="C29" s="490"/>
      <c r="D29" s="490"/>
      <c r="E29" s="490"/>
      <c r="F29" s="490"/>
    </row>
    <row r="30" spans="1:15" s="62" customFormat="1" ht="10.199999999999999" x14ac:dyDescent="0.2">
      <c r="A30" s="384" t="s">
        <v>1058</v>
      </c>
      <c r="B30" s="384"/>
      <c r="C30" s="384"/>
      <c r="D30" s="384"/>
      <c r="E30" s="384"/>
      <c r="F30" s="384"/>
    </row>
    <row r="31" spans="1:15" s="62" customFormat="1" ht="10.199999999999999" x14ac:dyDescent="0.2">
      <c r="B31" s="90"/>
      <c r="C31" s="90"/>
      <c r="D31" s="90"/>
    </row>
  </sheetData>
  <mergeCells count="4">
    <mergeCell ref="A2:F2"/>
    <mergeCell ref="B3:D3"/>
    <mergeCell ref="A25:F25"/>
    <mergeCell ref="A30:F30"/>
  </mergeCells>
  <pageMargins left="0.70866141732283472" right="0.70866141732283472" top="0.74803149606299213" bottom="0.74803149606299213" header="0.31496062992125984" footer="0.31496062992125984"/>
  <pageSetup paperSize="14" orientation="portrait" verticalDpi="599"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F1F4E-B0D3-436F-94C5-032D53F94F8D}">
  <sheetPr codeName="Hoja61"/>
  <dimension ref="A2:J33"/>
  <sheetViews>
    <sheetView workbookViewId="0"/>
  </sheetViews>
  <sheetFormatPr baseColWidth="10" defaultRowHeight="13.2" x14ac:dyDescent="0.25"/>
  <cols>
    <col min="1" max="1" width="25.5546875" style="79" customWidth="1"/>
    <col min="2" max="16384" width="11.5546875" style="79"/>
  </cols>
  <sheetData>
    <row r="2" spans="1:10" s="62" customFormat="1" ht="27" customHeight="1" x14ac:dyDescent="0.25">
      <c r="A2" s="64" t="s">
        <v>823</v>
      </c>
      <c r="B2" s="64"/>
      <c r="C2" s="64"/>
      <c r="D2" s="64"/>
      <c r="E2" s="64"/>
      <c r="F2" s="64"/>
      <c r="G2" s="612"/>
      <c r="H2" s="612"/>
      <c r="I2" s="612"/>
      <c r="J2" s="612"/>
    </row>
    <row r="3" spans="1:10" s="62" customFormat="1" ht="10.199999999999999" x14ac:dyDescent="0.2"/>
    <row r="4" spans="1:10" s="62" customFormat="1" ht="44.25" customHeight="1" x14ac:dyDescent="0.2">
      <c r="A4" s="66" t="s">
        <v>1044</v>
      </c>
      <c r="B4" s="82" t="s">
        <v>1060</v>
      </c>
      <c r="C4" s="83"/>
      <c r="D4" s="83"/>
      <c r="E4" s="83"/>
      <c r="F4" s="84"/>
    </row>
    <row r="5" spans="1:10" s="70" customFormat="1" ht="15.75" customHeight="1" x14ac:dyDescent="0.25">
      <c r="A5" s="71"/>
      <c r="B5" s="72" t="s">
        <v>1045</v>
      </c>
      <c r="C5" s="72" t="s">
        <v>1046</v>
      </c>
      <c r="D5" s="72" t="s">
        <v>1047</v>
      </c>
      <c r="E5" s="72" t="s">
        <v>1048</v>
      </c>
      <c r="F5" s="72">
        <v>2013</v>
      </c>
      <c r="G5" s="573"/>
      <c r="H5" s="573"/>
      <c r="I5" s="573"/>
      <c r="J5" s="573"/>
    </row>
    <row r="6" spans="1:10" s="63" customFormat="1" ht="10.199999999999999" x14ac:dyDescent="0.2">
      <c r="A6" s="618" t="s">
        <v>3</v>
      </c>
      <c r="B6" s="212">
        <f>SUM(B7:B24)</f>
        <v>2462</v>
      </c>
      <c r="C6" s="212">
        <f>SUM(C7:C24)</f>
        <v>2235</v>
      </c>
      <c r="D6" s="212">
        <f>SUM(D7:D24)</f>
        <v>1862</v>
      </c>
      <c r="E6" s="212">
        <f>SUM(E7:E24)</f>
        <v>1425</v>
      </c>
      <c r="F6" s="212">
        <f>SUM(F7:F24)</f>
        <v>1199</v>
      </c>
    </row>
    <row r="7" spans="1:10" s="62" customFormat="1" ht="10.199999999999999" x14ac:dyDescent="0.2">
      <c r="A7" s="617" t="s">
        <v>4</v>
      </c>
      <c r="B7" s="62">
        <v>71</v>
      </c>
      <c r="C7" s="62">
        <v>118</v>
      </c>
      <c r="D7" s="62">
        <v>36</v>
      </c>
      <c r="E7" s="619">
        <v>25</v>
      </c>
      <c r="F7" s="90">
        <v>26</v>
      </c>
      <c r="G7" s="90"/>
      <c r="H7" s="90"/>
      <c r="I7" s="90"/>
      <c r="J7" s="90"/>
    </row>
    <row r="8" spans="1:10" s="62" customFormat="1" ht="10.199999999999999" x14ac:dyDescent="0.2">
      <c r="A8" s="107" t="s">
        <v>5</v>
      </c>
      <c r="B8" s="62">
        <v>51</v>
      </c>
      <c r="C8" s="62">
        <v>84</v>
      </c>
      <c r="D8" s="62">
        <v>79</v>
      </c>
      <c r="E8" s="619">
        <v>71</v>
      </c>
      <c r="F8" s="90">
        <v>51</v>
      </c>
      <c r="G8" s="90"/>
      <c r="H8" s="90"/>
      <c r="I8" s="90"/>
      <c r="J8" s="90"/>
    </row>
    <row r="9" spans="1:10" s="62" customFormat="1" ht="10.199999999999999" x14ac:dyDescent="0.2">
      <c r="A9" s="107" t="s">
        <v>6</v>
      </c>
      <c r="B9" s="62">
        <v>75</v>
      </c>
      <c r="C9" s="62">
        <v>85</v>
      </c>
      <c r="D9" s="62">
        <v>106</v>
      </c>
      <c r="E9" s="619">
        <v>56</v>
      </c>
      <c r="F9" s="90">
        <v>54</v>
      </c>
      <c r="G9" s="90"/>
      <c r="H9" s="90"/>
      <c r="I9" s="90"/>
      <c r="J9" s="90"/>
    </row>
    <row r="10" spans="1:10" s="62" customFormat="1" ht="10.199999999999999" x14ac:dyDescent="0.2">
      <c r="A10" s="107" t="s">
        <v>7</v>
      </c>
      <c r="B10" s="62">
        <v>74</v>
      </c>
      <c r="C10" s="62">
        <v>46</v>
      </c>
      <c r="D10" s="62">
        <v>27</v>
      </c>
      <c r="E10" s="619">
        <v>24</v>
      </c>
      <c r="F10" s="90">
        <v>34</v>
      </c>
      <c r="G10" s="90"/>
      <c r="H10" s="90"/>
      <c r="I10" s="90"/>
      <c r="J10" s="90"/>
    </row>
    <row r="11" spans="1:10" s="62" customFormat="1" ht="10.199999999999999" x14ac:dyDescent="0.2">
      <c r="A11" s="107" t="s">
        <v>8</v>
      </c>
      <c r="B11" s="62">
        <v>143</v>
      </c>
      <c r="C11" s="62">
        <v>124</v>
      </c>
      <c r="D11" s="62">
        <v>62</v>
      </c>
      <c r="E11" s="619">
        <v>67</v>
      </c>
      <c r="F11" s="90">
        <v>84</v>
      </c>
      <c r="G11" s="90"/>
      <c r="H11" s="90"/>
      <c r="I11" s="90"/>
      <c r="J11" s="90"/>
    </row>
    <row r="12" spans="1:10" s="62" customFormat="1" ht="10.199999999999999" x14ac:dyDescent="0.2">
      <c r="A12" s="107" t="s">
        <v>9</v>
      </c>
      <c r="B12" s="62">
        <v>190</v>
      </c>
      <c r="C12" s="62">
        <v>219</v>
      </c>
      <c r="D12" s="62">
        <v>180</v>
      </c>
      <c r="E12" s="619">
        <v>149</v>
      </c>
      <c r="F12" s="90">
        <v>115</v>
      </c>
      <c r="G12" s="90"/>
      <c r="H12" s="90"/>
      <c r="I12" s="90"/>
      <c r="J12" s="90"/>
    </row>
    <row r="13" spans="1:10" s="62" customFormat="1" ht="12" x14ac:dyDescent="0.2">
      <c r="A13" s="94" t="s">
        <v>1049</v>
      </c>
      <c r="B13" s="62">
        <v>426</v>
      </c>
      <c r="C13" s="62">
        <v>365</v>
      </c>
      <c r="D13" s="62">
        <v>279</v>
      </c>
      <c r="E13" s="619">
        <v>242</v>
      </c>
      <c r="F13" s="90">
        <v>194</v>
      </c>
      <c r="G13" s="90"/>
      <c r="H13" s="90"/>
      <c r="I13" s="90"/>
      <c r="J13" s="90"/>
    </row>
    <row r="14" spans="1:10" s="62" customFormat="1" ht="12" x14ac:dyDescent="0.2">
      <c r="A14" s="62" t="s">
        <v>1050</v>
      </c>
      <c r="B14" s="62">
        <v>194</v>
      </c>
      <c r="C14" s="62">
        <v>156</v>
      </c>
      <c r="D14" s="62">
        <v>96</v>
      </c>
      <c r="E14" s="619">
        <v>75</v>
      </c>
      <c r="F14" s="90">
        <v>63</v>
      </c>
      <c r="G14" s="90"/>
      <c r="H14" s="90"/>
      <c r="I14" s="90"/>
      <c r="J14" s="90"/>
    </row>
    <row r="15" spans="1:10" s="62" customFormat="1" ht="12" x14ac:dyDescent="0.2">
      <c r="A15" s="62" t="s">
        <v>1051</v>
      </c>
      <c r="B15" s="62">
        <v>292</v>
      </c>
      <c r="C15" s="62">
        <v>210</v>
      </c>
      <c r="D15" s="62">
        <v>172</v>
      </c>
      <c r="E15" s="619">
        <v>111</v>
      </c>
      <c r="F15" s="90">
        <v>61</v>
      </c>
      <c r="G15" s="90"/>
      <c r="H15" s="90"/>
      <c r="I15" s="90"/>
      <c r="J15" s="90"/>
    </row>
    <row r="16" spans="1:10" s="62" customFormat="1" ht="12" x14ac:dyDescent="0.2">
      <c r="A16" s="62" t="s">
        <v>1052</v>
      </c>
      <c r="B16" s="62">
        <v>183</v>
      </c>
      <c r="C16" s="62">
        <v>140</v>
      </c>
      <c r="D16" s="62">
        <v>140</v>
      </c>
      <c r="E16" s="619">
        <v>100</v>
      </c>
      <c r="F16" s="90">
        <v>80</v>
      </c>
      <c r="G16" s="90"/>
      <c r="H16" s="90"/>
      <c r="I16" s="90"/>
      <c r="J16" s="90"/>
    </row>
    <row r="17" spans="1:10" s="62" customFormat="1" ht="10.199999999999999" x14ac:dyDescent="0.2">
      <c r="A17" s="617" t="s">
        <v>134</v>
      </c>
      <c r="B17" s="62">
        <v>113</v>
      </c>
      <c r="C17" s="62">
        <v>106</v>
      </c>
      <c r="D17" s="62">
        <v>146</v>
      </c>
      <c r="E17" s="619">
        <v>112</v>
      </c>
      <c r="F17" s="90">
        <v>73</v>
      </c>
      <c r="G17" s="90"/>
      <c r="H17" s="90"/>
      <c r="I17" s="90"/>
      <c r="J17" s="90"/>
    </row>
    <row r="18" spans="1:10" s="62" customFormat="1" ht="10.199999999999999" x14ac:dyDescent="0.2">
      <c r="A18" s="107" t="s">
        <v>12</v>
      </c>
      <c r="B18" s="62">
        <v>145</v>
      </c>
      <c r="C18" s="62">
        <v>110</v>
      </c>
      <c r="D18" s="62">
        <v>85</v>
      </c>
      <c r="E18" s="619">
        <v>76</v>
      </c>
      <c r="F18" s="90">
        <v>73</v>
      </c>
      <c r="G18" s="90"/>
      <c r="H18" s="90"/>
      <c r="I18" s="90"/>
      <c r="J18" s="90"/>
    </row>
    <row r="19" spans="1:10" s="62" customFormat="1" ht="10.199999999999999" x14ac:dyDescent="0.2">
      <c r="A19" s="107" t="s">
        <v>13</v>
      </c>
      <c r="B19" s="62">
        <v>213</v>
      </c>
      <c r="C19" s="62">
        <v>164</v>
      </c>
      <c r="D19" s="62">
        <v>194</v>
      </c>
      <c r="E19" s="619">
        <v>122</v>
      </c>
      <c r="F19" s="90">
        <v>123</v>
      </c>
      <c r="G19" s="90"/>
      <c r="H19" s="90"/>
      <c r="I19" s="90"/>
      <c r="J19" s="90"/>
    </row>
    <row r="20" spans="1:10" s="62" customFormat="1" ht="10.199999999999999" x14ac:dyDescent="0.2">
      <c r="A20" s="107" t="s">
        <v>14</v>
      </c>
      <c r="B20" s="62">
        <v>89</v>
      </c>
      <c r="C20" s="62">
        <v>116</v>
      </c>
      <c r="D20" s="62">
        <v>79</v>
      </c>
      <c r="E20" s="619">
        <v>41</v>
      </c>
      <c r="F20" s="90">
        <v>45</v>
      </c>
      <c r="G20" s="90"/>
      <c r="H20" s="90"/>
      <c r="I20" s="90"/>
      <c r="J20" s="90"/>
    </row>
    <row r="21" spans="1:10" s="62" customFormat="1" ht="10.199999999999999" x14ac:dyDescent="0.2">
      <c r="A21" s="107" t="s">
        <v>135</v>
      </c>
      <c r="B21" s="62">
        <v>28</v>
      </c>
      <c r="C21" s="62">
        <v>33</v>
      </c>
      <c r="D21" s="62">
        <v>9</v>
      </c>
      <c r="E21" s="619">
        <v>11</v>
      </c>
      <c r="F21" s="90">
        <v>19</v>
      </c>
      <c r="G21" s="90"/>
      <c r="H21" s="90"/>
      <c r="I21" s="90"/>
      <c r="J21" s="90"/>
    </row>
    <row r="22" spans="1:10" s="62" customFormat="1" ht="10.199999999999999" x14ac:dyDescent="0.2">
      <c r="A22" s="107" t="s">
        <v>136</v>
      </c>
      <c r="B22" s="62">
        <v>149</v>
      </c>
      <c r="C22" s="62">
        <v>151</v>
      </c>
      <c r="D22" s="62">
        <v>160</v>
      </c>
      <c r="E22" s="619">
        <v>127</v>
      </c>
      <c r="F22" s="90">
        <v>92</v>
      </c>
      <c r="G22" s="90"/>
      <c r="H22" s="90"/>
      <c r="I22" s="90"/>
      <c r="J22" s="90"/>
    </row>
    <row r="23" spans="1:10" s="62" customFormat="1" ht="10.199999999999999" x14ac:dyDescent="0.2">
      <c r="A23" s="107" t="s">
        <v>17</v>
      </c>
      <c r="B23" s="62">
        <v>10</v>
      </c>
      <c r="C23" s="62">
        <v>3</v>
      </c>
      <c r="D23" s="62">
        <v>8</v>
      </c>
      <c r="E23" s="619">
        <v>11</v>
      </c>
      <c r="F23" s="90">
        <v>8</v>
      </c>
      <c r="G23" s="90"/>
      <c r="H23" s="90"/>
      <c r="I23" s="90"/>
      <c r="J23" s="90"/>
    </row>
    <row r="24" spans="1:10" s="62" customFormat="1" ht="10.199999999999999" x14ac:dyDescent="0.2">
      <c r="A24" s="617" t="s">
        <v>18</v>
      </c>
      <c r="B24" s="62">
        <v>16</v>
      </c>
      <c r="C24" s="62">
        <v>5</v>
      </c>
      <c r="D24" s="62">
        <v>4</v>
      </c>
      <c r="E24" s="619">
        <v>5</v>
      </c>
      <c r="F24" s="90">
        <v>4</v>
      </c>
      <c r="G24" s="90"/>
      <c r="H24" s="90"/>
      <c r="I24" s="90"/>
      <c r="J24" s="90"/>
    </row>
    <row r="25" spans="1:10" s="62" customFormat="1" ht="5.25" customHeight="1" x14ac:dyDescent="0.2">
      <c r="E25" s="619"/>
      <c r="F25" s="90"/>
      <c r="G25" s="90"/>
      <c r="H25" s="90"/>
      <c r="I25" s="90"/>
      <c r="J25" s="90"/>
    </row>
    <row r="26" spans="1:10" s="62" customFormat="1" ht="12" customHeight="1" x14ac:dyDescent="0.2">
      <c r="A26" s="62" t="s">
        <v>1061</v>
      </c>
      <c r="E26" s="619"/>
      <c r="F26" s="90"/>
      <c r="G26" s="90"/>
      <c r="H26" s="90"/>
      <c r="I26" s="90"/>
      <c r="J26" s="90"/>
    </row>
    <row r="27" spans="1:10" s="62" customFormat="1" ht="12" customHeight="1" x14ac:dyDescent="0.2">
      <c r="A27" s="94" t="s">
        <v>1054</v>
      </c>
      <c r="E27" s="619"/>
      <c r="F27" s="90"/>
      <c r="G27" s="90"/>
      <c r="H27" s="90"/>
      <c r="I27" s="90"/>
      <c r="J27" s="90"/>
    </row>
    <row r="28" spans="1:10" s="62" customFormat="1" ht="12" customHeight="1" x14ac:dyDescent="0.2">
      <c r="A28" s="62" t="s">
        <v>1055</v>
      </c>
      <c r="E28" s="619"/>
      <c r="F28" s="90"/>
      <c r="G28" s="90"/>
      <c r="H28" s="90"/>
      <c r="I28" s="90"/>
      <c r="J28" s="90"/>
    </row>
    <row r="29" spans="1:10" s="62" customFormat="1" ht="12" customHeight="1" x14ac:dyDescent="0.2">
      <c r="A29" s="62" t="s">
        <v>1056</v>
      </c>
      <c r="E29" s="619"/>
      <c r="F29" s="90"/>
      <c r="G29" s="90"/>
      <c r="H29" s="90"/>
      <c r="I29" s="90"/>
      <c r="J29" s="90"/>
    </row>
    <row r="30" spans="1:10" s="62" customFormat="1" ht="12" customHeight="1" x14ac:dyDescent="0.2">
      <c r="A30" s="62" t="s">
        <v>1057</v>
      </c>
      <c r="E30" s="619"/>
      <c r="F30" s="90"/>
      <c r="G30" s="90"/>
      <c r="H30" s="90"/>
      <c r="I30" s="90"/>
      <c r="J30" s="90"/>
    </row>
    <row r="31" spans="1:10" s="62" customFormat="1" ht="10.199999999999999" x14ac:dyDescent="0.2">
      <c r="A31" s="62" t="s">
        <v>1058</v>
      </c>
    </row>
    <row r="32" spans="1:10" s="62" customFormat="1" ht="10.199999999999999" x14ac:dyDescent="0.2"/>
    <row r="33" s="62" customFormat="1" ht="10.199999999999999" x14ac:dyDescent="0.2"/>
  </sheetData>
  <mergeCells count="3">
    <mergeCell ref="A2:F2"/>
    <mergeCell ref="A4:A5"/>
    <mergeCell ref="B4:F4"/>
  </mergeCells>
  <pageMargins left="0.7" right="0.7" top="0.75" bottom="0.75" header="0.3" footer="0.3"/>
  <pageSetup paperSize="14" orientation="portrait" verticalDpi="599"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70DBF0-315A-44D4-9F2A-37C7C954A7EC}">
  <sheetPr codeName="Hoja62">
    <tabColor theme="8"/>
  </sheetPr>
  <dimension ref="A2:A7"/>
  <sheetViews>
    <sheetView zoomScaleNormal="100" workbookViewId="0">
      <selection activeCell="A7" sqref="A7"/>
    </sheetView>
  </sheetViews>
  <sheetFormatPr baseColWidth="10" defaultColWidth="11.44140625" defaultRowHeight="10.199999999999999" x14ac:dyDescent="0.2"/>
  <cols>
    <col min="1" max="16384" width="11.44140625" style="2"/>
  </cols>
  <sheetData>
    <row r="2" spans="1:1" x14ac:dyDescent="0.2">
      <c r="A2" s="24" t="s">
        <v>1062</v>
      </c>
    </row>
    <row r="4" spans="1:1" x14ac:dyDescent="0.2">
      <c r="A4" s="24" t="s">
        <v>1062</v>
      </c>
    </row>
    <row r="6" spans="1:1" x14ac:dyDescent="0.2">
      <c r="A6" s="1709" t="s">
        <v>1063</v>
      </c>
    </row>
    <row r="7" spans="1:1" x14ac:dyDescent="0.2">
      <c r="A7" s="1709" t="s">
        <v>1064</v>
      </c>
    </row>
  </sheetData>
  <hyperlinks>
    <hyperlink ref="A6" location="'3.1-01'!A1" display="CUADRO 3.1-01: NÚMERO DE PROYECTOS PRESENTADOS Y FINANCIADOS A TRAVÉS DEL FONDO DE APOYO A LA INVESTIGACIÓN PATRIMONIAL (FAIP), SEGÚN REGIÓN. 2009-2013" xr:uid="{6CCFA82A-53E6-40A8-AC41-5C547B7D22E5}"/>
    <hyperlink ref="A7" location="'3.1-02'!A1" display="CUADRO 3.1-02: NÚMERO DE PUBLICACIONES DE LA DIRECCIÓN DE BIBLIOTECAS, ARCHIVOS Y MUSEOS (DIBAM), SEGÚN UNIDAD DE ORIGEN Y TIPO DE PUBLICACIÓN. 2009-2013" xr:uid="{C2F94302-89BE-461E-A9CA-F0C7BA6C8517}"/>
  </hyperlinks>
  <pageMargins left="0.7" right="0.7" top="0.75" bottom="0.75" header="0.3" footer="0.3"/>
  <pageSetup paperSize="14" orientation="portrait" verticalDpi="30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50613-0289-4E51-8D03-85920A205935}">
  <sheetPr codeName="Hoja63"/>
  <dimension ref="A2:F24"/>
  <sheetViews>
    <sheetView workbookViewId="0">
      <selection activeCell="B4" sqref="B4:F4"/>
    </sheetView>
  </sheetViews>
  <sheetFormatPr baseColWidth="10" defaultColWidth="11.44140625" defaultRowHeight="10.199999999999999" x14ac:dyDescent="0.2"/>
  <cols>
    <col min="1" max="1" width="18.6640625" style="2" customWidth="1"/>
    <col min="2" max="16384" width="11.44140625" style="2"/>
  </cols>
  <sheetData>
    <row r="2" spans="1:6" s="24" customFormat="1" ht="37.5" customHeight="1" x14ac:dyDescent="0.2">
      <c r="A2" s="620" t="s">
        <v>1063</v>
      </c>
      <c r="B2" s="620"/>
      <c r="C2" s="620"/>
      <c r="D2" s="620"/>
      <c r="E2" s="620"/>
      <c r="F2" s="620"/>
    </row>
    <row r="4" spans="1:6" ht="15.75" customHeight="1" x14ac:dyDescent="0.2">
      <c r="A4" s="323" t="s">
        <v>0</v>
      </c>
      <c r="B4" s="323" t="s">
        <v>98</v>
      </c>
      <c r="C4" s="323"/>
      <c r="D4" s="323"/>
      <c r="E4" s="323"/>
      <c r="F4" s="323"/>
    </row>
    <row r="5" spans="1:6" ht="15.75" customHeight="1" x14ac:dyDescent="0.2">
      <c r="A5" s="323"/>
      <c r="B5" s="621">
        <v>2009</v>
      </c>
      <c r="C5" s="621">
        <v>2010</v>
      </c>
      <c r="D5" s="621">
        <v>2011</v>
      </c>
      <c r="E5" s="621">
        <v>2012</v>
      </c>
      <c r="F5" s="621">
        <v>2013</v>
      </c>
    </row>
    <row r="6" spans="1:6" s="24" customFormat="1" x14ac:dyDescent="0.2">
      <c r="A6" s="24" t="s">
        <v>1127</v>
      </c>
      <c r="B6" s="622">
        <f>SUM(B7:B21)</f>
        <v>9</v>
      </c>
      <c r="C6" s="622">
        <f>SUM(C7:C21)</f>
        <v>8</v>
      </c>
      <c r="D6" s="622">
        <f>SUM(D7:D21)</f>
        <v>10</v>
      </c>
      <c r="E6" s="622">
        <f>SUM(E7:E21)</f>
        <v>10</v>
      </c>
      <c r="F6" s="622">
        <f>SUM(F7:F21)</f>
        <v>9</v>
      </c>
    </row>
    <row r="7" spans="1:6" x14ac:dyDescent="0.2">
      <c r="A7" s="2" t="s">
        <v>4</v>
      </c>
      <c r="B7" s="315">
        <v>0</v>
      </c>
      <c r="C7" s="315">
        <v>0</v>
      </c>
      <c r="D7" s="315">
        <v>0</v>
      </c>
      <c r="E7" s="315">
        <v>0</v>
      </c>
      <c r="F7" s="315">
        <v>0</v>
      </c>
    </row>
    <row r="8" spans="1:6" x14ac:dyDescent="0.2">
      <c r="A8" s="2" t="s">
        <v>5</v>
      </c>
      <c r="B8" s="315">
        <v>0</v>
      </c>
      <c r="C8" s="315">
        <v>0</v>
      </c>
      <c r="D8" s="315">
        <v>0</v>
      </c>
      <c r="E8" s="315">
        <v>0</v>
      </c>
      <c r="F8" s="315">
        <v>0</v>
      </c>
    </row>
    <row r="9" spans="1:6" x14ac:dyDescent="0.2">
      <c r="A9" s="2" t="s">
        <v>6</v>
      </c>
      <c r="B9" s="315">
        <v>0</v>
      </c>
      <c r="C9" s="315">
        <v>0</v>
      </c>
      <c r="D9" s="315">
        <v>1</v>
      </c>
      <c r="E9" s="315">
        <v>0</v>
      </c>
      <c r="F9" s="315">
        <v>0</v>
      </c>
    </row>
    <row r="10" spans="1:6" x14ac:dyDescent="0.2">
      <c r="A10" s="2" t="s">
        <v>7</v>
      </c>
      <c r="B10" s="315">
        <v>0</v>
      </c>
      <c r="C10" s="315">
        <v>0</v>
      </c>
      <c r="D10" s="315">
        <v>0</v>
      </c>
      <c r="E10" s="315">
        <v>0</v>
      </c>
      <c r="F10" s="315">
        <v>0</v>
      </c>
    </row>
    <row r="11" spans="1:6" x14ac:dyDescent="0.2">
      <c r="A11" s="2" t="s">
        <v>8</v>
      </c>
      <c r="B11" s="315">
        <v>0</v>
      </c>
      <c r="C11" s="315">
        <v>0</v>
      </c>
      <c r="D11" s="315">
        <v>0</v>
      </c>
      <c r="E11" s="315">
        <v>1</v>
      </c>
      <c r="F11" s="315">
        <v>0</v>
      </c>
    </row>
    <row r="12" spans="1:6" x14ac:dyDescent="0.2">
      <c r="A12" s="2" t="s">
        <v>9</v>
      </c>
      <c r="B12" s="315">
        <v>0</v>
      </c>
      <c r="C12" s="315">
        <v>1</v>
      </c>
      <c r="D12" s="315">
        <v>0</v>
      </c>
      <c r="E12" s="315">
        <v>1</v>
      </c>
      <c r="F12" s="315">
        <v>0</v>
      </c>
    </row>
    <row r="13" spans="1:6" x14ac:dyDescent="0.2">
      <c r="A13" s="2" t="s">
        <v>10</v>
      </c>
      <c r="B13" s="315">
        <v>5</v>
      </c>
      <c r="C13" s="315">
        <v>6</v>
      </c>
      <c r="D13" s="315">
        <v>5</v>
      </c>
      <c r="E13" s="315">
        <v>7</v>
      </c>
      <c r="F13" s="315">
        <v>5</v>
      </c>
    </row>
    <row r="14" spans="1:6" x14ac:dyDescent="0.2">
      <c r="A14" s="2" t="s">
        <v>134</v>
      </c>
      <c r="B14" s="315">
        <v>2</v>
      </c>
      <c r="C14" s="315">
        <v>1</v>
      </c>
      <c r="D14" s="315">
        <v>1</v>
      </c>
      <c r="E14" s="315">
        <v>0</v>
      </c>
      <c r="F14" s="315">
        <v>1</v>
      </c>
    </row>
    <row r="15" spans="1:6" x14ac:dyDescent="0.2">
      <c r="A15" s="2" t="s">
        <v>12</v>
      </c>
      <c r="B15" s="315">
        <v>0</v>
      </c>
      <c r="C15" s="315">
        <v>0</v>
      </c>
      <c r="D15" s="315">
        <v>0</v>
      </c>
      <c r="E15" s="315">
        <v>0</v>
      </c>
      <c r="F15" s="315">
        <v>0</v>
      </c>
    </row>
    <row r="16" spans="1:6" x14ac:dyDescent="0.2">
      <c r="A16" s="2" t="s">
        <v>13</v>
      </c>
      <c r="B16" s="315">
        <v>1</v>
      </c>
      <c r="C16" s="315">
        <v>0</v>
      </c>
      <c r="D16" s="315">
        <v>1</v>
      </c>
      <c r="E16" s="315">
        <v>0</v>
      </c>
      <c r="F16" s="315">
        <v>1</v>
      </c>
    </row>
    <row r="17" spans="1:6" x14ac:dyDescent="0.2">
      <c r="A17" s="2" t="s">
        <v>47</v>
      </c>
      <c r="B17" s="315">
        <v>1</v>
      </c>
      <c r="C17" s="315">
        <v>0</v>
      </c>
      <c r="D17" s="315">
        <v>1</v>
      </c>
      <c r="E17" s="315">
        <v>1</v>
      </c>
      <c r="F17" s="315">
        <v>1</v>
      </c>
    </row>
    <row r="18" spans="1:6" x14ac:dyDescent="0.2">
      <c r="A18" s="2" t="s">
        <v>135</v>
      </c>
      <c r="B18" s="315">
        <v>0</v>
      </c>
      <c r="C18" s="315">
        <v>0</v>
      </c>
      <c r="D18" s="315">
        <v>0</v>
      </c>
      <c r="E18" s="315">
        <v>0</v>
      </c>
      <c r="F18" s="315">
        <v>0</v>
      </c>
    </row>
    <row r="19" spans="1:6" x14ac:dyDescent="0.2">
      <c r="A19" s="2" t="s">
        <v>136</v>
      </c>
      <c r="B19" s="315">
        <v>0</v>
      </c>
      <c r="C19" s="315">
        <v>0</v>
      </c>
      <c r="D19" s="315">
        <v>1</v>
      </c>
      <c r="E19" s="315">
        <v>0</v>
      </c>
      <c r="F19" s="315">
        <v>1</v>
      </c>
    </row>
    <row r="20" spans="1:6" x14ac:dyDescent="0.2">
      <c r="A20" s="2" t="s">
        <v>17</v>
      </c>
      <c r="B20" s="315">
        <v>0</v>
      </c>
      <c r="C20" s="315">
        <v>0</v>
      </c>
      <c r="D20" s="315">
        <v>0</v>
      </c>
      <c r="E20" s="315">
        <v>0</v>
      </c>
      <c r="F20" s="315">
        <v>0</v>
      </c>
    </row>
    <row r="21" spans="1:6" x14ac:dyDescent="0.2">
      <c r="A21" s="2" t="s">
        <v>18</v>
      </c>
      <c r="B21" s="315">
        <v>0</v>
      </c>
      <c r="C21" s="315">
        <v>0</v>
      </c>
      <c r="D21" s="315">
        <v>0</v>
      </c>
      <c r="E21" s="315">
        <v>0</v>
      </c>
      <c r="F21" s="315">
        <v>0</v>
      </c>
    </row>
    <row r="23" spans="1:6" x14ac:dyDescent="0.2">
      <c r="A23" s="2" t="s">
        <v>19</v>
      </c>
    </row>
    <row r="24" spans="1:6" x14ac:dyDescent="0.2">
      <c r="A24" s="623" t="s">
        <v>1128</v>
      </c>
      <c r="B24" s="623"/>
      <c r="C24" s="623"/>
      <c r="D24" s="623"/>
      <c r="E24" s="623"/>
      <c r="F24" s="623"/>
    </row>
  </sheetData>
  <mergeCells count="4">
    <mergeCell ref="A2:F2"/>
    <mergeCell ref="A4:A5"/>
    <mergeCell ref="B4:F4"/>
    <mergeCell ref="A24:F24"/>
  </mergeCells>
  <pageMargins left="0.70866141732283472" right="0.70866141732283472" top="0.74803149606299213" bottom="0.74803149606299213" header="0.31496062992125984" footer="0.31496062992125984"/>
  <pageSetup paperSize="14"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D7428-E32E-4C9F-A11F-2602F52A67A4}">
  <sheetPr codeName="Hoja64"/>
  <dimension ref="A2:F54"/>
  <sheetViews>
    <sheetView zoomScaleNormal="100" workbookViewId="0"/>
  </sheetViews>
  <sheetFormatPr baseColWidth="10" defaultColWidth="11.44140625" defaultRowHeight="10.199999999999999" x14ac:dyDescent="0.2"/>
  <cols>
    <col min="1" max="1" width="89" style="2" customWidth="1"/>
    <col min="2" max="5" width="11.44140625" style="2"/>
    <col min="6" max="6" width="11.88671875" style="2" customWidth="1"/>
    <col min="7" max="16384" width="11.44140625" style="2"/>
  </cols>
  <sheetData>
    <row r="2" spans="1:6" s="624" customFormat="1" ht="27" customHeight="1" x14ac:dyDescent="0.2">
      <c r="A2" s="620" t="s">
        <v>1064</v>
      </c>
      <c r="B2" s="620"/>
      <c r="C2" s="620"/>
      <c r="D2" s="620"/>
      <c r="E2" s="620"/>
      <c r="F2" s="620"/>
    </row>
    <row r="4" spans="1:6" ht="16.5" customHeight="1" x14ac:dyDescent="0.2">
      <c r="A4" s="323" t="s">
        <v>1129</v>
      </c>
      <c r="B4" s="323" t="s">
        <v>98</v>
      </c>
      <c r="C4" s="323"/>
      <c r="D4" s="323"/>
      <c r="E4" s="323"/>
      <c r="F4" s="323"/>
    </row>
    <row r="5" spans="1:6" ht="16.5" customHeight="1" x14ac:dyDescent="0.2">
      <c r="A5" s="323"/>
      <c r="B5" s="621">
        <v>2009</v>
      </c>
      <c r="C5" s="621">
        <v>2010</v>
      </c>
      <c r="D5" s="621">
        <v>2011</v>
      </c>
      <c r="E5" s="621">
        <v>2012</v>
      </c>
      <c r="F5" s="621">
        <v>2013</v>
      </c>
    </row>
    <row r="6" spans="1:6" s="24" customFormat="1" x14ac:dyDescent="0.2">
      <c r="A6" s="24" t="s">
        <v>1127</v>
      </c>
      <c r="B6" s="622">
        <f>B7+B17+B20+B22+B31+B34+B39+B45+B50</f>
        <v>54</v>
      </c>
      <c r="C6" s="622">
        <f t="shared" ref="C6:D6" si="0">C7+C17+C20+C22+C31+C34+C39+C45+C50</f>
        <v>56</v>
      </c>
      <c r="D6" s="622">
        <f t="shared" si="0"/>
        <v>55</v>
      </c>
      <c r="E6" s="622">
        <f>E7+E17+E20+E22+E31+E34+E39+E45+E50</f>
        <v>71</v>
      </c>
      <c r="F6" s="622">
        <f>F7+F17+F20+F22+F31+F34+F39+F45+F50</f>
        <v>75</v>
      </c>
    </row>
    <row r="7" spans="1:6" s="24" customFormat="1" x14ac:dyDescent="0.2">
      <c r="A7" s="24" t="s">
        <v>1130</v>
      </c>
      <c r="B7" s="622">
        <f>SUM(B8:B16)</f>
        <v>8</v>
      </c>
      <c r="C7" s="622">
        <f t="shared" ref="C7:F7" si="1">SUM(C8:C16)</f>
        <v>16</v>
      </c>
      <c r="D7" s="622">
        <f t="shared" si="1"/>
        <v>14</v>
      </c>
      <c r="E7" s="622">
        <f t="shared" si="1"/>
        <v>17</v>
      </c>
      <c r="F7" s="622">
        <f t="shared" si="1"/>
        <v>21</v>
      </c>
    </row>
    <row r="8" spans="1:6" s="24" customFormat="1" x14ac:dyDescent="0.2">
      <c r="A8" s="625" t="s">
        <v>1131</v>
      </c>
      <c r="B8" s="315">
        <v>1</v>
      </c>
      <c r="C8" s="315">
        <v>1</v>
      </c>
      <c r="D8" s="315">
        <v>1</v>
      </c>
      <c r="E8" s="315">
        <v>1</v>
      </c>
      <c r="F8" s="315">
        <v>1</v>
      </c>
    </row>
    <row r="9" spans="1:6" s="24" customFormat="1" x14ac:dyDescent="0.2">
      <c r="A9" s="625" t="s">
        <v>1132</v>
      </c>
      <c r="B9" s="315">
        <v>1</v>
      </c>
      <c r="C9" s="626">
        <v>1</v>
      </c>
      <c r="D9" s="626">
        <v>0</v>
      </c>
      <c r="E9" s="315">
        <v>1</v>
      </c>
      <c r="F9" s="315">
        <v>1</v>
      </c>
    </row>
    <row r="10" spans="1:6" s="24" customFormat="1" x14ac:dyDescent="0.2">
      <c r="A10" s="625" t="s">
        <v>1133</v>
      </c>
      <c r="B10" s="315">
        <v>3</v>
      </c>
      <c r="C10" s="315">
        <v>0</v>
      </c>
      <c r="D10" s="315">
        <v>0</v>
      </c>
      <c r="E10" s="315">
        <v>1</v>
      </c>
      <c r="F10" s="315">
        <v>4</v>
      </c>
    </row>
    <row r="11" spans="1:6" s="24" customFormat="1" x14ac:dyDescent="0.2">
      <c r="A11" s="625" t="s">
        <v>1134</v>
      </c>
      <c r="B11" s="315">
        <v>2</v>
      </c>
      <c r="C11" s="315">
        <v>1</v>
      </c>
      <c r="D11" s="315">
        <v>2</v>
      </c>
      <c r="E11" s="315">
        <v>1</v>
      </c>
      <c r="F11" s="315">
        <v>2</v>
      </c>
    </row>
    <row r="12" spans="1:6" s="24" customFormat="1" x14ac:dyDescent="0.2">
      <c r="A12" s="625" t="s">
        <v>1135</v>
      </c>
      <c r="B12" s="315">
        <v>0</v>
      </c>
      <c r="C12" s="315">
        <v>11</v>
      </c>
      <c r="D12" s="315">
        <v>11</v>
      </c>
      <c r="E12" s="315">
        <v>11</v>
      </c>
      <c r="F12" s="315">
        <v>11</v>
      </c>
    </row>
    <row r="13" spans="1:6" s="24" customFormat="1" x14ac:dyDescent="0.2">
      <c r="A13" s="625" t="s">
        <v>1136</v>
      </c>
      <c r="B13" s="315">
        <v>1</v>
      </c>
      <c r="C13" s="315">
        <v>1</v>
      </c>
      <c r="D13" s="315">
        <v>0</v>
      </c>
      <c r="E13" s="315">
        <v>0</v>
      </c>
      <c r="F13" s="315">
        <v>1</v>
      </c>
    </row>
    <row r="14" spans="1:6" s="24" customFormat="1" x14ac:dyDescent="0.2">
      <c r="A14" s="625" t="s">
        <v>1137</v>
      </c>
      <c r="B14" s="315">
        <v>0</v>
      </c>
      <c r="C14" s="315">
        <v>1</v>
      </c>
      <c r="D14" s="315">
        <v>0</v>
      </c>
      <c r="E14" s="315">
        <v>0</v>
      </c>
      <c r="F14" s="315">
        <v>0</v>
      </c>
    </row>
    <row r="15" spans="1:6" s="24" customFormat="1" x14ac:dyDescent="0.2">
      <c r="A15" s="625" t="s">
        <v>1138</v>
      </c>
      <c r="B15" s="315">
        <v>0</v>
      </c>
      <c r="C15" s="315">
        <v>0</v>
      </c>
      <c r="D15" s="315">
        <v>0</v>
      </c>
      <c r="E15" s="315">
        <v>2</v>
      </c>
      <c r="F15" s="315">
        <v>0</v>
      </c>
    </row>
    <row r="16" spans="1:6" s="24" customFormat="1" x14ac:dyDescent="0.2">
      <c r="A16" s="625" t="s">
        <v>1139</v>
      </c>
      <c r="B16" s="315">
        <v>0</v>
      </c>
      <c r="C16" s="315">
        <v>0</v>
      </c>
      <c r="D16" s="315">
        <v>0</v>
      </c>
      <c r="E16" s="315">
        <v>0</v>
      </c>
      <c r="F16" s="315">
        <v>1</v>
      </c>
    </row>
    <row r="17" spans="1:6" s="24" customFormat="1" x14ac:dyDescent="0.2">
      <c r="A17" s="24" t="s">
        <v>1140</v>
      </c>
      <c r="B17" s="622">
        <f>SUM(B18:B19)</f>
        <v>5</v>
      </c>
      <c r="C17" s="622">
        <f>SUM(C18:C19)</f>
        <v>3</v>
      </c>
      <c r="D17" s="622">
        <f>SUM(D18:D19)</f>
        <v>4</v>
      </c>
      <c r="E17" s="622">
        <f>SUM(E18:E19)</f>
        <v>3</v>
      </c>
      <c r="F17" s="622">
        <f>SUM(F18:F19)</f>
        <v>6</v>
      </c>
    </row>
    <row r="18" spans="1:6" x14ac:dyDescent="0.2">
      <c r="A18" s="625" t="s">
        <v>1141</v>
      </c>
      <c r="B18" s="315">
        <v>1</v>
      </c>
      <c r="C18" s="315">
        <v>1</v>
      </c>
      <c r="D18" s="315">
        <v>1</v>
      </c>
      <c r="E18" s="315">
        <v>1</v>
      </c>
      <c r="F18" s="315">
        <v>2</v>
      </c>
    </row>
    <row r="19" spans="1:6" x14ac:dyDescent="0.2">
      <c r="A19" s="625" t="s">
        <v>1142</v>
      </c>
      <c r="B19" s="315">
        <v>4</v>
      </c>
      <c r="C19" s="315">
        <v>2</v>
      </c>
      <c r="D19" s="315">
        <v>3</v>
      </c>
      <c r="E19" s="315">
        <v>2</v>
      </c>
      <c r="F19" s="315">
        <v>4</v>
      </c>
    </row>
    <row r="20" spans="1:6" s="24" customFormat="1" x14ac:dyDescent="0.2">
      <c r="A20" s="24" t="s">
        <v>1143</v>
      </c>
      <c r="B20" s="622">
        <f>B21</f>
        <v>0</v>
      </c>
      <c r="C20" s="622">
        <f>C21</f>
        <v>0</v>
      </c>
      <c r="D20" s="622">
        <f>D21</f>
        <v>0</v>
      </c>
      <c r="E20" s="622">
        <f>E21</f>
        <v>1</v>
      </c>
      <c r="F20" s="622">
        <f>F21</f>
        <v>0</v>
      </c>
    </row>
    <row r="21" spans="1:6" x14ac:dyDescent="0.2">
      <c r="A21" s="625" t="s">
        <v>1144</v>
      </c>
      <c r="B21" s="315">
        <v>0</v>
      </c>
      <c r="C21" s="315">
        <v>0</v>
      </c>
      <c r="D21" s="315">
        <v>0</v>
      </c>
      <c r="E21" s="315">
        <v>1</v>
      </c>
      <c r="F21" s="315">
        <v>0</v>
      </c>
    </row>
    <row r="22" spans="1:6" s="24" customFormat="1" x14ac:dyDescent="0.2">
      <c r="A22" s="24" t="s">
        <v>1145</v>
      </c>
      <c r="B22" s="622">
        <f>SUM(B23:B30)</f>
        <v>1</v>
      </c>
      <c r="C22" s="622">
        <f>SUM(C23:C30)</f>
        <v>2</v>
      </c>
      <c r="D22" s="622">
        <f>SUM(D23:D30)</f>
        <v>0</v>
      </c>
      <c r="E22" s="622">
        <f>SUM(E23:E30)</f>
        <v>3</v>
      </c>
      <c r="F22" s="622">
        <f>SUM(F23:F30)</f>
        <v>2</v>
      </c>
    </row>
    <row r="23" spans="1:6" x14ac:dyDescent="0.2">
      <c r="A23" s="625" t="s">
        <v>1146</v>
      </c>
      <c r="B23" s="315">
        <v>1</v>
      </c>
      <c r="C23" s="315">
        <v>0</v>
      </c>
      <c r="D23" s="315">
        <v>0</v>
      </c>
      <c r="E23" s="315">
        <v>0</v>
      </c>
      <c r="F23" s="315">
        <v>0</v>
      </c>
    </row>
    <row r="24" spans="1:6" x14ac:dyDescent="0.2">
      <c r="A24" s="625" t="s">
        <v>1147</v>
      </c>
      <c r="B24" s="315">
        <v>0</v>
      </c>
      <c r="C24" s="315">
        <v>1</v>
      </c>
      <c r="D24" s="315">
        <v>0</v>
      </c>
      <c r="E24" s="315">
        <v>0</v>
      </c>
      <c r="F24" s="315">
        <v>0</v>
      </c>
    </row>
    <row r="25" spans="1:6" x14ac:dyDescent="0.2">
      <c r="A25" s="625" t="s">
        <v>1148</v>
      </c>
      <c r="B25" s="315">
        <v>0</v>
      </c>
      <c r="C25" s="315">
        <v>1</v>
      </c>
      <c r="D25" s="315">
        <v>0</v>
      </c>
      <c r="E25" s="315">
        <v>0</v>
      </c>
      <c r="F25" s="315">
        <v>0</v>
      </c>
    </row>
    <row r="26" spans="1:6" x14ac:dyDescent="0.2">
      <c r="A26" s="625" t="s">
        <v>1149</v>
      </c>
      <c r="B26" s="315">
        <v>0</v>
      </c>
      <c r="C26" s="315">
        <v>0</v>
      </c>
      <c r="D26" s="315">
        <v>0</v>
      </c>
      <c r="E26" s="315">
        <v>1</v>
      </c>
      <c r="F26" s="315">
        <v>0</v>
      </c>
    </row>
    <row r="27" spans="1:6" x14ac:dyDescent="0.2">
      <c r="A27" s="625" t="s">
        <v>1150</v>
      </c>
      <c r="B27" s="315">
        <v>0</v>
      </c>
      <c r="C27" s="315">
        <v>0</v>
      </c>
      <c r="D27" s="315">
        <v>0</v>
      </c>
      <c r="E27" s="315">
        <v>1</v>
      </c>
      <c r="F27" s="315">
        <v>0</v>
      </c>
    </row>
    <row r="28" spans="1:6" x14ac:dyDescent="0.2">
      <c r="A28" s="625" t="s">
        <v>1151</v>
      </c>
      <c r="B28" s="315">
        <v>0</v>
      </c>
      <c r="C28" s="315">
        <v>0</v>
      </c>
      <c r="D28" s="315">
        <v>0</v>
      </c>
      <c r="E28" s="315">
        <v>1</v>
      </c>
      <c r="F28" s="315">
        <v>0</v>
      </c>
    </row>
    <row r="29" spans="1:6" x14ac:dyDescent="0.2">
      <c r="A29" s="625" t="s">
        <v>1152</v>
      </c>
      <c r="B29" s="315">
        <v>0</v>
      </c>
      <c r="C29" s="315">
        <v>0</v>
      </c>
      <c r="D29" s="315">
        <v>0</v>
      </c>
      <c r="E29" s="315">
        <v>0</v>
      </c>
      <c r="F29" s="315">
        <v>1</v>
      </c>
    </row>
    <row r="30" spans="1:6" x14ac:dyDescent="0.2">
      <c r="A30" s="625" t="s">
        <v>1153</v>
      </c>
      <c r="B30" s="315">
        <v>0</v>
      </c>
      <c r="C30" s="315">
        <v>0</v>
      </c>
      <c r="D30" s="315">
        <v>0</v>
      </c>
      <c r="E30" s="315">
        <v>0</v>
      </c>
      <c r="F30" s="315">
        <v>1</v>
      </c>
    </row>
    <row r="31" spans="1:6" s="24" customFormat="1" x14ac:dyDescent="0.2">
      <c r="A31" s="24" t="s">
        <v>1154</v>
      </c>
      <c r="B31" s="622">
        <f>SUM(B32:B33)</f>
        <v>2</v>
      </c>
      <c r="C31" s="622">
        <f>SUM(C32:C33)</f>
        <v>3</v>
      </c>
      <c r="D31" s="622">
        <f>SUM(D32:D33)</f>
        <v>6</v>
      </c>
      <c r="E31" s="622">
        <f>SUM(E32:E33)</f>
        <v>9</v>
      </c>
      <c r="F31" s="622">
        <f>SUM(F32:F33)</f>
        <v>6</v>
      </c>
    </row>
    <row r="32" spans="1:6" x14ac:dyDescent="0.2">
      <c r="A32" s="625" t="s">
        <v>1155</v>
      </c>
      <c r="B32" s="315">
        <v>1</v>
      </c>
      <c r="C32" s="315">
        <v>2</v>
      </c>
      <c r="D32" s="315">
        <v>4</v>
      </c>
      <c r="E32" s="315">
        <v>8</v>
      </c>
      <c r="F32" s="315">
        <v>4</v>
      </c>
    </row>
    <row r="33" spans="1:6" x14ac:dyDescent="0.2">
      <c r="A33" s="625" t="s">
        <v>1156</v>
      </c>
      <c r="B33" s="315">
        <v>1</v>
      </c>
      <c r="C33" s="315">
        <v>1</v>
      </c>
      <c r="D33" s="315">
        <v>2</v>
      </c>
      <c r="E33" s="315">
        <v>1</v>
      </c>
      <c r="F33" s="315">
        <v>2</v>
      </c>
    </row>
    <row r="34" spans="1:6" s="24" customFormat="1" x14ac:dyDescent="0.2">
      <c r="A34" s="24" t="s">
        <v>1157</v>
      </c>
      <c r="B34" s="622">
        <f>SUM(B35:B38)</f>
        <v>15</v>
      </c>
      <c r="C34" s="622">
        <f>SUM(C35:C38)</f>
        <v>7</v>
      </c>
      <c r="D34" s="622">
        <f>SUM(D35:D38)</f>
        <v>7</v>
      </c>
      <c r="E34" s="622">
        <f>SUM(E35:E38)</f>
        <v>12</v>
      </c>
      <c r="F34" s="622">
        <f>SUM(F35:F38)</f>
        <v>15</v>
      </c>
    </row>
    <row r="35" spans="1:6" x14ac:dyDescent="0.2">
      <c r="A35" s="625" t="s">
        <v>1158</v>
      </c>
      <c r="B35" s="315">
        <v>0</v>
      </c>
      <c r="C35" s="315">
        <v>0</v>
      </c>
      <c r="D35" s="315">
        <v>0</v>
      </c>
      <c r="E35" s="315">
        <v>1</v>
      </c>
      <c r="F35" s="315">
        <v>6</v>
      </c>
    </row>
    <row r="36" spans="1:6" x14ac:dyDescent="0.2">
      <c r="A36" s="625" t="s">
        <v>1159</v>
      </c>
      <c r="B36" s="315">
        <v>6</v>
      </c>
      <c r="C36" s="315">
        <v>4</v>
      </c>
      <c r="D36" s="315">
        <v>6</v>
      </c>
      <c r="E36" s="315">
        <v>2</v>
      </c>
      <c r="F36" s="315">
        <v>1</v>
      </c>
    </row>
    <row r="37" spans="1:6" x14ac:dyDescent="0.2">
      <c r="A37" s="625" t="s">
        <v>1160</v>
      </c>
      <c r="B37" s="315">
        <v>9</v>
      </c>
      <c r="C37" s="315">
        <v>3</v>
      </c>
      <c r="D37" s="315">
        <v>1</v>
      </c>
      <c r="E37" s="315">
        <v>9</v>
      </c>
      <c r="F37" s="315">
        <v>7</v>
      </c>
    </row>
    <row r="38" spans="1:6" x14ac:dyDescent="0.2">
      <c r="A38" s="625" t="s">
        <v>1161</v>
      </c>
      <c r="B38" s="315">
        <v>0</v>
      </c>
      <c r="C38" s="315">
        <v>0</v>
      </c>
      <c r="D38" s="315">
        <v>0</v>
      </c>
      <c r="E38" s="315">
        <v>0</v>
      </c>
      <c r="F38" s="315">
        <v>1</v>
      </c>
    </row>
    <row r="39" spans="1:6" s="24" customFormat="1" x14ac:dyDescent="0.2">
      <c r="A39" s="24" t="s">
        <v>1162</v>
      </c>
      <c r="B39" s="622">
        <f>SUM(B40:B44)</f>
        <v>3</v>
      </c>
      <c r="C39" s="622">
        <f>SUM(C40:C44)</f>
        <v>3</v>
      </c>
      <c r="D39" s="622">
        <f>SUM(D40:D44)</f>
        <v>2</v>
      </c>
      <c r="E39" s="622">
        <f>SUM(E40:E44)</f>
        <v>3</v>
      </c>
      <c r="F39" s="622">
        <f>SUM(F40:F44)</f>
        <v>3</v>
      </c>
    </row>
    <row r="40" spans="1:6" x14ac:dyDescent="0.2">
      <c r="A40" s="625" t="s">
        <v>1163</v>
      </c>
      <c r="B40" s="315">
        <v>1</v>
      </c>
      <c r="C40" s="315">
        <v>1</v>
      </c>
      <c r="D40" s="315">
        <v>1</v>
      </c>
      <c r="E40" s="315">
        <v>1</v>
      </c>
      <c r="F40" s="315">
        <v>1</v>
      </c>
    </row>
    <row r="41" spans="1:6" x14ac:dyDescent="0.2">
      <c r="A41" s="625" t="s">
        <v>1164</v>
      </c>
      <c r="B41" s="315">
        <v>1</v>
      </c>
      <c r="C41" s="315">
        <v>0</v>
      </c>
      <c r="D41" s="315">
        <v>0</v>
      </c>
      <c r="E41" s="315">
        <v>1</v>
      </c>
      <c r="F41" s="315">
        <v>0</v>
      </c>
    </row>
    <row r="42" spans="1:6" x14ac:dyDescent="0.2">
      <c r="A42" s="625" t="s">
        <v>1165</v>
      </c>
      <c r="B42" s="315">
        <v>1</v>
      </c>
      <c r="C42" s="315">
        <v>1</v>
      </c>
      <c r="D42" s="315">
        <v>1</v>
      </c>
      <c r="E42" s="315">
        <v>1</v>
      </c>
      <c r="F42" s="315">
        <v>1</v>
      </c>
    </row>
    <row r="43" spans="1:6" x14ac:dyDescent="0.2">
      <c r="A43" s="625" t="s">
        <v>1166</v>
      </c>
      <c r="B43" s="315">
        <v>0</v>
      </c>
      <c r="C43" s="315">
        <v>1</v>
      </c>
      <c r="D43" s="315">
        <v>0</v>
      </c>
      <c r="E43" s="315">
        <v>0</v>
      </c>
      <c r="F43" s="315">
        <v>0</v>
      </c>
    </row>
    <row r="44" spans="1:6" x14ac:dyDescent="0.2">
      <c r="A44" s="625" t="s">
        <v>1167</v>
      </c>
      <c r="B44" s="315">
        <v>0</v>
      </c>
      <c r="C44" s="315">
        <v>0</v>
      </c>
      <c r="D44" s="315">
        <v>0</v>
      </c>
      <c r="E44" s="315">
        <v>0</v>
      </c>
      <c r="F44" s="315">
        <v>1</v>
      </c>
    </row>
    <row r="45" spans="1:6" s="24" customFormat="1" x14ac:dyDescent="0.2">
      <c r="A45" s="24" t="s">
        <v>1168</v>
      </c>
      <c r="B45" s="622">
        <f>SUM(B46:B49)</f>
        <v>5</v>
      </c>
      <c r="C45" s="622">
        <f>SUM(C46:C49)</f>
        <v>9</v>
      </c>
      <c r="D45" s="622">
        <f>SUM(D46:D49)</f>
        <v>7</v>
      </c>
      <c r="E45" s="622">
        <f>SUM(E46:E49)</f>
        <v>8</v>
      </c>
      <c r="F45" s="622">
        <f>SUM(F46:F49)</f>
        <v>7</v>
      </c>
    </row>
    <row r="46" spans="1:6" x14ac:dyDescent="0.2">
      <c r="A46" s="625" t="s">
        <v>1169</v>
      </c>
      <c r="B46" s="315">
        <v>0</v>
      </c>
      <c r="C46" s="315">
        <v>0</v>
      </c>
      <c r="D46" s="315">
        <v>0</v>
      </c>
      <c r="E46" s="315">
        <v>1</v>
      </c>
      <c r="F46" s="315">
        <v>1</v>
      </c>
    </row>
    <row r="47" spans="1:6" x14ac:dyDescent="0.2">
      <c r="A47" s="625" t="s">
        <v>1170</v>
      </c>
      <c r="B47" s="315">
        <v>1</v>
      </c>
      <c r="C47" s="315">
        <v>2</v>
      </c>
      <c r="D47" s="315">
        <v>1</v>
      </c>
      <c r="E47" s="315">
        <v>1</v>
      </c>
      <c r="F47" s="315">
        <v>1</v>
      </c>
    </row>
    <row r="48" spans="1:6" x14ac:dyDescent="0.2">
      <c r="A48" s="625" t="s">
        <v>945</v>
      </c>
      <c r="B48" s="315">
        <v>3</v>
      </c>
      <c r="C48" s="315">
        <v>7</v>
      </c>
      <c r="D48" s="315">
        <v>6</v>
      </c>
      <c r="E48" s="315">
        <v>5</v>
      </c>
      <c r="F48" s="315">
        <v>5</v>
      </c>
    </row>
    <row r="49" spans="1:6" x14ac:dyDescent="0.2">
      <c r="A49" s="625" t="s">
        <v>1171</v>
      </c>
      <c r="B49" s="315">
        <v>1</v>
      </c>
      <c r="C49" s="315">
        <v>0</v>
      </c>
      <c r="D49" s="315">
        <v>0</v>
      </c>
      <c r="E49" s="315">
        <v>1</v>
      </c>
      <c r="F49" s="315">
        <v>0</v>
      </c>
    </row>
    <row r="50" spans="1:6" s="24" customFormat="1" x14ac:dyDescent="0.2">
      <c r="A50" s="24" t="s">
        <v>1172</v>
      </c>
      <c r="B50" s="622">
        <f>B51</f>
        <v>15</v>
      </c>
      <c r="C50" s="622">
        <f>C51</f>
        <v>13</v>
      </c>
      <c r="D50" s="622">
        <f>D51</f>
        <v>15</v>
      </c>
      <c r="E50" s="622">
        <f>E51</f>
        <v>15</v>
      </c>
      <c r="F50" s="622">
        <f>F51</f>
        <v>15</v>
      </c>
    </row>
    <row r="51" spans="1:6" x14ac:dyDescent="0.2">
      <c r="A51" s="625" t="s">
        <v>1173</v>
      </c>
      <c r="B51" s="315">
        <v>15</v>
      </c>
      <c r="C51" s="315">
        <v>13</v>
      </c>
      <c r="D51" s="315">
        <v>15</v>
      </c>
      <c r="E51" s="315">
        <v>15</v>
      </c>
      <c r="F51" s="315">
        <v>15</v>
      </c>
    </row>
    <row r="53" spans="1:6" x14ac:dyDescent="0.2">
      <c r="A53" s="2" t="s">
        <v>19</v>
      </c>
    </row>
    <row r="54" spans="1:6" x14ac:dyDescent="0.2">
      <c r="A54" s="623" t="s">
        <v>1128</v>
      </c>
      <c r="B54" s="623"/>
      <c r="C54" s="623"/>
      <c r="D54" s="623"/>
      <c r="E54" s="623"/>
      <c r="F54" s="623"/>
    </row>
  </sheetData>
  <mergeCells count="4">
    <mergeCell ref="A2:F2"/>
    <mergeCell ref="A4:A5"/>
    <mergeCell ref="B4:F4"/>
    <mergeCell ref="A54:F54"/>
  </mergeCells>
  <pageMargins left="0.70866141732283472" right="0.70866141732283472" top="0.37" bottom="0.74803149606299213" header="0.21" footer="0.31496062992125984"/>
  <pageSetup paperSize="14" scale="90" orientation="landscape" verticalDpi="300"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DE64B-D25F-4ADA-9ED0-1D070E56630D}">
  <sheetPr codeName="Hoja65">
    <tabColor theme="8"/>
  </sheetPr>
  <dimension ref="A2:A10"/>
  <sheetViews>
    <sheetView workbookViewId="0">
      <selection activeCell="A11" sqref="A11"/>
    </sheetView>
  </sheetViews>
  <sheetFormatPr baseColWidth="10" defaultColWidth="11.44140625" defaultRowHeight="10.199999999999999" x14ac:dyDescent="0.2"/>
  <cols>
    <col min="1" max="16384" width="11.44140625" style="24"/>
  </cols>
  <sheetData>
    <row r="2" spans="1:1" x14ac:dyDescent="0.2">
      <c r="A2" s="24" t="s">
        <v>1065</v>
      </c>
    </row>
    <row r="3" spans="1:1" x14ac:dyDescent="0.2">
      <c r="A3" s="2"/>
    </row>
    <row r="4" spans="1:1" x14ac:dyDescent="0.2">
      <c r="A4" s="24" t="s">
        <v>1174</v>
      </c>
    </row>
    <row r="6" spans="1:1" x14ac:dyDescent="0.2">
      <c r="A6" s="1709" t="s">
        <v>1066</v>
      </c>
    </row>
    <row r="7" spans="1:1" x14ac:dyDescent="0.2">
      <c r="A7" s="1709" t="s">
        <v>1067</v>
      </c>
    </row>
    <row r="8" spans="1:1" x14ac:dyDescent="0.2">
      <c r="A8" s="1709" t="s">
        <v>1068</v>
      </c>
    </row>
    <row r="9" spans="1:1" x14ac:dyDescent="0.2">
      <c r="A9" s="1709" t="s">
        <v>1069</v>
      </c>
    </row>
    <row r="10" spans="1:1" x14ac:dyDescent="0.2">
      <c r="A10" s="2"/>
    </row>
  </sheetData>
  <hyperlinks>
    <hyperlink ref="A6" location="'3.1.1.1-01'!A1" display="CUADRO 3.1.1.1-01: NÚMERO DE ARCHIVOS PÚBLICOS DE LA DIRECCIÓN DE BIBLIOTECAS, ARCHIVOS Y MUSEOS (DIBAM), SEGÚN REGIÓN. 2009-2013" xr:uid="{53BE33A7-B0FD-4011-ACC2-BC9B80438387}"/>
    <hyperlink ref="A7" location="'3.1.1.1-02'!A1" display="CUADRO 3.1.1.1-02: NÚMERO DE DOCUMENTOS CONTENIDOS EN LOS ARCHIVOS PÚBLICOS DE LA DIRECCIÓN DE BIBLIOTECAS, ARCHIVOS Y MUSEOS (DIBAM), SEGÚN REGIÓN. 2013" xr:uid="{801F9687-A362-4FEC-B048-29BBCEEDCAAC}"/>
    <hyperlink ref="A8" location="'3.1.1.1-03'!A1" display="CUADRO 3.1.1.1-03: NÚMERO DE USUARIOS PRESENCIALES DE ARCHIVOS PÚBLICOS DE LA DIRECCIÓN DE BIBLIOTECAS, ARCHIVOS Y MUSEOS (DIBAM), SEGÚN REGIÓN. 2009-2013" xr:uid="{7CBF7526-2CB6-44E1-9047-C04C926D99FA}"/>
    <hyperlink ref="A9" location="'3.1.1.1-04'!A1" display="CUADRO 3.1.1.1-04: NÚMERO TOTAL DE USUARIOS PRESENCIALES Y REMOTOS DE ARCHIVOS PÚBLICOS DE LA DIRECCIÓN DE BIBLIOTECAS, ARCHIVOS Y MUSEOS (DIBAM). 2009-2013" xr:uid="{1C20FB88-F918-42D5-A7D9-68008197F203}"/>
  </hyperlinks>
  <pageMargins left="0.7" right="0.7" top="0.75" bottom="0.75" header="0.3" footer="0.3"/>
  <pageSetup paperSize="14"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99859-D9C5-45DD-A458-828F216261E4}">
  <sheetPr codeName="Hoja66"/>
  <dimension ref="A2:F27"/>
  <sheetViews>
    <sheetView workbookViewId="0">
      <selection activeCell="D4" sqref="D4"/>
    </sheetView>
  </sheetViews>
  <sheetFormatPr baseColWidth="10" defaultColWidth="11.44140625" defaultRowHeight="10.199999999999999" x14ac:dyDescent="0.2"/>
  <cols>
    <col min="1" max="1" width="35.44140625" style="2" customWidth="1"/>
    <col min="2" max="16384" width="11.44140625" style="2"/>
  </cols>
  <sheetData>
    <row r="2" spans="1:6" s="624" customFormat="1" ht="29.25" customHeight="1" x14ac:dyDescent="0.2">
      <c r="A2" s="620" t="s">
        <v>1066</v>
      </c>
      <c r="B2" s="620"/>
      <c r="C2" s="620"/>
      <c r="D2" s="620"/>
      <c r="E2" s="620"/>
      <c r="F2" s="620"/>
    </row>
    <row r="3" spans="1:6" ht="10.5" customHeight="1" x14ac:dyDescent="0.2"/>
    <row r="4" spans="1:6" ht="14.25" customHeight="1" x14ac:dyDescent="0.2">
      <c r="A4" s="323" t="s">
        <v>0</v>
      </c>
      <c r="B4" s="323" t="s">
        <v>1175</v>
      </c>
      <c r="C4" s="323"/>
      <c r="D4" s="323"/>
      <c r="E4" s="323"/>
      <c r="F4" s="323"/>
    </row>
    <row r="5" spans="1:6" ht="14.25" customHeight="1" x14ac:dyDescent="0.2">
      <c r="A5" s="323"/>
      <c r="B5" s="621">
        <v>2009</v>
      </c>
      <c r="C5" s="621">
        <v>2010</v>
      </c>
      <c r="D5" s="621">
        <v>2011</v>
      </c>
      <c r="E5" s="621">
        <v>2012</v>
      </c>
      <c r="F5" s="621">
        <v>2013</v>
      </c>
    </row>
    <row r="6" spans="1:6" s="24" customFormat="1" ht="12.75" customHeight="1" x14ac:dyDescent="0.2">
      <c r="A6" s="24" t="s">
        <v>1127</v>
      </c>
      <c r="B6" s="24">
        <f>SUM(B7:B22)</f>
        <v>4</v>
      </c>
      <c r="C6" s="24">
        <f>SUM(C7:C22)</f>
        <v>4</v>
      </c>
      <c r="D6" s="24">
        <f>SUM(D7:D22)</f>
        <v>4</v>
      </c>
      <c r="E6" s="24">
        <f>SUM(E7:E22)</f>
        <v>4</v>
      </c>
      <c r="F6" s="24">
        <f>SUM(F7:F22)</f>
        <v>4</v>
      </c>
    </row>
    <row r="7" spans="1:6" ht="12.75" customHeight="1" x14ac:dyDescent="0.2">
      <c r="A7" s="2" t="s">
        <v>4</v>
      </c>
      <c r="B7" s="315">
        <v>0</v>
      </c>
      <c r="C7" s="315">
        <v>0</v>
      </c>
      <c r="D7" s="315">
        <v>0</v>
      </c>
      <c r="E7" s="315">
        <v>0</v>
      </c>
      <c r="F7" s="315">
        <v>0</v>
      </c>
    </row>
    <row r="8" spans="1:6" ht="12.75" customHeight="1" x14ac:dyDescent="0.2">
      <c r="A8" s="2" t="s">
        <v>5</v>
      </c>
      <c r="B8" s="315">
        <v>1</v>
      </c>
      <c r="C8" s="315">
        <v>1</v>
      </c>
      <c r="D8" s="315">
        <v>1</v>
      </c>
      <c r="E8" s="315">
        <v>1</v>
      </c>
      <c r="F8" s="315">
        <v>1</v>
      </c>
    </row>
    <row r="9" spans="1:6" ht="12.75" customHeight="1" x14ac:dyDescent="0.2">
      <c r="A9" s="2" t="s">
        <v>6</v>
      </c>
      <c r="B9" s="315">
        <v>0</v>
      </c>
      <c r="C9" s="315">
        <v>0</v>
      </c>
      <c r="D9" s="315">
        <v>0</v>
      </c>
      <c r="E9" s="315">
        <v>0</v>
      </c>
      <c r="F9" s="315">
        <v>0</v>
      </c>
    </row>
    <row r="10" spans="1:6" ht="12.75" customHeight="1" x14ac:dyDescent="0.2">
      <c r="A10" s="2" t="s">
        <v>7</v>
      </c>
      <c r="B10" s="315">
        <v>0</v>
      </c>
      <c r="C10" s="315">
        <v>0</v>
      </c>
      <c r="D10" s="315">
        <v>0</v>
      </c>
      <c r="E10" s="315">
        <v>0</v>
      </c>
      <c r="F10" s="315">
        <v>0</v>
      </c>
    </row>
    <row r="11" spans="1:6" ht="12.75" customHeight="1" x14ac:dyDescent="0.2">
      <c r="A11" s="2" t="s">
        <v>8</v>
      </c>
      <c r="B11" s="315">
        <v>0</v>
      </c>
      <c r="C11" s="315">
        <v>0</v>
      </c>
      <c r="D11" s="315">
        <v>0</v>
      </c>
      <c r="E11" s="315">
        <v>0</v>
      </c>
      <c r="F11" s="315">
        <v>0</v>
      </c>
    </row>
    <row r="12" spans="1:6" ht="12.75" customHeight="1" x14ac:dyDescent="0.2">
      <c r="A12" s="2" t="s">
        <v>9</v>
      </c>
      <c r="B12" s="315">
        <v>0</v>
      </c>
      <c r="C12" s="315">
        <v>0</v>
      </c>
      <c r="D12" s="315">
        <v>0</v>
      </c>
      <c r="E12" s="315">
        <v>0</v>
      </c>
      <c r="F12" s="315">
        <v>0</v>
      </c>
    </row>
    <row r="13" spans="1:6" ht="12.75" customHeight="1" x14ac:dyDescent="0.2">
      <c r="A13" s="2" t="s">
        <v>1049</v>
      </c>
      <c r="B13" s="315">
        <v>1</v>
      </c>
      <c r="C13" s="315">
        <v>1</v>
      </c>
      <c r="D13" s="315">
        <v>1</v>
      </c>
      <c r="E13" s="315">
        <v>1</v>
      </c>
      <c r="F13" s="315">
        <v>1</v>
      </c>
    </row>
    <row r="14" spans="1:6" ht="12.75" customHeight="1" x14ac:dyDescent="0.2">
      <c r="A14" s="2" t="s">
        <v>1050</v>
      </c>
      <c r="B14" s="315">
        <v>1</v>
      </c>
      <c r="C14" s="315">
        <v>1</v>
      </c>
      <c r="D14" s="315">
        <v>1</v>
      </c>
      <c r="E14" s="315">
        <v>1</v>
      </c>
      <c r="F14" s="315">
        <v>1</v>
      </c>
    </row>
    <row r="15" spans="1:6" x14ac:dyDescent="0.2">
      <c r="A15" s="2" t="s">
        <v>134</v>
      </c>
      <c r="B15" s="315">
        <v>0</v>
      </c>
      <c r="C15" s="315">
        <v>0</v>
      </c>
      <c r="D15" s="315">
        <v>0</v>
      </c>
      <c r="E15" s="315">
        <v>0</v>
      </c>
      <c r="F15" s="315">
        <v>0</v>
      </c>
    </row>
    <row r="16" spans="1:6" ht="12.75" customHeight="1" x14ac:dyDescent="0.2">
      <c r="A16" s="2" t="s">
        <v>12</v>
      </c>
      <c r="B16" s="315">
        <v>0</v>
      </c>
      <c r="C16" s="315">
        <v>0</v>
      </c>
      <c r="D16" s="315">
        <v>0</v>
      </c>
      <c r="E16" s="315">
        <v>0</v>
      </c>
      <c r="F16" s="315">
        <v>0</v>
      </c>
    </row>
    <row r="17" spans="1:6" ht="12.75" customHeight="1" x14ac:dyDescent="0.2">
      <c r="A17" s="2" t="s">
        <v>13</v>
      </c>
      <c r="B17" s="315">
        <v>0</v>
      </c>
      <c r="C17" s="315">
        <v>0</v>
      </c>
      <c r="D17" s="315">
        <v>0</v>
      </c>
      <c r="E17" s="315">
        <v>0</v>
      </c>
      <c r="F17" s="315">
        <v>0</v>
      </c>
    </row>
    <row r="18" spans="1:6" ht="12.75" customHeight="1" x14ac:dyDescent="0.2">
      <c r="A18" s="2" t="s">
        <v>47</v>
      </c>
      <c r="B18" s="315">
        <v>1</v>
      </c>
      <c r="C18" s="315">
        <v>1</v>
      </c>
      <c r="D18" s="315">
        <v>1</v>
      </c>
      <c r="E18" s="315">
        <v>1</v>
      </c>
      <c r="F18" s="315">
        <v>1</v>
      </c>
    </row>
    <row r="19" spans="1:6" ht="12.75" customHeight="1" x14ac:dyDescent="0.2">
      <c r="A19" s="2" t="s">
        <v>135</v>
      </c>
      <c r="B19" s="315">
        <v>0</v>
      </c>
      <c r="C19" s="315">
        <v>0</v>
      </c>
      <c r="D19" s="315">
        <v>0</v>
      </c>
      <c r="E19" s="315">
        <v>0</v>
      </c>
      <c r="F19" s="315">
        <v>0</v>
      </c>
    </row>
    <row r="20" spans="1:6" ht="12.75" customHeight="1" x14ac:dyDescent="0.2">
      <c r="A20" s="2" t="s">
        <v>136</v>
      </c>
      <c r="B20" s="315">
        <v>0</v>
      </c>
      <c r="C20" s="315">
        <v>0</v>
      </c>
      <c r="D20" s="315">
        <v>0</v>
      </c>
      <c r="E20" s="315">
        <v>0</v>
      </c>
      <c r="F20" s="315">
        <v>0</v>
      </c>
    </row>
    <row r="21" spans="1:6" ht="12.75" customHeight="1" x14ac:dyDescent="0.2">
      <c r="A21" s="2" t="s">
        <v>17</v>
      </c>
      <c r="B21" s="315">
        <v>0</v>
      </c>
      <c r="C21" s="315">
        <v>0</v>
      </c>
      <c r="D21" s="315">
        <v>0</v>
      </c>
      <c r="E21" s="315">
        <v>0</v>
      </c>
      <c r="F21" s="315">
        <v>0</v>
      </c>
    </row>
    <row r="22" spans="1:6" ht="12.75" customHeight="1" x14ac:dyDescent="0.2">
      <c r="A22" s="2" t="s">
        <v>18</v>
      </c>
      <c r="B22" s="315">
        <v>0</v>
      </c>
      <c r="C22" s="315">
        <v>0</v>
      </c>
      <c r="D22" s="315">
        <v>0</v>
      </c>
      <c r="E22" s="315">
        <v>0</v>
      </c>
      <c r="F22" s="315">
        <v>0</v>
      </c>
    </row>
    <row r="23" spans="1:6" ht="7.5" customHeight="1" x14ac:dyDescent="0.2"/>
    <row r="24" spans="1:6" ht="12.75" customHeight="1" x14ac:dyDescent="0.2">
      <c r="A24" s="623" t="s">
        <v>1176</v>
      </c>
      <c r="B24" s="623"/>
      <c r="C24" s="623"/>
      <c r="D24" s="623"/>
      <c r="E24" s="623"/>
      <c r="F24" s="623"/>
    </row>
    <row r="25" spans="1:6" x14ac:dyDescent="0.2">
      <c r="A25" s="623" t="s">
        <v>1177</v>
      </c>
      <c r="B25" s="623"/>
      <c r="C25" s="623"/>
      <c r="D25" s="623"/>
      <c r="E25" s="623"/>
      <c r="F25" s="623"/>
    </row>
    <row r="26" spans="1:6" x14ac:dyDescent="0.2">
      <c r="A26" s="623" t="s">
        <v>1178</v>
      </c>
      <c r="B26" s="623"/>
      <c r="C26" s="623"/>
      <c r="D26" s="623"/>
      <c r="E26" s="623"/>
      <c r="F26" s="623"/>
    </row>
    <row r="27" spans="1:6" x14ac:dyDescent="0.2">
      <c r="A27" s="623" t="s">
        <v>1128</v>
      </c>
      <c r="B27" s="623"/>
      <c r="C27" s="623"/>
      <c r="D27" s="623"/>
      <c r="E27" s="623"/>
      <c r="F27" s="623"/>
    </row>
  </sheetData>
  <mergeCells count="7">
    <mergeCell ref="A27:F27"/>
    <mergeCell ref="A2:F2"/>
    <mergeCell ref="A4:A5"/>
    <mergeCell ref="B4:F4"/>
    <mergeCell ref="A24:F24"/>
    <mergeCell ref="A25:F25"/>
    <mergeCell ref="A26:F26"/>
  </mergeCells>
  <pageMargins left="0.70866141732283472" right="0.70866141732283472" top="0.74803149606299213" bottom="0.74803149606299213" header="0.31496062992125984" footer="0.31496062992125984"/>
  <pageSetup paperSize="14"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1732B5-9B84-413E-AA9D-D606F2A7030B}">
  <sheetPr codeName="Hoja67"/>
  <dimension ref="A2:I44"/>
  <sheetViews>
    <sheetView workbookViewId="0">
      <selection activeCell="D4" sqref="D4"/>
    </sheetView>
  </sheetViews>
  <sheetFormatPr baseColWidth="10" defaultColWidth="11.44140625" defaultRowHeight="12.6" x14ac:dyDescent="0.2"/>
  <cols>
    <col min="1" max="1" width="53.44140625" style="633" customWidth="1"/>
    <col min="2" max="2" width="22.6640625" style="633" customWidth="1"/>
    <col min="3" max="16384" width="11.44140625" style="633"/>
  </cols>
  <sheetData>
    <row r="2" spans="1:2" s="628" customFormat="1" ht="38.25" customHeight="1" x14ac:dyDescent="0.2">
      <c r="A2" s="627" t="s">
        <v>1067</v>
      </c>
      <c r="B2" s="627"/>
    </row>
    <row r="4" spans="1:2" s="631" customFormat="1" ht="56.25" customHeight="1" x14ac:dyDescent="0.25">
      <c r="A4" s="629" t="s">
        <v>0</v>
      </c>
      <c r="B4" s="630" t="s">
        <v>1179</v>
      </c>
    </row>
    <row r="5" spans="1:2" s="628" customFormat="1" x14ac:dyDescent="0.2">
      <c r="A5" s="628" t="s">
        <v>1127</v>
      </c>
      <c r="B5" s="632">
        <f>SUM(B6:B21)</f>
        <v>494049</v>
      </c>
    </row>
    <row r="6" spans="1:2" x14ac:dyDescent="0.2">
      <c r="A6" s="633" t="s">
        <v>4</v>
      </c>
      <c r="B6" s="634">
        <v>0</v>
      </c>
    </row>
    <row r="7" spans="1:2" x14ac:dyDescent="0.2">
      <c r="A7" s="633" t="s">
        <v>5</v>
      </c>
      <c r="B7" s="634">
        <v>5788</v>
      </c>
    </row>
    <row r="8" spans="1:2" x14ac:dyDescent="0.2">
      <c r="A8" s="633" t="s">
        <v>6</v>
      </c>
      <c r="B8" s="634">
        <v>0</v>
      </c>
    </row>
    <row r="9" spans="1:2" x14ac:dyDescent="0.2">
      <c r="A9" s="633" t="s">
        <v>7</v>
      </c>
      <c r="B9" s="634">
        <v>0</v>
      </c>
    </row>
    <row r="10" spans="1:2" x14ac:dyDescent="0.2">
      <c r="A10" s="633" t="s">
        <v>8</v>
      </c>
      <c r="B10" s="634">
        <v>0</v>
      </c>
    </row>
    <row r="11" spans="1:2" x14ac:dyDescent="0.2">
      <c r="A11" s="633" t="s">
        <v>9</v>
      </c>
      <c r="B11" s="634">
        <v>0</v>
      </c>
    </row>
    <row r="12" spans="1:2" x14ac:dyDescent="0.2">
      <c r="A12" s="633" t="s">
        <v>1049</v>
      </c>
      <c r="B12" s="634">
        <v>111384</v>
      </c>
    </row>
    <row r="13" spans="1:2" x14ac:dyDescent="0.2">
      <c r="A13" s="633" t="s">
        <v>1050</v>
      </c>
      <c r="B13" s="634">
        <v>364513</v>
      </c>
    </row>
    <row r="14" spans="1:2" x14ac:dyDescent="0.2">
      <c r="A14" s="633" t="s">
        <v>134</v>
      </c>
      <c r="B14" s="634">
        <v>0</v>
      </c>
    </row>
    <row r="15" spans="1:2" x14ac:dyDescent="0.2">
      <c r="A15" s="633" t="s">
        <v>12</v>
      </c>
      <c r="B15" s="634">
        <v>0</v>
      </c>
    </row>
    <row r="16" spans="1:2" x14ac:dyDescent="0.2">
      <c r="A16" s="633" t="s">
        <v>13</v>
      </c>
      <c r="B16" s="634">
        <v>0</v>
      </c>
    </row>
    <row r="17" spans="1:9" x14ac:dyDescent="0.2">
      <c r="A17" s="633" t="s">
        <v>47</v>
      </c>
      <c r="B17" s="634">
        <v>12364</v>
      </c>
    </row>
    <row r="18" spans="1:9" x14ac:dyDescent="0.2">
      <c r="A18" s="633" t="s">
        <v>135</v>
      </c>
      <c r="B18" s="634">
        <v>0</v>
      </c>
    </row>
    <row r="19" spans="1:9" x14ac:dyDescent="0.2">
      <c r="A19" s="633" t="s">
        <v>136</v>
      </c>
      <c r="B19" s="634">
        <v>0</v>
      </c>
    </row>
    <row r="20" spans="1:9" x14ac:dyDescent="0.2">
      <c r="A20" s="633" t="s">
        <v>17</v>
      </c>
      <c r="B20" s="634">
        <v>0</v>
      </c>
    </row>
    <row r="21" spans="1:9" x14ac:dyDescent="0.2">
      <c r="A21" s="633" t="s">
        <v>18</v>
      </c>
      <c r="B21" s="634">
        <v>0</v>
      </c>
    </row>
    <row r="22" spans="1:9" ht="6.75" customHeight="1" x14ac:dyDescent="0.2"/>
    <row r="23" spans="1:9" x14ac:dyDescent="0.2">
      <c r="A23" s="633" t="s">
        <v>1176</v>
      </c>
    </row>
    <row r="24" spans="1:9" x14ac:dyDescent="0.2">
      <c r="A24" s="633" t="s">
        <v>1180</v>
      </c>
    </row>
    <row r="25" spans="1:9" x14ac:dyDescent="0.2">
      <c r="A25" s="633" t="s">
        <v>19</v>
      </c>
      <c r="I25" s="635"/>
    </row>
    <row r="26" spans="1:9" x14ac:dyDescent="0.2">
      <c r="A26" s="636" t="s">
        <v>1128</v>
      </c>
      <c r="B26" s="636"/>
    </row>
    <row r="44" spans="1:6" x14ac:dyDescent="0.2">
      <c r="A44" s="635"/>
      <c r="B44" s="635"/>
      <c r="C44" s="635"/>
      <c r="D44" s="635"/>
      <c r="E44" s="635"/>
      <c r="F44" s="635"/>
    </row>
  </sheetData>
  <mergeCells count="2">
    <mergeCell ref="A2:B2"/>
    <mergeCell ref="A26:B26"/>
  </mergeCells>
  <pageMargins left="0.7" right="0.7" top="0.75" bottom="0.75" header="0.3" footer="0.3"/>
  <pageSetup paperSize="1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184FD-D8D8-41A3-B5EF-1EDBF3D7672E}">
  <sheetPr codeName="Hoja68"/>
  <dimension ref="A2:F36"/>
  <sheetViews>
    <sheetView zoomScale="130" zoomScaleNormal="130" workbookViewId="0">
      <selection activeCell="D4" sqref="D4"/>
    </sheetView>
  </sheetViews>
  <sheetFormatPr baseColWidth="10" defaultColWidth="11.44140625" defaultRowHeight="10.199999999999999" x14ac:dyDescent="0.2"/>
  <cols>
    <col min="1" max="1" width="38.88671875" style="2" customWidth="1"/>
    <col min="2" max="2" width="15.88671875" style="2" customWidth="1"/>
    <col min="3" max="5" width="11.109375" style="2" customWidth="1"/>
    <col min="6" max="6" width="9" style="2" bestFit="1" customWidth="1"/>
    <col min="7" max="7" width="11.88671875" style="2" customWidth="1"/>
    <col min="8" max="22" width="11.44140625" style="2"/>
    <col min="23" max="23" width="33.33203125" style="2" customWidth="1"/>
    <col min="24" max="16384" width="11.44140625" style="2"/>
  </cols>
  <sheetData>
    <row r="2" spans="1:6" s="24" customFormat="1" ht="27" customHeight="1" x14ac:dyDescent="0.2">
      <c r="A2" s="620" t="s">
        <v>1068</v>
      </c>
      <c r="B2" s="620"/>
      <c r="C2" s="620"/>
      <c r="D2" s="620"/>
      <c r="E2" s="620"/>
      <c r="F2" s="620"/>
    </row>
    <row r="3" spans="1:6" ht="12.75" customHeight="1" x14ac:dyDescent="0.2"/>
    <row r="4" spans="1:6" s="637" customFormat="1" ht="16.5" customHeight="1" x14ac:dyDescent="0.25">
      <c r="A4" s="323" t="s">
        <v>0</v>
      </c>
      <c r="B4" s="323" t="s">
        <v>1181</v>
      </c>
      <c r="C4" s="323"/>
      <c r="D4" s="323"/>
      <c r="E4" s="323"/>
      <c r="F4" s="323"/>
    </row>
    <row r="5" spans="1:6" s="637" customFormat="1" ht="16.5" customHeight="1" x14ac:dyDescent="0.25">
      <c r="A5" s="323"/>
      <c r="B5" s="621">
        <v>2009</v>
      </c>
      <c r="C5" s="621">
        <v>2010</v>
      </c>
      <c r="D5" s="621">
        <v>2011</v>
      </c>
      <c r="E5" s="621">
        <v>2012</v>
      </c>
      <c r="F5" s="621">
        <v>2013</v>
      </c>
    </row>
    <row r="6" spans="1:6" s="24" customFormat="1" x14ac:dyDescent="0.2">
      <c r="A6" s="24" t="s">
        <v>1127</v>
      </c>
      <c r="B6" s="622">
        <f>SUM(B7:B22)</f>
        <v>63671</v>
      </c>
      <c r="C6" s="622">
        <f>SUM(C7:C22)</f>
        <v>35280</v>
      </c>
      <c r="D6" s="622">
        <f>SUM(D7:D22)</f>
        <v>47206</v>
      </c>
      <c r="E6" s="622">
        <f>SUM(E7:E22)</f>
        <v>65329</v>
      </c>
      <c r="F6" s="622">
        <f>SUM(F7:F22)</f>
        <v>79989</v>
      </c>
    </row>
    <row r="7" spans="1:6" x14ac:dyDescent="0.2">
      <c r="A7" s="2" t="s">
        <v>4</v>
      </c>
      <c r="B7" s="315">
        <v>0</v>
      </c>
      <c r="C7" s="315">
        <v>0</v>
      </c>
      <c r="D7" s="315">
        <v>0</v>
      </c>
      <c r="E7" s="315">
        <v>0</v>
      </c>
      <c r="F7" s="315">
        <v>0</v>
      </c>
    </row>
    <row r="8" spans="1:6" x14ac:dyDescent="0.2">
      <c r="A8" s="2" t="s">
        <v>5</v>
      </c>
      <c r="B8" s="315">
        <v>1127</v>
      </c>
      <c r="C8" s="315">
        <v>1330</v>
      </c>
      <c r="D8" s="315">
        <v>1534</v>
      </c>
      <c r="E8" s="315">
        <v>1635</v>
      </c>
      <c r="F8" s="315">
        <v>2307</v>
      </c>
    </row>
    <row r="9" spans="1:6" x14ac:dyDescent="0.2">
      <c r="A9" s="2" t="s">
        <v>6</v>
      </c>
      <c r="B9" s="315">
        <v>0</v>
      </c>
      <c r="C9" s="315">
        <v>0</v>
      </c>
      <c r="D9" s="315">
        <v>0</v>
      </c>
      <c r="E9" s="315">
        <v>0</v>
      </c>
      <c r="F9" s="315">
        <v>0</v>
      </c>
    </row>
    <row r="10" spans="1:6" x14ac:dyDescent="0.2">
      <c r="A10" s="2" t="s">
        <v>7</v>
      </c>
      <c r="B10" s="315">
        <v>0</v>
      </c>
      <c r="C10" s="315">
        <v>0</v>
      </c>
      <c r="D10" s="315">
        <v>0</v>
      </c>
      <c r="E10" s="315">
        <v>0</v>
      </c>
      <c r="F10" s="315">
        <v>0</v>
      </c>
    </row>
    <row r="11" spans="1:6" x14ac:dyDescent="0.2">
      <c r="A11" s="2" t="s">
        <v>8</v>
      </c>
      <c r="B11" s="315">
        <v>0</v>
      </c>
      <c r="C11" s="315">
        <v>0</v>
      </c>
      <c r="D11" s="315">
        <v>0</v>
      </c>
      <c r="E11" s="315">
        <v>0</v>
      </c>
      <c r="F11" s="315">
        <v>0</v>
      </c>
    </row>
    <row r="12" spans="1:6" x14ac:dyDescent="0.2">
      <c r="A12" s="2" t="s">
        <v>9</v>
      </c>
      <c r="B12" s="315">
        <v>0</v>
      </c>
      <c r="C12" s="315">
        <v>0</v>
      </c>
      <c r="D12" s="315">
        <v>0</v>
      </c>
      <c r="E12" s="315">
        <v>0</v>
      </c>
      <c r="F12" s="315">
        <v>0</v>
      </c>
    </row>
    <row r="13" spans="1:6" ht="12" x14ac:dyDescent="0.2">
      <c r="A13" s="2" t="s">
        <v>1050</v>
      </c>
      <c r="B13" s="315">
        <v>32560</v>
      </c>
      <c r="C13" s="315">
        <v>19615</v>
      </c>
      <c r="D13" s="315">
        <v>29713</v>
      </c>
      <c r="E13" s="315">
        <v>47145</v>
      </c>
      <c r="F13" s="315">
        <v>60749</v>
      </c>
    </row>
    <row r="14" spans="1:6" ht="12" x14ac:dyDescent="0.2">
      <c r="A14" s="2" t="s">
        <v>1051</v>
      </c>
      <c r="B14" s="315">
        <v>27502</v>
      </c>
      <c r="C14" s="315">
        <v>13050</v>
      </c>
      <c r="D14" s="315">
        <v>13025</v>
      </c>
      <c r="E14" s="315">
        <v>14527</v>
      </c>
      <c r="F14" s="315">
        <v>15628</v>
      </c>
    </row>
    <row r="15" spans="1:6" x14ac:dyDescent="0.2">
      <c r="A15" s="2" t="s">
        <v>134</v>
      </c>
      <c r="B15" s="315">
        <v>0</v>
      </c>
      <c r="C15" s="315">
        <v>0</v>
      </c>
      <c r="D15" s="315">
        <v>0</v>
      </c>
      <c r="E15" s="315">
        <v>0</v>
      </c>
      <c r="F15" s="315">
        <v>0</v>
      </c>
    </row>
    <row r="16" spans="1:6" x14ac:dyDescent="0.2">
      <c r="A16" s="2" t="s">
        <v>12</v>
      </c>
      <c r="B16" s="315">
        <v>0</v>
      </c>
      <c r="C16" s="315">
        <v>0</v>
      </c>
      <c r="D16" s="315">
        <v>0</v>
      </c>
      <c r="E16" s="315">
        <v>0</v>
      </c>
      <c r="F16" s="315">
        <v>0</v>
      </c>
    </row>
    <row r="17" spans="1:6" x14ac:dyDescent="0.2">
      <c r="A17" s="2" t="s">
        <v>13</v>
      </c>
      <c r="B17" s="315">
        <v>0</v>
      </c>
      <c r="C17" s="315">
        <v>0</v>
      </c>
      <c r="D17" s="315">
        <v>0</v>
      </c>
      <c r="E17" s="315">
        <v>0</v>
      </c>
      <c r="F17" s="315">
        <v>0</v>
      </c>
    </row>
    <row r="18" spans="1:6" x14ac:dyDescent="0.2">
      <c r="A18" s="2" t="s">
        <v>47</v>
      </c>
      <c r="B18" s="315">
        <v>2482</v>
      </c>
      <c r="C18" s="315">
        <v>1285</v>
      </c>
      <c r="D18" s="315">
        <v>2934</v>
      </c>
      <c r="E18" s="315">
        <v>2022</v>
      </c>
      <c r="F18" s="315">
        <v>1305</v>
      </c>
    </row>
    <row r="19" spans="1:6" x14ac:dyDescent="0.2">
      <c r="A19" s="2" t="s">
        <v>135</v>
      </c>
      <c r="B19" s="315">
        <v>0</v>
      </c>
      <c r="C19" s="315">
        <v>0</v>
      </c>
      <c r="D19" s="315">
        <v>0</v>
      </c>
      <c r="E19" s="315">
        <v>0</v>
      </c>
      <c r="F19" s="315">
        <v>0</v>
      </c>
    </row>
    <row r="20" spans="1:6" x14ac:dyDescent="0.2">
      <c r="A20" s="2" t="s">
        <v>136</v>
      </c>
      <c r="B20" s="315">
        <v>0</v>
      </c>
      <c r="C20" s="315">
        <v>0</v>
      </c>
      <c r="D20" s="315">
        <v>0</v>
      </c>
      <c r="E20" s="315">
        <v>0</v>
      </c>
      <c r="F20" s="315">
        <v>0</v>
      </c>
    </row>
    <row r="21" spans="1:6" x14ac:dyDescent="0.2">
      <c r="A21" s="2" t="s">
        <v>17</v>
      </c>
      <c r="B21" s="315">
        <v>0</v>
      </c>
      <c r="C21" s="315">
        <v>0</v>
      </c>
      <c r="D21" s="315">
        <v>0</v>
      </c>
      <c r="E21" s="315">
        <v>0</v>
      </c>
      <c r="F21" s="315">
        <v>0</v>
      </c>
    </row>
    <row r="22" spans="1:6" x14ac:dyDescent="0.2">
      <c r="A22" s="2" t="s">
        <v>18</v>
      </c>
      <c r="B22" s="315">
        <v>0</v>
      </c>
      <c r="C22" s="315">
        <v>0</v>
      </c>
      <c r="D22" s="315">
        <v>0</v>
      </c>
      <c r="E22" s="315">
        <v>0</v>
      </c>
      <c r="F22" s="315">
        <v>0</v>
      </c>
    </row>
    <row r="23" spans="1:6" ht="6" customHeight="1" x14ac:dyDescent="0.2"/>
    <row r="24" spans="1:6" x14ac:dyDescent="0.2">
      <c r="A24" s="638" t="s">
        <v>1182</v>
      </c>
      <c r="B24" s="638"/>
      <c r="C24" s="638"/>
      <c r="D24" s="638"/>
      <c r="E24" s="638"/>
      <c r="F24" s="638"/>
    </row>
    <row r="25" spans="1:6" x14ac:dyDescent="0.2">
      <c r="A25" s="2" t="s">
        <v>1183</v>
      </c>
    </row>
    <row r="26" spans="1:6" ht="34.5" customHeight="1" x14ac:dyDescent="0.2">
      <c r="A26" s="639" t="s">
        <v>1184</v>
      </c>
      <c r="B26" s="639"/>
      <c r="C26" s="639"/>
      <c r="D26" s="639"/>
      <c r="E26" s="639"/>
      <c r="F26" s="639"/>
    </row>
    <row r="27" spans="1:6" x14ac:dyDescent="0.2">
      <c r="A27" s="623" t="s">
        <v>1185</v>
      </c>
      <c r="B27" s="623"/>
      <c r="C27" s="623"/>
      <c r="D27" s="623"/>
      <c r="E27" s="623"/>
      <c r="F27" s="623"/>
    </row>
    <row r="28" spans="1:6" ht="12.75" customHeight="1" x14ac:dyDescent="0.2">
      <c r="A28" s="623" t="s">
        <v>1128</v>
      </c>
      <c r="B28" s="623"/>
      <c r="C28" s="623"/>
      <c r="D28" s="623"/>
      <c r="E28" s="623"/>
      <c r="F28" s="623"/>
    </row>
    <row r="30" spans="1:6" ht="10.5" customHeight="1" x14ac:dyDescent="0.2">
      <c r="A30" s="24" t="s">
        <v>547</v>
      </c>
    </row>
    <row r="31" spans="1:6" s="24" customFormat="1" x14ac:dyDescent="0.2">
      <c r="A31" s="640" t="s">
        <v>0</v>
      </c>
      <c r="B31" s="640">
        <v>2009</v>
      </c>
      <c r="C31" s="640">
        <v>2010</v>
      </c>
      <c r="D31" s="640">
        <v>2011</v>
      </c>
      <c r="E31" s="640">
        <v>2012</v>
      </c>
      <c r="F31" s="640">
        <v>2013</v>
      </c>
    </row>
    <row r="32" spans="1:6" x14ac:dyDescent="0.2">
      <c r="A32" s="641" t="s">
        <v>5</v>
      </c>
      <c r="B32" s="642">
        <f>+B8</f>
        <v>1127</v>
      </c>
      <c r="C32" s="642">
        <v>1330</v>
      </c>
      <c r="D32" s="642">
        <v>1534</v>
      </c>
      <c r="E32" s="642">
        <v>1635</v>
      </c>
      <c r="F32" s="642">
        <f>+F8</f>
        <v>2307</v>
      </c>
    </row>
    <row r="33" spans="1:6" x14ac:dyDescent="0.2">
      <c r="A33" s="641" t="s">
        <v>47</v>
      </c>
      <c r="B33" s="642">
        <f>+B18</f>
        <v>2482</v>
      </c>
      <c r="C33" s="642">
        <v>1285</v>
      </c>
      <c r="D33" s="642">
        <v>2934</v>
      </c>
      <c r="E33" s="642">
        <v>2022</v>
      </c>
      <c r="F33" s="642">
        <f>+F18</f>
        <v>1305</v>
      </c>
    </row>
    <row r="34" spans="1:6" x14ac:dyDescent="0.2">
      <c r="A34" s="641" t="s">
        <v>10</v>
      </c>
      <c r="B34" s="642">
        <f>SUM(B13:B14)</f>
        <v>60062</v>
      </c>
      <c r="C34" s="642">
        <f>SUM(C13:C14)</f>
        <v>32665</v>
      </c>
      <c r="D34" s="642">
        <f>SUM(D13:D14)</f>
        <v>42738</v>
      </c>
      <c r="E34" s="642">
        <f t="shared" ref="E34" si="0">SUM(E13:E14)</f>
        <v>61672</v>
      </c>
      <c r="F34" s="642">
        <f>SUM(F13:F14)</f>
        <v>76377</v>
      </c>
    </row>
    <row r="36" spans="1:6" x14ac:dyDescent="0.2">
      <c r="A36" s="623" t="s">
        <v>1186</v>
      </c>
      <c r="B36" s="623"/>
      <c r="C36" s="623"/>
      <c r="D36" s="623"/>
      <c r="E36" s="623"/>
      <c r="F36" s="623"/>
    </row>
  </sheetData>
  <mergeCells count="8">
    <mergeCell ref="A28:F28"/>
    <mergeCell ref="A36:F36"/>
    <mergeCell ref="A2:F2"/>
    <mergeCell ref="A4:A5"/>
    <mergeCell ref="B4:F4"/>
    <mergeCell ref="A24:F24"/>
    <mergeCell ref="A26:F26"/>
    <mergeCell ref="A27:F27"/>
  </mergeCells>
  <pageMargins left="0.39370078740157483" right="0.39370078740157483" top="0.59055118110236227" bottom="0.39370078740157483" header="0" footer="0"/>
  <pageSetup paperSize="14" orientation="portrait" r:id="rId1"/>
  <headerFooter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EDA6A1-1409-4FD5-BAF4-9957C53105E3}">
  <sheetPr codeName="Hoja69"/>
  <dimension ref="A2:F8"/>
  <sheetViews>
    <sheetView zoomScaleNormal="100" workbookViewId="0">
      <selection activeCell="D4" sqref="D4"/>
    </sheetView>
  </sheetViews>
  <sheetFormatPr baseColWidth="10" defaultColWidth="11.44140625" defaultRowHeight="10.199999999999999" x14ac:dyDescent="0.2"/>
  <cols>
    <col min="1" max="1" width="19.44140625" style="2" customWidth="1"/>
    <col min="2" max="16384" width="11.44140625" style="2"/>
  </cols>
  <sheetData>
    <row r="2" spans="1:6" s="624" customFormat="1" ht="39.75" customHeight="1" x14ac:dyDescent="0.2">
      <c r="A2" s="45" t="s">
        <v>1069</v>
      </c>
      <c r="B2" s="45"/>
      <c r="C2" s="45"/>
      <c r="D2" s="45"/>
      <c r="E2" s="45"/>
      <c r="F2" s="45"/>
    </row>
    <row r="4" spans="1:6" ht="15" customHeight="1" x14ac:dyDescent="0.2">
      <c r="A4" s="323" t="s">
        <v>1187</v>
      </c>
      <c r="B4" s="323" t="s">
        <v>98</v>
      </c>
      <c r="C4" s="323"/>
      <c r="D4" s="323"/>
      <c r="E4" s="323"/>
      <c r="F4" s="323"/>
    </row>
    <row r="5" spans="1:6" ht="15" customHeight="1" x14ac:dyDescent="0.2">
      <c r="A5" s="323"/>
      <c r="B5" s="621">
        <v>2009</v>
      </c>
      <c r="C5" s="621">
        <v>2010</v>
      </c>
      <c r="D5" s="621">
        <v>2011</v>
      </c>
      <c r="E5" s="621">
        <v>2012</v>
      </c>
      <c r="F5" s="621">
        <v>2013</v>
      </c>
    </row>
    <row r="6" spans="1:6" ht="30.6" x14ac:dyDescent="0.2">
      <c r="A6" s="309" t="s">
        <v>1188</v>
      </c>
      <c r="B6" s="643">
        <v>259952</v>
      </c>
      <c r="C6" s="643">
        <v>243152</v>
      </c>
      <c r="D6" s="643">
        <v>273811</v>
      </c>
      <c r="E6" s="643">
        <v>276682</v>
      </c>
      <c r="F6" s="643">
        <v>448245</v>
      </c>
    </row>
    <row r="7" spans="1:6" ht="7.5" customHeight="1" x14ac:dyDescent="0.2"/>
    <row r="8" spans="1:6" x14ac:dyDescent="0.2">
      <c r="A8" s="623" t="s">
        <v>1128</v>
      </c>
      <c r="B8" s="623"/>
      <c r="C8" s="623"/>
      <c r="D8" s="623"/>
      <c r="E8" s="623"/>
      <c r="F8" s="623"/>
    </row>
  </sheetData>
  <mergeCells count="4">
    <mergeCell ref="A2:F2"/>
    <mergeCell ref="A4:A5"/>
    <mergeCell ref="B4:F4"/>
    <mergeCell ref="A8:F8"/>
  </mergeCells>
  <pageMargins left="0.7" right="0.7" top="0.75" bottom="0.75" header="0.3" footer="0.3"/>
  <pageSetup paperSize="14"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8E8D7B-8AFD-4A76-B641-6C678CE3C39E}">
  <sheetPr codeName="Hoja7"/>
  <dimension ref="A2:F58"/>
  <sheetViews>
    <sheetView zoomScaleNormal="100" workbookViewId="0"/>
  </sheetViews>
  <sheetFormatPr baseColWidth="10" defaultColWidth="11.44140625" defaultRowHeight="10.199999999999999" x14ac:dyDescent="0.2"/>
  <cols>
    <col min="1" max="1" width="64.44140625" style="62" customWidth="1"/>
    <col min="2" max="2" width="9.109375" style="62" customWidth="1"/>
    <col min="3" max="5" width="11.44140625" style="62"/>
    <col min="6" max="8" width="11.109375" style="62" customWidth="1"/>
    <col min="9" max="12" width="11.33203125" style="62" customWidth="1"/>
    <col min="13" max="16384" width="11.44140625" style="62"/>
  </cols>
  <sheetData>
    <row r="2" spans="1:6" ht="22.5" customHeight="1" x14ac:dyDescent="0.2">
      <c r="A2" s="64" t="s">
        <v>91</v>
      </c>
      <c r="B2" s="64"/>
      <c r="C2" s="64"/>
      <c r="D2" s="64"/>
      <c r="E2" s="64"/>
      <c r="F2" s="64"/>
    </row>
    <row r="3" spans="1:6" x14ac:dyDescent="0.2">
      <c r="A3" s="65"/>
    </row>
    <row r="4" spans="1:6" s="70" customFormat="1" ht="17.25" customHeight="1" x14ac:dyDescent="0.25">
      <c r="A4" s="66" t="s">
        <v>97</v>
      </c>
      <c r="B4" s="67" t="s">
        <v>98</v>
      </c>
      <c r="C4" s="68"/>
      <c r="D4" s="68"/>
      <c r="E4" s="68"/>
      <c r="F4" s="69"/>
    </row>
    <row r="5" spans="1:6" s="70" customFormat="1" ht="17.25" customHeight="1" x14ac:dyDescent="0.25">
      <c r="A5" s="71"/>
      <c r="B5" s="72">
        <v>2009</v>
      </c>
      <c r="C5" s="72">
        <v>2010</v>
      </c>
      <c r="D5" s="72">
        <v>2011</v>
      </c>
      <c r="E5" s="72">
        <v>2012</v>
      </c>
      <c r="F5" s="72">
        <v>2013</v>
      </c>
    </row>
    <row r="6" spans="1:6" ht="26.4" customHeight="1" x14ac:dyDescent="0.2">
      <c r="A6" s="73" t="s">
        <v>99</v>
      </c>
      <c r="B6" s="74">
        <v>12584</v>
      </c>
      <c r="C6" s="75">
        <v>12977</v>
      </c>
      <c r="D6" s="75">
        <v>13169</v>
      </c>
      <c r="E6" s="75">
        <v>12259</v>
      </c>
      <c r="F6" s="74">
        <v>13046</v>
      </c>
    </row>
    <row r="7" spans="1:6" x14ac:dyDescent="0.2">
      <c r="A7" s="73" t="s">
        <v>100</v>
      </c>
      <c r="B7" s="76">
        <v>1839</v>
      </c>
      <c r="C7" s="75">
        <v>3127</v>
      </c>
      <c r="D7" s="75">
        <v>3212</v>
      </c>
      <c r="E7" s="75">
        <v>5663</v>
      </c>
      <c r="F7" s="76">
        <v>6749</v>
      </c>
    </row>
    <row r="8" spans="1:6" x14ac:dyDescent="0.2">
      <c r="A8" s="73" t="s">
        <v>101</v>
      </c>
      <c r="B8" s="74">
        <v>1272</v>
      </c>
      <c r="C8" s="75">
        <v>8889</v>
      </c>
      <c r="D8" s="75">
        <v>11461</v>
      </c>
      <c r="E8" s="75">
        <v>14662</v>
      </c>
      <c r="F8" s="74">
        <v>15307</v>
      </c>
    </row>
    <row r="9" spans="1:6" ht="7.5" customHeight="1" x14ac:dyDescent="0.2">
      <c r="A9" s="73"/>
      <c r="B9" s="74"/>
      <c r="C9" s="75"/>
      <c r="D9" s="75"/>
      <c r="E9" s="75"/>
      <c r="F9" s="74"/>
    </row>
    <row r="10" spans="1:6" ht="10.5" customHeight="1" x14ac:dyDescent="0.2">
      <c r="A10" s="77" t="s">
        <v>102</v>
      </c>
      <c r="B10" s="77"/>
      <c r="C10" s="77"/>
      <c r="D10" s="77"/>
      <c r="E10" s="77"/>
      <c r="F10" s="77"/>
    </row>
    <row r="43" spans="1:1" x14ac:dyDescent="0.2">
      <c r="A43" s="78"/>
    </row>
    <row r="44" spans="1:1" x14ac:dyDescent="0.2">
      <c r="A44" s="78"/>
    </row>
    <row r="45" spans="1:1" x14ac:dyDescent="0.2">
      <c r="A45" s="78"/>
    </row>
    <row r="46" spans="1:1" x14ac:dyDescent="0.2">
      <c r="A46" s="78"/>
    </row>
    <row r="47" spans="1:1" x14ac:dyDescent="0.2">
      <c r="A47" s="78"/>
    </row>
    <row r="48" spans="1:1" x14ac:dyDescent="0.2">
      <c r="A48" s="78"/>
    </row>
    <row r="49" spans="1:1" x14ac:dyDescent="0.2">
      <c r="A49" s="78"/>
    </row>
    <row r="50" spans="1:1" x14ac:dyDescent="0.2">
      <c r="A50" s="78"/>
    </row>
    <row r="52" spans="1:1" x14ac:dyDescent="0.2">
      <c r="A52" s="78"/>
    </row>
    <row r="53" spans="1:1" x14ac:dyDescent="0.2">
      <c r="A53" s="78"/>
    </row>
    <row r="54" spans="1:1" x14ac:dyDescent="0.2">
      <c r="A54" s="78"/>
    </row>
    <row r="55" spans="1:1" x14ac:dyDescent="0.2">
      <c r="A55" s="78"/>
    </row>
    <row r="56" spans="1:1" x14ac:dyDescent="0.2">
      <c r="A56" s="78"/>
    </row>
    <row r="57" spans="1:1" x14ac:dyDescent="0.2">
      <c r="A57" s="78"/>
    </row>
    <row r="58" spans="1:1" x14ac:dyDescent="0.2">
      <c r="A58" s="78"/>
    </row>
  </sheetData>
  <mergeCells count="4">
    <mergeCell ref="A2:F2"/>
    <mergeCell ref="A4:A5"/>
    <mergeCell ref="B4:F4"/>
    <mergeCell ref="A10:F10"/>
  </mergeCells>
  <pageMargins left="0.74803149606299213" right="0.74803149606299213" top="0.98425196850393704" bottom="0.98425196850393704" header="0" footer="0"/>
  <pageSetup paperSize="14" scale="90" orientation="landscape"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2084A-CA63-42E0-9FFA-CBF2F116B8EB}">
  <sheetPr codeName="Hoja70">
    <tabColor theme="8"/>
  </sheetPr>
  <dimension ref="A2:A19"/>
  <sheetViews>
    <sheetView workbookViewId="0">
      <selection activeCell="A17" sqref="A17"/>
    </sheetView>
  </sheetViews>
  <sheetFormatPr baseColWidth="10" defaultColWidth="11.44140625" defaultRowHeight="10.199999999999999" x14ac:dyDescent="0.2"/>
  <cols>
    <col min="1" max="16384" width="11.44140625" style="24"/>
  </cols>
  <sheetData>
    <row r="2" spans="1:1" x14ac:dyDescent="0.2">
      <c r="A2" s="24" t="s">
        <v>1065</v>
      </c>
    </row>
    <row r="4" spans="1:1" x14ac:dyDescent="0.2">
      <c r="A4" s="24" t="s">
        <v>1070</v>
      </c>
    </row>
    <row r="5" spans="1:1" x14ac:dyDescent="0.2">
      <c r="A5" s="2"/>
    </row>
    <row r="6" spans="1:1" x14ac:dyDescent="0.2">
      <c r="A6" s="1709" t="s">
        <v>1071</v>
      </c>
    </row>
    <row r="7" spans="1:1" x14ac:dyDescent="0.2">
      <c r="A7" s="1709" t="s">
        <v>1072</v>
      </c>
    </row>
    <row r="8" spans="1:1" x14ac:dyDescent="0.2">
      <c r="A8" s="1709" t="s">
        <v>1073</v>
      </c>
    </row>
    <row r="9" spans="1:1" x14ac:dyDescent="0.2">
      <c r="A9" s="1709" t="s">
        <v>1074</v>
      </c>
    </row>
    <row r="10" spans="1:1" x14ac:dyDescent="0.2">
      <c r="A10" s="1709" t="s">
        <v>1075</v>
      </c>
    </row>
    <row r="11" spans="1:1" x14ac:dyDescent="0.2">
      <c r="A11" s="1709" t="s">
        <v>1076</v>
      </c>
    </row>
    <row r="12" spans="1:1" x14ac:dyDescent="0.2">
      <c r="A12" s="1709" t="s">
        <v>1077</v>
      </c>
    </row>
    <row r="13" spans="1:1" x14ac:dyDescent="0.2">
      <c r="A13" s="1709" t="s">
        <v>1078</v>
      </c>
    </row>
    <row r="14" spans="1:1" x14ac:dyDescent="0.2">
      <c r="A14" s="1709" t="s">
        <v>1079</v>
      </c>
    </row>
    <row r="15" spans="1:1" x14ac:dyDescent="0.2">
      <c r="A15" s="1709" t="s">
        <v>1080</v>
      </c>
    </row>
    <row r="16" spans="1:1" x14ac:dyDescent="0.2">
      <c r="A16" s="1709" t="s">
        <v>1081</v>
      </c>
    </row>
    <row r="17" spans="1:1" x14ac:dyDescent="0.2">
      <c r="A17" s="1709" t="s">
        <v>1082</v>
      </c>
    </row>
    <row r="18" spans="1:1" x14ac:dyDescent="0.2">
      <c r="A18" s="2"/>
    </row>
    <row r="19" spans="1:1" x14ac:dyDescent="0.2">
      <c r="A19" s="2"/>
    </row>
  </sheetData>
  <hyperlinks>
    <hyperlink ref="A6" location="'3.1.1.2-01'!A1" display="CUADRO 3.1.1.2-01: NÚMERO DE MUSEOS DE LA DIRECCIÓN DE BIBLIOTECAS, ARCHIVOS Y MUSEOS (DIBAM), SEGÚN REGIÓN. 2009-2013" xr:uid="{716C7CBA-5B8A-43F8-9701-C8D825DE31A9}"/>
    <hyperlink ref="A7" location="'3.1.1.2-02'!A1" display="CUADRO 3.1.1.2-02: PERSONAL DE MUSEOS DE LA DIRECCIÓN DE BIBLIOTECAS, ARCHIVOS Y MUSEOS (DIBAM), SEGÚN CATEGORÍA OCUPACIONAL. 2013" xr:uid="{BAEFED2D-F3F5-4B92-88EC-F625F0E65BD1}"/>
    <hyperlink ref="A8" location="'3.1.1.2-03'!A1" display="CUADRO 3.1.1.2-03: NÚMERO DE MUSEOS DE LA DIRECCIÓN DE BIBLIOTECAS, ARCHIVOS Y MUSEOS (DIBAM), SEGÚN TIPO DE COLECCIÓN. 2009-2013" xr:uid="{EB99F832-99F2-4E6C-8685-DB1E48AEA659}"/>
    <hyperlink ref="A9" location="'3.1.1.2-04'!A1" display="CUADRO 3.1.1.2-04: NÚMERO DE EXPOSICIONES POR MUSEO DE LA DIRECCIÓN DE BIBLIOTECAS, ARCHIVOS Y MUSEOS (DIBAM) , SEGÚN TIPO DE EXPOSICIÓN Y NACIONALIDAD. 2013" xr:uid="{628A2A87-7A09-40CE-8E17-F8BA820E2085}"/>
    <hyperlink ref="A10" location="'3.1.1.2-05'!A1" display="CUADRO 3.1.1.2-05: NÚMERO DE AUTORIZACIONES DE SALIDA DEL TERRITORIO NACIONAL ENTREGADAS POR EL MUSEO NACIONAL DE BELLAS ARTES DE OBRAS DE ARTE (LEY 17.236),  SEGÚN CONTINENTE DE DESTINO. 2013" xr:uid="{2BB4C070-3CD1-4E8D-960D-7ACBDAD97009}"/>
    <hyperlink ref="A11" location="'3.1.1.2-06'!A1" display="CUADRO 3.1.1.2-06: OTROS INDICADORES DE LOS MUSEOS DE LA DIRECCIÓN DE BIBLIOTECAS, ARCHIVOS Y MUSEOS (DIBAM). 2013" xr:uid="{2827A6E4-4AAD-48B1-96B5-8DF0CC08D3CA}"/>
    <hyperlink ref="A12" location="'3.1.1.2-07'!A1" display="CUADRO 3.1.1.2-07: NÚMERO DE PIEZAS RESTAURADAS, POR MUSEO DE LA DIRECCIÓN DE BIBLIOTECAS, ARCHIVOS Y MUSEOS (DIBAM)POR TIPO DE MUSEO (NACIONAL Y REGIONAL), SEGÚN TIPO DE PIEZA. 2013" xr:uid="{98589D0C-407A-4F01-917A-23F70EA2899D}"/>
    <hyperlink ref="A13" location="'3.1.1.2-08'!A1" display="CUADRO 3.1.1.2-08: NÚMERO DE PIEZAS RESTAURADAS EN LOS MUSEOS DE LA SUBDIRECCIÓN DE MUSEOS DE LA DIRECCIÓN DE BIBLIOTECAS, ARCHIVOS Y MUSEOS (DIBAM), SEGÚN TIPO DE PIEZA. 2009-2013" xr:uid="{7F6370BE-9B29-4C67-A040-9DEC7A1A1E61}"/>
    <hyperlink ref="A14" location="'3.1.1.2-09'!A1" display="CUADRO 3.1.1.2-09: NÚMERO DE PIEZAS RESTAURADAS EN LOS MUSEOS DE LA SUBDIRECCIÓN DE MUSEOS DE LA DIRECCIÓN DE BIBLIOTECAS, ARCHIVOS Y MUSEOS (DIBAM)(DIBAM), POR TIPO DE PIEZA, SEGÚN REGIÓN. 2013" xr:uid="{C369B0ED-2802-42DD-9794-06DB1196C6F5}"/>
    <hyperlink ref="A15" location="'3.1.1.2-10'!A1" display="CUADRO 3.1.1.2-10: DATOS DEL CENTRO NACIONAL DE CONSERVACIÓN Y RESTAURACIÓN DE LA DIRECCIÓN DE BIBLIOTECAS, ARCHIVOS Y MUSEOS (DIBAM). 2011-2013" xr:uid="{ABA62B5C-C142-4998-B125-F9CAB61C51E6}"/>
    <hyperlink ref="A16" location="'3.1.1.2-11'!A1" display="CUADRO 3.1.1.2-11: NÚMERO DE USUARIOS, POR MUSEOS DE LA DIRECCIÓN DE BIBLIOTECAS, ARCHIVOS Y MUSEOS (DIBAM), SEGÚN TIPO DE ENTRADA. 2013" xr:uid="{64C75043-A1ED-410E-849A-3E57111CDA9D}"/>
    <hyperlink ref="A17" location="'3.1.1.2-12'!A1" display="CUADRO 3.1.1.2-12: NÚMERO DE USUARIOS DE LOS MUSEOS DE LA DIRECCIÓN DE BIBLIOTECAS, ARCHIVOS Y MUSEOS (DIBAM), SEGÚN GRUPOS DE EDAD. 2013" xr:uid="{E6ACA446-8ECC-4178-ADF2-6944EEEE7B84}"/>
  </hyperlinks>
  <pageMargins left="0.7" right="0.7" top="0.75" bottom="0.75" header="0.3" footer="0.3"/>
  <pageSetup paperSize="14"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294C4B-8A7B-42B0-8B3C-75E9728A6A0D}">
  <sheetPr codeName="Hoja71"/>
  <dimension ref="A2:F24"/>
  <sheetViews>
    <sheetView workbookViewId="0">
      <selection activeCell="D4" sqref="D4"/>
    </sheetView>
  </sheetViews>
  <sheetFormatPr baseColWidth="10" defaultColWidth="11.44140625" defaultRowHeight="10.199999999999999" x14ac:dyDescent="0.2"/>
  <cols>
    <col min="1" max="1" width="22.88671875" style="2" customWidth="1"/>
    <col min="2" max="16384" width="11.44140625" style="2"/>
  </cols>
  <sheetData>
    <row r="2" spans="1:6" s="624" customFormat="1" ht="26.25" customHeight="1" x14ac:dyDescent="0.2">
      <c r="A2" s="45" t="s">
        <v>1071</v>
      </c>
      <c r="B2" s="45"/>
      <c r="C2" s="45"/>
      <c r="D2" s="45"/>
      <c r="E2" s="45"/>
      <c r="F2" s="45"/>
    </row>
    <row r="4" spans="1:6" ht="20.25" customHeight="1" x14ac:dyDescent="0.2">
      <c r="A4" s="323" t="s">
        <v>0</v>
      </c>
      <c r="B4" s="323" t="s">
        <v>1189</v>
      </c>
      <c r="C4" s="323"/>
      <c r="D4" s="323"/>
      <c r="E4" s="323"/>
      <c r="F4" s="323"/>
    </row>
    <row r="5" spans="1:6" ht="20.25" customHeight="1" x14ac:dyDescent="0.2">
      <c r="A5" s="323"/>
      <c r="B5" s="621">
        <v>2009</v>
      </c>
      <c r="C5" s="621">
        <v>2010</v>
      </c>
      <c r="D5" s="621">
        <v>2011</v>
      </c>
      <c r="E5" s="621">
        <v>2012</v>
      </c>
      <c r="F5" s="621">
        <v>2013</v>
      </c>
    </row>
    <row r="6" spans="1:6" x14ac:dyDescent="0.2">
      <c r="A6" s="24" t="s">
        <v>1127</v>
      </c>
      <c r="B6" s="24">
        <f>SUM(B7:B21)</f>
        <v>26</v>
      </c>
      <c r="C6" s="24">
        <f>SUM(C7:C21)</f>
        <v>26</v>
      </c>
      <c r="D6" s="24">
        <f>SUM(D7:D21)</f>
        <v>26</v>
      </c>
      <c r="E6" s="24">
        <f>SUM(E7:E21)</f>
        <v>26</v>
      </c>
      <c r="F6" s="24">
        <f>SUM(F7:F21)</f>
        <v>27</v>
      </c>
    </row>
    <row r="7" spans="1:6" x14ac:dyDescent="0.2">
      <c r="A7" s="2" t="s">
        <v>4</v>
      </c>
      <c r="B7" s="315">
        <v>0</v>
      </c>
      <c r="C7" s="315">
        <v>0</v>
      </c>
      <c r="D7" s="315">
        <v>0</v>
      </c>
      <c r="E7" s="315">
        <v>0</v>
      </c>
      <c r="F7" s="315">
        <v>0</v>
      </c>
    </row>
    <row r="8" spans="1:6" x14ac:dyDescent="0.2">
      <c r="A8" s="2" t="s">
        <v>5</v>
      </c>
      <c r="B8" s="315">
        <v>0</v>
      </c>
      <c r="C8" s="315">
        <v>0</v>
      </c>
      <c r="D8" s="315">
        <v>0</v>
      </c>
      <c r="E8" s="315">
        <v>0</v>
      </c>
      <c r="F8" s="315">
        <v>0</v>
      </c>
    </row>
    <row r="9" spans="1:6" x14ac:dyDescent="0.2">
      <c r="A9" s="2" t="s">
        <v>6</v>
      </c>
      <c r="B9" s="315">
        <v>1</v>
      </c>
      <c r="C9" s="315">
        <v>1</v>
      </c>
      <c r="D9" s="315">
        <v>1</v>
      </c>
      <c r="E9" s="315">
        <v>1</v>
      </c>
      <c r="F9" s="315">
        <v>1</v>
      </c>
    </row>
    <row r="10" spans="1:6" x14ac:dyDescent="0.2">
      <c r="A10" s="2" t="s">
        <v>7</v>
      </c>
      <c r="B10" s="315">
        <v>1</v>
      </c>
      <c r="C10" s="315">
        <v>1</v>
      </c>
      <c r="D10" s="315">
        <v>1</v>
      </c>
      <c r="E10" s="315">
        <v>1</v>
      </c>
      <c r="F10" s="315">
        <v>1</v>
      </c>
    </row>
    <row r="11" spans="1:6" x14ac:dyDescent="0.2">
      <c r="A11" s="2" t="s">
        <v>8</v>
      </c>
      <c r="B11" s="315">
        <v>4</v>
      </c>
      <c r="C11" s="315">
        <v>4</v>
      </c>
      <c r="D11" s="315">
        <v>4</v>
      </c>
      <c r="E11" s="315">
        <v>4</v>
      </c>
      <c r="F11" s="315">
        <v>4</v>
      </c>
    </row>
    <row r="12" spans="1:6" x14ac:dyDescent="0.2">
      <c r="A12" s="2" t="s">
        <v>9</v>
      </c>
      <c r="B12" s="315">
        <v>2</v>
      </c>
      <c r="C12" s="315">
        <v>2</v>
      </c>
      <c r="D12" s="315">
        <v>2</v>
      </c>
      <c r="E12" s="315">
        <v>2</v>
      </c>
      <c r="F12" s="315">
        <v>2</v>
      </c>
    </row>
    <row r="13" spans="1:6" x14ac:dyDescent="0.2">
      <c r="A13" s="2" t="s">
        <v>10</v>
      </c>
      <c r="B13" s="315">
        <v>7</v>
      </c>
      <c r="C13" s="315">
        <v>7</v>
      </c>
      <c r="D13" s="315">
        <v>7</v>
      </c>
      <c r="E13" s="315">
        <v>7</v>
      </c>
      <c r="F13" s="315">
        <v>7</v>
      </c>
    </row>
    <row r="14" spans="1:6" x14ac:dyDescent="0.2">
      <c r="A14" s="2" t="s">
        <v>134</v>
      </c>
      <c r="B14" s="315">
        <v>1</v>
      </c>
      <c r="C14" s="315">
        <v>1</v>
      </c>
      <c r="D14" s="315">
        <v>1</v>
      </c>
      <c r="E14" s="315">
        <v>1</v>
      </c>
      <c r="F14" s="315">
        <v>1</v>
      </c>
    </row>
    <row r="15" spans="1:6" x14ac:dyDescent="0.2">
      <c r="A15" s="2" t="s">
        <v>12</v>
      </c>
      <c r="B15" s="315">
        <v>3</v>
      </c>
      <c r="C15" s="315">
        <v>3</v>
      </c>
      <c r="D15" s="315">
        <v>3</v>
      </c>
      <c r="E15" s="315">
        <v>3</v>
      </c>
      <c r="F15" s="315">
        <v>3</v>
      </c>
    </row>
    <row r="16" spans="1:6" x14ac:dyDescent="0.2">
      <c r="A16" s="2" t="s">
        <v>13</v>
      </c>
      <c r="B16" s="315">
        <v>2</v>
      </c>
      <c r="C16" s="315">
        <v>2</v>
      </c>
      <c r="D16" s="315">
        <v>2</v>
      </c>
      <c r="E16" s="315">
        <v>2</v>
      </c>
      <c r="F16" s="315">
        <v>2</v>
      </c>
    </row>
    <row r="17" spans="1:6" x14ac:dyDescent="0.2">
      <c r="A17" s="2" t="s">
        <v>47</v>
      </c>
      <c r="B17" s="315">
        <v>1</v>
      </c>
      <c r="C17" s="315">
        <v>1</v>
      </c>
      <c r="D17" s="315">
        <v>1</v>
      </c>
      <c r="E17" s="315">
        <v>1</v>
      </c>
      <c r="F17" s="315">
        <v>1</v>
      </c>
    </row>
    <row r="18" spans="1:6" x14ac:dyDescent="0.2">
      <c r="A18" s="2" t="s">
        <v>135</v>
      </c>
      <c r="B18" s="315">
        <v>1</v>
      </c>
      <c r="C18" s="315">
        <v>1</v>
      </c>
      <c r="D18" s="315">
        <v>1</v>
      </c>
      <c r="E18" s="315">
        <v>1</v>
      </c>
      <c r="F18" s="315">
        <v>1</v>
      </c>
    </row>
    <row r="19" spans="1:6" x14ac:dyDescent="0.2">
      <c r="A19" s="2" t="s">
        <v>136</v>
      </c>
      <c r="B19" s="315">
        <v>1</v>
      </c>
      <c r="C19" s="315">
        <v>1</v>
      </c>
      <c r="D19" s="315">
        <v>1</v>
      </c>
      <c r="E19" s="315">
        <v>1</v>
      </c>
      <c r="F19" s="315">
        <v>1</v>
      </c>
    </row>
    <row r="20" spans="1:6" x14ac:dyDescent="0.2">
      <c r="A20" s="2" t="s">
        <v>17</v>
      </c>
      <c r="B20" s="315">
        <v>0</v>
      </c>
      <c r="C20" s="315">
        <v>0</v>
      </c>
      <c r="D20" s="315">
        <v>0</v>
      </c>
      <c r="E20" s="315">
        <v>0</v>
      </c>
      <c r="F20" s="315">
        <v>1</v>
      </c>
    </row>
    <row r="21" spans="1:6" x14ac:dyDescent="0.2">
      <c r="A21" s="2" t="s">
        <v>18</v>
      </c>
      <c r="B21" s="315">
        <v>2</v>
      </c>
      <c r="C21" s="315">
        <v>2</v>
      </c>
      <c r="D21" s="315">
        <v>2</v>
      </c>
      <c r="E21" s="315">
        <v>2</v>
      </c>
      <c r="F21" s="315">
        <v>2</v>
      </c>
    </row>
    <row r="23" spans="1:6" x14ac:dyDescent="0.2">
      <c r="A23" s="2" t="s">
        <v>19</v>
      </c>
    </row>
    <row r="24" spans="1:6" x14ac:dyDescent="0.2">
      <c r="A24" s="623" t="s">
        <v>1128</v>
      </c>
      <c r="B24" s="623"/>
      <c r="C24" s="623"/>
      <c r="D24" s="623"/>
      <c r="E24" s="623"/>
      <c r="F24" s="623"/>
    </row>
  </sheetData>
  <mergeCells count="4">
    <mergeCell ref="A2:F2"/>
    <mergeCell ref="A4:A5"/>
    <mergeCell ref="B4:F4"/>
    <mergeCell ref="A24:F24"/>
  </mergeCells>
  <pageMargins left="0.7" right="0.7" top="0.75" bottom="0.75" header="0.3" footer="0.3"/>
  <pageSetup paperSize="14"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71B79-34E0-419A-9192-C9EAC55FA257}">
  <sheetPr codeName="Hoja72"/>
  <dimension ref="A2:F15"/>
  <sheetViews>
    <sheetView workbookViewId="0">
      <selection activeCell="D4" sqref="D4"/>
    </sheetView>
  </sheetViews>
  <sheetFormatPr baseColWidth="10" defaultColWidth="11.44140625" defaultRowHeight="10.199999999999999" x14ac:dyDescent="0.2"/>
  <cols>
    <col min="1" max="1" width="28.44140625" style="2" customWidth="1"/>
    <col min="2" max="16384" width="11.44140625" style="2"/>
  </cols>
  <sheetData>
    <row r="2" spans="1:6" s="624" customFormat="1" ht="28.5" customHeight="1" x14ac:dyDescent="0.2">
      <c r="A2" s="620" t="s">
        <v>1072</v>
      </c>
      <c r="B2" s="620"/>
      <c r="C2" s="620"/>
      <c r="D2" s="620"/>
      <c r="E2" s="620"/>
      <c r="F2" s="620"/>
    </row>
    <row r="4" spans="1:6" x14ac:dyDescent="0.2">
      <c r="A4" s="298" t="s">
        <v>1190</v>
      </c>
      <c r="B4" s="298" t="s">
        <v>42</v>
      </c>
      <c r="C4" s="298" t="s">
        <v>1191</v>
      </c>
      <c r="D4" s="298"/>
      <c r="E4" s="298"/>
      <c r="F4" s="298"/>
    </row>
    <row r="5" spans="1:6" ht="51" x14ac:dyDescent="0.2">
      <c r="A5" s="298"/>
      <c r="B5" s="298"/>
      <c r="C5" s="644" t="s">
        <v>1192</v>
      </c>
      <c r="D5" s="644" t="s">
        <v>1193</v>
      </c>
      <c r="E5" s="644" t="s">
        <v>1194</v>
      </c>
      <c r="F5" s="644" t="s">
        <v>1195</v>
      </c>
    </row>
    <row r="6" spans="1:6" s="24" customFormat="1" x14ac:dyDescent="0.2">
      <c r="A6" s="24" t="s">
        <v>1127</v>
      </c>
      <c r="B6" s="24">
        <f>SUM(B7:B12)</f>
        <v>378</v>
      </c>
      <c r="C6" s="24">
        <f>SUM(C7:C12)</f>
        <v>43</v>
      </c>
      <c r="D6" s="24">
        <f>SUM(D7:D12)</f>
        <v>75</v>
      </c>
      <c r="E6" s="24">
        <f>SUM(E7:E12)</f>
        <v>49</v>
      </c>
      <c r="F6" s="24">
        <f>SUM(F7:F12)</f>
        <v>211</v>
      </c>
    </row>
    <row r="7" spans="1:6" x14ac:dyDescent="0.2">
      <c r="A7" s="2" t="s">
        <v>1196</v>
      </c>
      <c r="B7" s="2">
        <f t="shared" ref="B7:B12" si="0">SUM(C7:F7)</f>
        <v>9</v>
      </c>
      <c r="C7" s="2">
        <v>2</v>
      </c>
      <c r="D7" s="2">
        <v>2</v>
      </c>
      <c r="E7" s="2">
        <v>3</v>
      </c>
      <c r="F7" s="2">
        <v>2</v>
      </c>
    </row>
    <row r="8" spans="1:6" x14ac:dyDescent="0.2">
      <c r="A8" s="2" t="s">
        <v>1197</v>
      </c>
      <c r="B8" s="2">
        <f t="shared" si="0"/>
        <v>138</v>
      </c>
      <c r="C8" s="2">
        <v>21</v>
      </c>
      <c r="D8" s="2">
        <v>29</v>
      </c>
      <c r="E8" s="2">
        <v>16</v>
      </c>
      <c r="F8" s="2">
        <v>72</v>
      </c>
    </row>
    <row r="9" spans="1:6" x14ac:dyDescent="0.2">
      <c r="A9" s="2" t="s">
        <v>1198</v>
      </c>
      <c r="B9" s="2">
        <f t="shared" si="0"/>
        <v>59</v>
      </c>
      <c r="C9" s="2">
        <v>5</v>
      </c>
      <c r="D9" s="2">
        <v>12</v>
      </c>
      <c r="E9" s="2">
        <v>7</v>
      </c>
      <c r="F9" s="2">
        <v>35</v>
      </c>
    </row>
    <row r="10" spans="1:6" x14ac:dyDescent="0.2">
      <c r="A10" s="2" t="s">
        <v>1199</v>
      </c>
      <c r="B10" s="2">
        <f t="shared" si="0"/>
        <v>39</v>
      </c>
      <c r="C10" s="2">
        <v>4</v>
      </c>
      <c r="D10" s="2">
        <v>10</v>
      </c>
      <c r="E10" s="2">
        <v>3</v>
      </c>
      <c r="F10" s="2">
        <v>22</v>
      </c>
    </row>
    <row r="11" spans="1:6" x14ac:dyDescent="0.2">
      <c r="A11" s="2" t="s">
        <v>1200</v>
      </c>
      <c r="B11" s="2">
        <f t="shared" si="0"/>
        <v>61</v>
      </c>
      <c r="C11" s="2">
        <v>2</v>
      </c>
      <c r="D11" s="2">
        <v>9</v>
      </c>
      <c r="E11" s="2">
        <v>7</v>
      </c>
      <c r="F11" s="2">
        <v>43</v>
      </c>
    </row>
    <row r="12" spans="1:6" x14ac:dyDescent="0.2">
      <c r="A12" s="2" t="s">
        <v>1201</v>
      </c>
      <c r="B12" s="2">
        <f t="shared" si="0"/>
        <v>72</v>
      </c>
      <c r="C12" s="2">
        <v>9</v>
      </c>
      <c r="D12" s="2">
        <v>13</v>
      </c>
      <c r="E12" s="2">
        <v>13</v>
      </c>
      <c r="F12" s="2">
        <v>37</v>
      </c>
    </row>
    <row r="14" spans="1:6" x14ac:dyDescent="0.2">
      <c r="A14" s="2" t="s">
        <v>1202</v>
      </c>
    </row>
    <row r="15" spans="1:6" x14ac:dyDescent="0.2">
      <c r="A15" s="623" t="s">
        <v>1128</v>
      </c>
      <c r="B15" s="623"/>
      <c r="C15" s="623"/>
      <c r="D15" s="623"/>
      <c r="E15" s="623"/>
      <c r="F15" s="623"/>
    </row>
  </sheetData>
  <mergeCells count="5">
    <mergeCell ref="A2:F2"/>
    <mergeCell ref="A4:A5"/>
    <mergeCell ref="B4:B5"/>
    <mergeCell ref="C4:F4"/>
    <mergeCell ref="A15:F15"/>
  </mergeCells>
  <pageMargins left="0.70866141732283472" right="0.70866141732283472" top="0.74803149606299213" bottom="0.74803149606299213" header="0.31496062992125984" footer="0.31496062992125984"/>
  <pageSetup paperSize="14"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90B62-A37C-4731-AEDA-9F55C2AF31F2}">
  <sheetPr codeName="Hoja73"/>
  <dimension ref="A2:F19"/>
  <sheetViews>
    <sheetView workbookViewId="0">
      <selection activeCell="D4" sqref="D4"/>
    </sheetView>
  </sheetViews>
  <sheetFormatPr baseColWidth="10" defaultColWidth="11.44140625" defaultRowHeight="10.199999999999999" x14ac:dyDescent="0.2"/>
  <cols>
    <col min="1" max="1" width="17.44140625" style="2" customWidth="1"/>
    <col min="2" max="5" width="11.44140625" style="2"/>
    <col min="6" max="6" width="12.109375" style="2" customWidth="1"/>
    <col min="7" max="16384" width="11.44140625" style="2"/>
  </cols>
  <sheetData>
    <row r="2" spans="1:6" s="624" customFormat="1" ht="24.75" customHeight="1" x14ac:dyDescent="0.2">
      <c r="A2" s="45" t="s">
        <v>1073</v>
      </c>
      <c r="B2" s="45"/>
      <c r="C2" s="45"/>
      <c r="D2" s="45"/>
      <c r="E2" s="45"/>
      <c r="F2" s="45"/>
    </row>
    <row r="4" spans="1:6" s="309" customFormat="1" ht="20.25" customHeight="1" x14ac:dyDescent="0.2">
      <c r="A4" s="298" t="s">
        <v>1203</v>
      </c>
      <c r="B4" s="298" t="s">
        <v>1204</v>
      </c>
      <c r="C4" s="298"/>
      <c r="D4" s="298"/>
      <c r="E4" s="298"/>
      <c r="F4" s="298"/>
    </row>
    <row r="5" spans="1:6" s="309" customFormat="1" ht="20.25" customHeight="1" x14ac:dyDescent="0.2">
      <c r="A5" s="298"/>
      <c r="B5" s="644">
        <v>2009</v>
      </c>
      <c r="C5" s="644">
        <v>2010</v>
      </c>
      <c r="D5" s="644">
        <v>2011</v>
      </c>
      <c r="E5" s="644">
        <v>2012</v>
      </c>
      <c r="F5" s="644">
        <v>2013</v>
      </c>
    </row>
    <row r="6" spans="1:6" s="24" customFormat="1" x14ac:dyDescent="0.2">
      <c r="A6" s="24" t="s">
        <v>1127</v>
      </c>
      <c r="B6" s="24">
        <f>SUM(B7:B16)</f>
        <v>26</v>
      </c>
      <c r="C6" s="24">
        <f>SUM(C7:C16)</f>
        <v>26</v>
      </c>
      <c r="D6" s="24">
        <f>SUM(D7:D16)</f>
        <v>26</v>
      </c>
      <c r="E6" s="24">
        <f>SUM(E7:E16)</f>
        <v>26</v>
      </c>
      <c r="F6" s="24">
        <f>SUM(F7:F16)</f>
        <v>27</v>
      </c>
    </row>
    <row r="7" spans="1:6" x14ac:dyDescent="0.2">
      <c r="A7" s="2" t="s">
        <v>1205</v>
      </c>
      <c r="B7" s="2">
        <v>6</v>
      </c>
      <c r="C7" s="2">
        <v>6</v>
      </c>
      <c r="D7" s="2">
        <v>6</v>
      </c>
      <c r="E7" s="2">
        <v>6</v>
      </c>
      <c r="F7" s="2">
        <v>7</v>
      </c>
    </row>
    <row r="8" spans="1:6" x14ac:dyDescent="0.2">
      <c r="A8" s="2" t="s">
        <v>1206</v>
      </c>
      <c r="B8" s="2">
        <v>2</v>
      </c>
      <c r="C8" s="2">
        <v>2</v>
      </c>
      <c r="D8" s="2">
        <v>2</v>
      </c>
      <c r="E8" s="2">
        <v>2</v>
      </c>
      <c r="F8" s="2">
        <v>1</v>
      </c>
    </row>
    <row r="9" spans="1:6" x14ac:dyDescent="0.2">
      <c r="A9" s="2" t="s">
        <v>1207</v>
      </c>
      <c r="B9" s="2">
        <v>1</v>
      </c>
      <c r="C9" s="2">
        <v>1</v>
      </c>
      <c r="D9" s="2">
        <v>1</v>
      </c>
      <c r="E9" s="2">
        <v>1</v>
      </c>
      <c r="F9" s="2">
        <v>1</v>
      </c>
    </row>
    <row r="10" spans="1:6" x14ac:dyDescent="0.2">
      <c r="A10" s="2" t="s">
        <v>1208</v>
      </c>
      <c r="B10" s="2">
        <v>2</v>
      </c>
      <c r="C10" s="2">
        <v>2</v>
      </c>
      <c r="D10" s="2">
        <v>2</v>
      </c>
      <c r="E10" s="2">
        <v>2</v>
      </c>
      <c r="F10" s="2">
        <v>2</v>
      </c>
    </row>
    <row r="11" spans="1:6" x14ac:dyDescent="0.2">
      <c r="A11" s="2" t="s">
        <v>1209</v>
      </c>
      <c r="B11" s="2">
        <v>5</v>
      </c>
      <c r="C11" s="2">
        <v>5</v>
      </c>
      <c r="D11" s="2">
        <v>5</v>
      </c>
      <c r="E11" s="2">
        <v>5</v>
      </c>
      <c r="F11" s="2">
        <v>6</v>
      </c>
    </row>
    <row r="12" spans="1:6" x14ac:dyDescent="0.2">
      <c r="A12" s="2" t="s">
        <v>1210</v>
      </c>
      <c r="B12" s="2">
        <v>2</v>
      </c>
      <c r="C12" s="2">
        <v>2</v>
      </c>
      <c r="D12" s="2">
        <v>2</v>
      </c>
      <c r="E12" s="2">
        <v>2</v>
      </c>
      <c r="F12" s="2">
        <v>3</v>
      </c>
    </row>
    <row r="13" spans="1:6" x14ac:dyDescent="0.2">
      <c r="A13" s="2" t="s">
        <v>1211</v>
      </c>
      <c r="B13" s="2">
        <v>1</v>
      </c>
      <c r="C13" s="2">
        <v>1</v>
      </c>
      <c r="D13" s="2">
        <v>1</v>
      </c>
      <c r="E13" s="2">
        <v>1</v>
      </c>
      <c r="F13" s="2">
        <v>1</v>
      </c>
    </row>
    <row r="14" spans="1:6" x14ac:dyDescent="0.2">
      <c r="A14" s="2" t="s">
        <v>1212</v>
      </c>
      <c r="B14" s="2">
        <v>1</v>
      </c>
      <c r="C14" s="2">
        <v>1</v>
      </c>
      <c r="D14" s="2">
        <v>1</v>
      </c>
      <c r="E14" s="2">
        <v>1</v>
      </c>
      <c r="F14" s="2">
        <v>0</v>
      </c>
    </row>
    <row r="15" spans="1:6" x14ac:dyDescent="0.2">
      <c r="A15" s="2" t="s">
        <v>1213</v>
      </c>
      <c r="B15" s="2">
        <v>3</v>
      </c>
      <c r="C15" s="2">
        <v>3</v>
      </c>
      <c r="D15" s="2">
        <v>3</v>
      </c>
      <c r="E15" s="2">
        <v>3</v>
      </c>
      <c r="F15" s="2">
        <v>3</v>
      </c>
    </row>
    <row r="16" spans="1:6" x14ac:dyDescent="0.2">
      <c r="A16" s="2" t="s">
        <v>1214</v>
      </c>
      <c r="B16" s="2">
        <v>3</v>
      </c>
      <c r="C16" s="2">
        <v>3</v>
      </c>
      <c r="D16" s="2">
        <v>3</v>
      </c>
      <c r="E16" s="2">
        <v>3</v>
      </c>
      <c r="F16" s="2">
        <v>3</v>
      </c>
    </row>
    <row r="18" spans="1:6" ht="33.75" customHeight="1" x14ac:dyDescent="0.2">
      <c r="A18" s="639" t="s">
        <v>1215</v>
      </c>
      <c r="B18" s="639"/>
      <c r="C18" s="639"/>
      <c r="D18" s="639"/>
      <c r="E18" s="639"/>
      <c r="F18" s="639"/>
    </row>
    <row r="19" spans="1:6" x14ac:dyDescent="0.2">
      <c r="A19" s="623" t="s">
        <v>1128</v>
      </c>
      <c r="B19" s="623"/>
      <c r="C19" s="623"/>
      <c r="D19" s="623"/>
      <c r="E19" s="623"/>
      <c r="F19" s="623"/>
    </row>
  </sheetData>
  <mergeCells count="5">
    <mergeCell ref="A2:F2"/>
    <mergeCell ref="A4:A5"/>
    <mergeCell ref="B4:F4"/>
    <mergeCell ref="A18:F18"/>
    <mergeCell ref="A19:F19"/>
  </mergeCells>
  <pageMargins left="0.70866141732283472" right="0.70866141732283472" top="0.74803149606299213" bottom="0.74803149606299213" header="0.31496062992125984" footer="0.31496062992125984"/>
  <pageSetup paperSize="14"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1149EB-5E71-44EC-9E33-6B5E3F7B17EC}">
  <sheetPr codeName="Hoja74"/>
  <dimension ref="A2:F17"/>
  <sheetViews>
    <sheetView workbookViewId="0">
      <selection activeCell="D4" sqref="D4"/>
    </sheetView>
  </sheetViews>
  <sheetFormatPr baseColWidth="10" defaultColWidth="11.44140625" defaultRowHeight="10.199999999999999" x14ac:dyDescent="0.2"/>
  <cols>
    <col min="1" max="1" width="32.6640625" style="2" customWidth="1"/>
    <col min="2" max="2" width="11.88671875" style="2" customWidth="1"/>
    <col min="3" max="5" width="11.44140625" style="2"/>
    <col min="6" max="6" width="13.6640625" style="2" customWidth="1"/>
    <col min="7" max="16384" width="11.44140625" style="2"/>
  </cols>
  <sheetData>
    <row r="2" spans="1:6" s="624" customFormat="1" ht="24" customHeight="1" x14ac:dyDescent="0.2">
      <c r="A2" s="45" t="s">
        <v>1074</v>
      </c>
      <c r="B2" s="45"/>
      <c r="C2" s="45"/>
      <c r="D2" s="45"/>
      <c r="E2" s="45"/>
      <c r="F2" s="45"/>
    </row>
    <row r="4" spans="1:6" ht="42.6" x14ac:dyDescent="0.2">
      <c r="A4" s="644" t="s">
        <v>1216</v>
      </c>
      <c r="B4" s="644" t="s">
        <v>42</v>
      </c>
      <c r="C4" s="644" t="s">
        <v>1217</v>
      </c>
      <c r="D4" s="644" t="s">
        <v>1218</v>
      </c>
      <c r="E4" s="644" t="s">
        <v>1219</v>
      </c>
      <c r="F4" s="644" t="s">
        <v>1220</v>
      </c>
    </row>
    <row r="5" spans="1:6" x14ac:dyDescent="0.2">
      <c r="A5" s="24" t="s">
        <v>1221</v>
      </c>
      <c r="B5" s="645">
        <f>SUM(B6:B8)</f>
        <v>219</v>
      </c>
      <c r="C5" s="645">
        <f>SUM(C6:C8)</f>
        <v>13</v>
      </c>
      <c r="D5" s="645">
        <f>SUM(D6:D8)</f>
        <v>13</v>
      </c>
      <c r="E5" s="645">
        <f>SUM(E6:E8)</f>
        <v>23</v>
      </c>
      <c r="F5" s="645">
        <f>SUM(F6:F8)</f>
        <v>170</v>
      </c>
    </row>
    <row r="6" spans="1:6" x14ac:dyDescent="0.2">
      <c r="A6" s="2" t="s">
        <v>1222</v>
      </c>
      <c r="B6" s="646">
        <f>SUM(C6:F6)</f>
        <v>147</v>
      </c>
      <c r="C6" s="646">
        <v>12</v>
      </c>
      <c r="D6" s="646">
        <v>5</v>
      </c>
      <c r="E6" s="646">
        <v>19</v>
      </c>
      <c r="F6" s="646">
        <v>111</v>
      </c>
    </row>
    <row r="7" spans="1:6" x14ac:dyDescent="0.2">
      <c r="A7" s="2" t="s">
        <v>1223</v>
      </c>
      <c r="B7" s="646">
        <f>SUM(C7:F7)</f>
        <v>48</v>
      </c>
      <c r="C7" s="646" t="s">
        <v>1224</v>
      </c>
      <c r="D7" s="646">
        <v>7</v>
      </c>
      <c r="E7" s="646">
        <v>2</v>
      </c>
      <c r="F7" s="646">
        <v>39</v>
      </c>
    </row>
    <row r="8" spans="1:6" x14ac:dyDescent="0.2">
      <c r="A8" s="2" t="s">
        <v>1225</v>
      </c>
      <c r="B8" s="646">
        <f>SUM(C8:F8)</f>
        <v>24</v>
      </c>
      <c r="C8" s="646">
        <v>1</v>
      </c>
      <c r="D8" s="646">
        <v>1</v>
      </c>
      <c r="E8" s="646">
        <v>2</v>
      </c>
      <c r="F8" s="646">
        <v>20</v>
      </c>
    </row>
    <row r="9" spans="1:6" x14ac:dyDescent="0.2">
      <c r="A9" s="24" t="s">
        <v>1226</v>
      </c>
      <c r="B9" s="645">
        <f>SUM(B10:B11)</f>
        <v>219</v>
      </c>
      <c r="C9" s="645">
        <f>SUM(C10:C11)</f>
        <v>13</v>
      </c>
      <c r="D9" s="645">
        <f>SUM(D10:D11)</f>
        <v>13</v>
      </c>
      <c r="E9" s="645">
        <f>SUM(E10:E11)</f>
        <v>23</v>
      </c>
      <c r="F9" s="645">
        <f>SUM(F10:F11)</f>
        <v>170</v>
      </c>
    </row>
    <row r="10" spans="1:6" x14ac:dyDescent="0.2">
      <c r="A10" s="2" t="s">
        <v>1227</v>
      </c>
      <c r="B10" s="646">
        <f>SUM(C10:F10)</f>
        <v>214</v>
      </c>
      <c r="C10" s="646">
        <v>13</v>
      </c>
      <c r="D10" s="646">
        <v>13</v>
      </c>
      <c r="E10" s="646">
        <v>19</v>
      </c>
      <c r="F10" s="646">
        <v>169</v>
      </c>
    </row>
    <row r="11" spans="1:6" x14ac:dyDescent="0.2">
      <c r="A11" s="2" t="s">
        <v>1228</v>
      </c>
      <c r="B11" s="646">
        <f>SUM(C11:F11)</f>
        <v>5</v>
      </c>
      <c r="C11" s="646" t="s">
        <v>1224</v>
      </c>
      <c r="D11" s="646" t="s">
        <v>1224</v>
      </c>
      <c r="E11" s="646">
        <v>4</v>
      </c>
      <c r="F11" s="646">
        <v>1</v>
      </c>
    </row>
    <row r="13" spans="1:6" x14ac:dyDescent="0.2">
      <c r="A13" s="647" t="s">
        <v>1229</v>
      </c>
      <c r="B13" s="647"/>
      <c r="C13" s="647"/>
      <c r="D13" s="647"/>
      <c r="E13" s="647"/>
      <c r="F13" s="647"/>
    </row>
    <row r="14" spans="1:6" ht="22.5" customHeight="1" x14ac:dyDescent="0.2">
      <c r="A14" s="639" t="s">
        <v>1230</v>
      </c>
      <c r="B14" s="639"/>
      <c r="C14" s="639"/>
      <c r="D14" s="639"/>
      <c r="E14" s="639"/>
      <c r="F14" s="639"/>
    </row>
    <row r="15" spans="1:6" ht="20.25" customHeight="1" x14ac:dyDescent="0.2">
      <c r="A15" s="639" t="s">
        <v>1231</v>
      </c>
      <c r="B15" s="639"/>
      <c r="C15" s="639"/>
      <c r="D15" s="639"/>
      <c r="E15" s="639"/>
      <c r="F15" s="639"/>
    </row>
    <row r="16" spans="1:6" x14ac:dyDescent="0.2">
      <c r="A16" s="2" t="s">
        <v>19</v>
      </c>
    </row>
    <row r="17" spans="1:6" x14ac:dyDescent="0.2">
      <c r="A17" s="623" t="s">
        <v>1128</v>
      </c>
      <c r="B17" s="623"/>
      <c r="C17" s="623"/>
      <c r="D17" s="623"/>
      <c r="E17" s="623"/>
      <c r="F17" s="623"/>
    </row>
  </sheetData>
  <mergeCells count="5">
    <mergeCell ref="A2:F2"/>
    <mergeCell ref="A13:F13"/>
    <mergeCell ref="A14:F14"/>
    <mergeCell ref="A15:F15"/>
    <mergeCell ref="A17:F17"/>
  </mergeCells>
  <pageMargins left="0.70866141732283472" right="0.70866141732283472" top="0.74803149606299213" bottom="0.74803149606299213" header="0.31496062992125984" footer="0.31496062992125984"/>
  <pageSetup paperSize="14"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070F81-0AC9-4A20-AFC4-1F6BA7F22B0D}">
  <sheetPr codeName="Hoja75"/>
  <dimension ref="A2:B14"/>
  <sheetViews>
    <sheetView workbookViewId="0">
      <selection activeCell="D4" sqref="D4"/>
    </sheetView>
  </sheetViews>
  <sheetFormatPr baseColWidth="10" defaultColWidth="11.44140625" defaultRowHeight="10.199999999999999" x14ac:dyDescent="0.2"/>
  <cols>
    <col min="1" max="1" width="20.5546875" style="2" customWidth="1"/>
    <col min="2" max="2" width="27.5546875" style="2" customWidth="1"/>
    <col min="3" max="16384" width="11.44140625" style="2"/>
  </cols>
  <sheetData>
    <row r="2" spans="1:2" s="624" customFormat="1" ht="58.5" customHeight="1" x14ac:dyDescent="0.2">
      <c r="A2" s="45" t="s">
        <v>1075</v>
      </c>
      <c r="B2" s="45"/>
    </row>
    <row r="4" spans="1:2" ht="22.2" x14ac:dyDescent="0.2">
      <c r="A4" s="644" t="s">
        <v>1232</v>
      </c>
      <c r="B4" s="644" t="s">
        <v>1233</v>
      </c>
    </row>
    <row r="5" spans="1:2" x14ac:dyDescent="0.2">
      <c r="A5" s="24" t="s">
        <v>1127</v>
      </c>
      <c r="B5" s="648">
        <f>SUM(B6:B10)</f>
        <v>5919</v>
      </c>
    </row>
    <row r="6" spans="1:2" x14ac:dyDescent="0.2">
      <c r="A6" s="2" t="s">
        <v>1234</v>
      </c>
      <c r="B6" s="315">
        <v>118</v>
      </c>
    </row>
    <row r="7" spans="1:2" x14ac:dyDescent="0.2">
      <c r="A7" s="2" t="s">
        <v>1235</v>
      </c>
      <c r="B7" s="315">
        <v>1302</v>
      </c>
    </row>
    <row r="8" spans="1:2" x14ac:dyDescent="0.2">
      <c r="A8" s="2" t="s">
        <v>446</v>
      </c>
      <c r="B8" s="315">
        <v>0</v>
      </c>
    </row>
    <row r="9" spans="1:2" x14ac:dyDescent="0.2">
      <c r="A9" s="2" t="s">
        <v>443</v>
      </c>
      <c r="B9" s="315">
        <v>355</v>
      </c>
    </row>
    <row r="10" spans="1:2" x14ac:dyDescent="0.2">
      <c r="A10" s="2" t="s">
        <v>1236</v>
      </c>
      <c r="B10" s="315">
        <v>4144</v>
      </c>
    </row>
    <row r="12" spans="1:2" ht="42.75" customHeight="1" x14ac:dyDescent="0.2">
      <c r="A12" s="639" t="s">
        <v>1237</v>
      </c>
      <c r="B12" s="639"/>
    </row>
    <row r="13" spans="1:2" ht="12.75" customHeight="1" x14ac:dyDescent="0.2">
      <c r="A13" s="649" t="s">
        <v>1238</v>
      </c>
      <c r="B13" s="649"/>
    </row>
    <row r="14" spans="1:2" ht="21" customHeight="1" x14ac:dyDescent="0.2">
      <c r="A14" s="639" t="s">
        <v>1128</v>
      </c>
      <c r="B14" s="639"/>
    </row>
  </sheetData>
  <mergeCells count="4">
    <mergeCell ref="A2:B2"/>
    <mergeCell ref="A12:B12"/>
    <mergeCell ref="A13:B13"/>
    <mergeCell ref="A14:B14"/>
  </mergeCells>
  <pageMargins left="0.7" right="0.7" top="0.75" bottom="0.75" header="0.3" footer="0.3"/>
  <pageSetup paperSize="14"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225C50-4A9C-4767-85D5-D5C34728FCC0}">
  <sheetPr codeName="Hoja76"/>
  <dimension ref="A2:F16"/>
  <sheetViews>
    <sheetView workbookViewId="0">
      <selection activeCell="D4" sqref="D4"/>
    </sheetView>
  </sheetViews>
  <sheetFormatPr baseColWidth="10" defaultColWidth="11.44140625" defaultRowHeight="10.199999999999999" x14ac:dyDescent="0.2"/>
  <cols>
    <col min="1" max="1" width="45" style="2" customWidth="1"/>
    <col min="2" max="2" width="11.44140625" style="2"/>
    <col min="3" max="6" width="13.33203125" style="2" customWidth="1"/>
    <col min="7" max="16384" width="11.44140625" style="2"/>
  </cols>
  <sheetData>
    <row r="2" spans="1:6" ht="27.75" customHeight="1" x14ac:dyDescent="0.2">
      <c r="A2" s="45" t="s">
        <v>1076</v>
      </c>
      <c r="B2" s="45"/>
      <c r="C2" s="45"/>
      <c r="D2" s="45"/>
      <c r="E2" s="45"/>
      <c r="F2" s="45"/>
    </row>
    <row r="4" spans="1:6" x14ac:dyDescent="0.2">
      <c r="A4" s="298" t="s">
        <v>1239</v>
      </c>
      <c r="B4" s="298" t="s">
        <v>42</v>
      </c>
      <c r="C4" s="298" t="s">
        <v>1191</v>
      </c>
      <c r="D4" s="298"/>
      <c r="E4" s="298"/>
      <c r="F4" s="298"/>
    </row>
    <row r="5" spans="1:6" ht="62.25" customHeight="1" x14ac:dyDescent="0.2">
      <c r="A5" s="298"/>
      <c r="B5" s="298"/>
      <c r="C5" s="644" t="s">
        <v>1192</v>
      </c>
      <c r="D5" s="644" t="s">
        <v>1240</v>
      </c>
      <c r="E5" s="644" t="s">
        <v>1194</v>
      </c>
      <c r="F5" s="644" t="s">
        <v>1241</v>
      </c>
    </row>
    <row r="6" spans="1:6" x14ac:dyDescent="0.2">
      <c r="A6" s="309" t="s">
        <v>1242</v>
      </c>
      <c r="B6" s="650">
        <f t="shared" ref="B6:B12" si="0">SUM(C6:F6)</f>
        <v>339514</v>
      </c>
      <c r="C6" s="650">
        <v>11836</v>
      </c>
      <c r="D6" s="650">
        <v>247545</v>
      </c>
      <c r="E6" s="650">
        <v>22860</v>
      </c>
      <c r="F6" s="650">
        <v>57273</v>
      </c>
    </row>
    <row r="7" spans="1:6" x14ac:dyDescent="0.2">
      <c r="A7" s="309" t="s">
        <v>1243</v>
      </c>
      <c r="B7" s="650">
        <f t="shared" si="0"/>
        <v>10429</v>
      </c>
      <c r="C7" s="650">
        <v>1013</v>
      </c>
      <c r="D7" s="650">
        <v>298</v>
      </c>
      <c r="E7" s="650">
        <v>1150</v>
      </c>
      <c r="F7" s="650">
        <v>7968</v>
      </c>
    </row>
    <row r="8" spans="1:6" ht="20.399999999999999" x14ac:dyDescent="0.2">
      <c r="A8" s="309" t="s">
        <v>1244</v>
      </c>
      <c r="B8" s="650">
        <f t="shared" si="0"/>
        <v>319805</v>
      </c>
      <c r="C8" s="650">
        <v>222</v>
      </c>
      <c r="D8" s="650">
        <v>247545</v>
      </c>
      <c r="E8" s="650">
        <v>20898</v>
      </c>
      <c r="F8" s="650">
        <v>51140</v>
      </c>
    </row>
    <row r="9" spans="1:6" ht="20.399999999999999" x14ac:dyDescent="0.2">
      <c r="A9" s="309" t="s">
        <v>1245</v>
      </c>
      <c r="B9" s="650">
        <f t="shared" si="0"/>
        <v>2001</v>
      </c>
      <c r="C9" s="650">
        <v>1146</v>
      </c>
      <c r="D9" s="650">
        <v>6</v>
      </c>
      <c r="E9" s="650">
        <v>46</v>
      </c>
      <c r="F9" s="650">
        <v>803</v>
      </c>
    </row>
    <row r="10" spans="1:6" ht="30.6" x14ac:dyDescent="0.2">
      <c r="A10" s="309" t="s">
        <v>1246</v>
      </c>
      <c r="B10" s="650">
        <f t="shared" si="0"/>
        <v>1610</v>
      </c>
      <c r="C10" s="650" t="s">
        <v>193</v>
      </c>
      <c r="D10" s="650" t="s">
        <v>193</v>
      </c>
      <c r="E10" s="650" t="s">
        <v>193</v>
      </c>
      <c r="F10" s="650">
        <v>1610</v>
      </c>
    </row>
    <row r="11" spans="1:6" ht="30.6" x14ac:dyDescent="0.2">
      <c r="A11" s="309" t="s">
        <v>1247</v>
      </c>
      <c r="B11" s="650">
        <f t="shared" si="0"/>
        <v>14</v>
      </c>
      <c r="C11" s="650" t="s">
        <v>193</v>
      </c>
      <c r="D11" s="650" t="s">
        <v>193</v>
      </c>
      <c r="E11" s="650" t="s">
        <v>193</v>
      </c>
      <c r="F11" s="650">
        <v>14</v>
      </c>
    </row>
    <row r="12" spans="1:6" ht="40.799999999999997" x14ac:dyDescent="0.2">
      <c r="A12" s="309" t="s">
        <v>1248</v>
      </c>
      <c r="B12" s="650">
        <f t="shared" si="0"/>
        <v>6</v>
      </c>
      <c r="C12" s="650" t="s">
        <v>193</v>
      </c>
      <c r="D12" s="650" t="s">
        <v>193</v>
      </c>
      <c r="E12" s="650">
        <v>6</v>
      </c>
      <c r="F12" s="650" t="s">
        <v>193</v>
      </c>
    </row>
    <row r="14" spans="1:6" ht="26.25" customHeight="1" x14ac:dyDescent="0.2">
      <c r="A14" s="638" t="s">
        <v>1249</v>
      </c>
      <c r="B14" s="638"/>
      <c r="C14" s="638"/>
      <c r="D14" s="638"/>
      <c r="E14" s="638"/>
      <c r="F14" s="638"/>
    </row>
    <row r="15" spans="1:6" x14ac:dyDescent="0.2">
      <c r="A15" s="623" t="s">
        <v>1250</v>
      </c>
      <c r="B15" s="623"/>
      <c r="C15" s="623"/>
      <c r="D15" s="623"/>
      <c r="E15" s="623"/>
      <c r="F15" s="623"/>
    </row>
    <row r="16" spans="1:6" x14ac:dyDescent="0.2">
      <c r="A16" s="623" t="s">
        <v>1128</v>
      </c>
      <c r="B16" s="623"/>
      <c r="C16" s="623"/>
      <c r="D16" s="623"/>
      <c r="E16" s="623"/>
      <c r="F16" s="623"/>
    </row>
  </sheetData>
  <mergeCells count="7">
    <mergeCell ref="A16:F16"/>
    <mergeCell ref="A2:F2"/>
    <mergeCell ref="A4:A5"/>
    <mergeCell ref="B4:B5"/>
    <mergeCell ref="C4:F4"/>
    <mergeCell ref="A14:F14"/>
    <mergeCell ref="A15:F15"/>
  </mergeCells>
  <pageMargins left="0.70866141732283472" right="0.70866141732283472" top="0.74803149606299213" bottom="0.74803149606299213" header="0.31496062992125984" footer="0.31496062992125984"/>
  <pageSetup paperSize="14"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E73615-6F17-4D13-AC88-D6542EDF2E85}">
  <sheetPr codeName="Hoja77"/>
  <dimension ref="A2:J39"/>
  <sheetViews>
    <sheetView workbookViewId="0">
      <selection activeCell="D4" sqref="D4"/>
    </sheetView>
  </sheetViews>
  <sheetFormatPr baseColWidth="10" defaultColWidth="11.44140625" defaultRowHeight="10.199999999999999" x14ac:dyDescent="0.2"/>
  <cols>
    <col min="1" max="1" width="33.6640625" style="2" customWidth="1"/>
    <col min="2" max="2" width="11.44140625" style="2"/>
    <col min="3" max="8" width="9" style="2" bestFit="1" customWidth="1"/>
    <col min="9" max="9" width="11" style="2" customWidth="1"/>
    <col min="10" max="10" width="9" style="2" bestFit="1" customWidth="1"/>
    <col min="11" max="16384" width="11.44140625" style="2"/>
  </cols>
  <sheetData>
    <row r="2" spans="1:10" ht="24" customHeight="1" x14ac:dyDescent="0.2">
      <c r="A2" s="45" t="s">
        <v>1077</v>
      </c>
      <c r="B2" s="45"/>
      <c r="C2" s="45"/>
      <c r="D2" s="45"/>
      <c r="E2" s="45"/>
      <c r="F2" s="45"/>
      <c r="G2" s="45"/>
      <c r="H2" s="45"/>
      <c r="I2" s="45"/>
      <c r="J2" s="45"/>
    </row>
    <row r="4" spans="1:10" ht="16.5" customHeight="1" x14ac:dyDescent="0.2">
      <c r="A4" s="323" t="s">
        <v>1251</v>
      </c>
      <c r="B4" s="323" t="s">
        <v>1252</v>
      </c>
      <c r="C4" s="323"/>
      <c r="D4" s="323"/>
      <c r="E4" s="323"/>
      <c r="F4" s="323"/>
      <c r="G4" s="323"/>
      <c r="H4" s="323"/>
      <c r="I4" s="323"/>
      <c r="J4" s="323"/>
    </row>
    <row r="5" spans="1:10" ht="31.5" customHeight="1" x14ac:dyDescent="0.2">
      <c r="A5" s="323"/>
      <c r="B5" s="323" t="s">
        <v>42</v>
      </c>
      <c r="C5" s="298" t="s">
        <v>1253</v>
      </c>
      <c r="D5" s="298"/>
      <c r="E5" s="298" t="s">
        <v>1193</v>
      </c>
      <c r="F5" s="298"/>
      <c r="G5" s="298" t="s">
        <v>1194</v>
      </c>
      <c r="H5" s="298"/>
      <c r="I5" s="298" t="s">
        <v>1241</v>
      </c>
      <c r="J5" s="298"/>
    </row>
    <row r="6" spans="1:10" ht="23.25" customHeight="1" x14ac:dyDescent="0.2">
      <c r="A6" s="323"/>
      <c r="B6" s="323"/>
      <c r="C6" s="644" t="s">
        <v>1254</v>
      </c>
      <c r="D6" s="644" t="s">
        <v>1255</v>
      </c>
      <c r="E6" s="644" t="s">
        <v>1254</v>
      </c>
      <c r="F6" s="644" t="s">
        <v>1255</v>
      </c>
      <c r="G6" s="644" t="s">
        <v>1254</v>
      </c>
      <c r="H6" s="644" t="s">
        <v>1255</v>
      </c>
      <c r="I6" s="644" t="s">
        <v>1256</v>
      </c>
      <c r="J6" s="644" t="s">
        <v>1255</v>
      </c>
    </row>
    <row r="7" spans="1:10" s="24" customFormat="1" x14ac:dyDescent="0.2">
      <c r="A7" s="24" t="s">
        <v>3</v>
      </c>
      <c r="B7" s="622">
        <f>SUM(C7:J7)</f>
        <v>1062</v>
      </c>
      <c r="C7" s="622">
        <f>SUM(C8:C27)</f>
        <v>7</v>
      </c>
      <c r="D7" s="622">
        <f t="shared" ref="D7:H7" si="0">SUM(D8:D27)</f>
        <v>0</v>
      </c>
      <c r="E7" s="622">
        <f t="shared" si="0"/>
        <v>36</v>
      </c>
      <c r="F7" s="622">
        <f t="shared" si="0"/>
        <v>1</v>
      </c>
      <c r="G7" s="622">
        <f t="shared" si="0"/>
        <v>15</v>
      </c>
      <c r="H7" s="622">
        <f t="shared" si="0"/>
        <v>0</v>
      </c>
      <c r="I7" s="622">
        <f>SUM(I8:I27)</f>
        <v>0</v>
      </c>
      <c r="J7" s="622">
        <f>SUM(J8:J27)</f>
        <v>1003</v>
      </c>
    </row>
    <row r="8" spans="1:10" x14ac:dyDescent="0.2">
      <c r="A8" s="2" t="s">
        <v>1257</v>
      </c>
      <c r="B8" s="622">
        <f t="shared" ref="B8:B27" si="1">SUM(C8:J8)</f>
        <v>1</v>
      </c>
      <c r="C8" s="315">
        <v>1</v>
      </c>
      <c r="D8" s="315">
        <f>SUM(D9:D27)</f>
        <v>0</v>
      </c>
      <c r="E8" s="315">
        <v>0</v>
      </c>
      <c r="F8" s="315">
        <v>0</v>
      </c>
      <c r="G8" s="315">
        <v>0</v>
      </c>
      <c r="H8" s="315">
        <f>SUM(H9:H27)</f>
        <v>0</v>
      </c>
      <c r="I8" s="315">
        <v>0</v>
      </c>
      <c r="J8" s="315">
        <v>0</v>
      </c>
    </row>
    <row r="9" spans="1:10" x14ac:dyDescent="0.2">
      <c r="A9" s="2" t="s">
        <v>1258</v>
      </c>
      <c r="B9" s="622">
        <f t="shared" si="1"/>
        <v>1</v>
      </c>
      <c r="C9" s="315">
        <v>1</v>
      </c>
      <c r="D9" s="315">
        <f>SUM(D10:D38)</f>
        <v>0</v>
      </c>
      <c r="E9" s="315">
        <v>0</v>
      </c>
      <c r="F9" s="315">
        <v>0</v>
      </c>
      <c r="G9" s="315">
        <v>0</v>
      </c>
      <c r="H9" s="315">
        <f>SUM(H10:H38)</f>
        <v>0</v>
      </c>
      <c r="I9" s="315">
        <v>0</v>
      </c>
      <c r="J9" s="315">
        <v>0</v>
      </c>
    </row>
    <row r="10" spans="1:10" x14ac:dyDescent="0.2">
      <c r="A10" s="2" t="s">
        <v>1259</v>
      </c>
      <c r="B10" s="622">
        <f t="shared" si="1"/>
        <v>1</v>
      </c>
      <c r="C10" s="315">
        <v>1</v>
      </c>
      <c r="D10" s="315">
        <f>SUM(D11:D39)</f>
        <v>0</v>
      </c>
      <c r="E10" s="315">
        <v>0</v>
      </c>
      <c r="F10" s="315">
        <v>0</v>
      </c>
      <c r="G10" s="315">
        <v>0</v>
      </c>
      <c r="H10" s="315">
        <f>SUM(H11:H39)</f>
        <v>0</v>
      </c>
      <c r="I10" s="315">
        <v>0</v>
      </c>
      <c r="J10" s="315">
        <v>0</v>
      </c>
    </row>
    <row r="11" spans="1:10" x14ac:dyDescent="0.2">
      <c r="A11" s="2" t="s">
        <v>1260</v>
      </c>
      <c r="B11" s="622">
        <f t="shared" si="1"/>
        <v>1</v>
      </c>
      <c r="C11" s="315">
        <v>1</v>
      </c>
      <c r="D11" s="315">
        <f>SUM(D12:D39)</f>
        <v>0</v>
      </c>
      <c r="E11" s="315">
        <v>0</v>
      </c>
      <c r="F11" s="315">
        <v>0</v>
      </c>
      <c r="G11" s="315">
        <v>0</v>
      </c>
      <c r="H11" s="315">
        <f>SUM(H12:H39)</f>
        <v>0</v>
      </c>
      <c r="I11" s="315">
        <v>0</v>
      </c>
      <c r="J11" s="315">
        <v>0</v>
      </c>
    </row>
    <row r="12" spans="1:10" x14ac:dyDescent="0.2">
      <c r="A12" s="2" t="s">
        <v>1261</v>
      </c>
      <c r="B12" s="622">
        <f t="shared" si="1"/>
        <v>1</v>
      </c>
      <c r="C12" s="315">
        <v>1</v>
      </c>
      <c r="D12" s="315">
        <f>SUM(D13:D39)</f>
        <v>0</v>
      </c>
      <c r="E12" s="315">
        <v>0</v>
      </c>
      <c r="F12" s="315">
        <v>0</v>
      </c>
      <c r="G12" s="315">
        <v>0</v>
      </c>
      <c r="H12" s="315">
        <f>SUM(H13:H39)</f>
        <v>0</v>
      </c>
      <c r="I12" s="315">
        <v>0</v>
      </c>
      <c r="J12" s="315">
        <v>0</v>
      </c>
    </row>
    <row r="13" spans="1:10" x14ac:dyDescent="0.2">
      <c r="A13" s="2" t="s">
        <v>1262</v>
      </c>
      <c r="B13" s="622">
        <f t="shared" si="1"/>
        <v>1</v>
      </c>
      <c r="C13" s="315">
        <v>1</v>
      </c>
      <c r="D13" s="315">
        <f>SUM(D14:D39)</f>
        <v>0</v>
      </c>
      <c r="E13" s="315">
        <v>0</v>
      </c>
      <c r="F13" s="315">
        <v>0</v>
      </c>
      <c r="G13" s="315">
        <v>0</v>
      </c>
      <c r="H13" s="315">
        <f>SUM(H14:H39)</f>
        <v>0</v>
      </c>
      <c r="I13" s="315">
        <v>0</v>
      </c>
      <c r="J13" s="315">
        <v>0</v>
      </c>
    </row>
    <row r="14" spans="1:10" x14ac:dyDescent="0.2">
      <c r="A14" s="2" t="s">
        <v>1263</v>
      </c>
      <c r="B14" s="622">
        <f t="shared" si="1"/>
        <v>1</v>
      </c>
      <c r="C14" s="315">
        <v>1</v>
      </c>
      <c r="D14" s="315">
        <f>SUM(D15:D39)</f>
        <v>0</v>
      </c>
      <c r="E14" s="315">
        <v>0</v>
      </c>
      <c r="F14" s="315">
        <v>0</v>
      </c>
      <c r="G14" s="315">
        <v>0</v>
      </c>
      <c r="H14" s="315">
        <f>SUM(H15:H39)</f>
        <v>0</v>
      </c>
      <c r="I14" s="315">
        <v>0</v>
      </c>
      <c r="J14" s="315">
        <v>0</v>
      </c>
    </row>
    <row r="15" spans="1:10" ht="12" x14ac:dyDescent="0.2">
      <c r="A15" s="2" t="s">
        <v>1264</v>
      </c>
      <c r="B15" s="622">
        <f t="shared" si="1"/>
        <v>1</v>
      </c>
      <c r="C15" s="315">
        <v>0</v>
      </c>
      <c r="D15" s="315">
        <f>SUM(D16:D39)</f>
        <v>0</v>
      </c>
      <c r="E15" s="315">
        <v>1</v>
      </c>
      <c r="F15" s="315">
        <v>0</v>
      </c>
      <c r="G15" s="315">
        <v>0</v>
      </c>
      <c r="H15" s="315">
        <f>SUM(H16:H39)</f>
        <v>0</v>
      </c>
      <c r="I15" s="315">
        <v>0</v>
      </c>
      <c r="J15" s="315">
        <v>0</v>
      </c>
    </row>
    <row r="16" spans="1:10" ht="12" x14ac:dyDescent="0.2">
      <c r="A16" s="2" t="s">
        <v>1265</v>
      </c>
      <c r="B16" s="622">
        <f t="shared" si="1"/>
        <v>5</v>
      </c>
      <c r="C16" s="315">
        <v>0</v>
      </c>
      <c r="D16" s="315">
        <f>SUM(D17:D39)</f>
        <v>0</v>
      </c>
      <c r="E16" s="315">
        <v>5</v>
      </c>
      <c r="F16" s="315">
        <v>0</v>
      </c>
      <c r="G16" s="315">
        <v>0</v>
      </c>
      <c r="H16" s="315">
        <f>SUM(H17:H39)</f>
        <v>0</v>
      </c>
      <c r="I16" s="315">
        <v>0</v>
      </c>
      <c r="J16" s="315">
        <v>0</v>
      </c>
    </row>
    <row r="17" spans="1:10" ht="12" x14ac:dyDescent="0.2">
      <c r="A17" s="2" t="s">
        <v>1266</v>
      </c>
      <c r="B17" s="622">
        <f t="shared" si="1"/>
        <v>2</v>
      </c>
      <c r="C17" s="315">
        <v>0</v>
      </c>
      <c r="D17" s="315">
        <f>SUM(D18:D39)</f>
        <v>0</v>
      </c>
      <c r="E17" s="315">
        <v>1</v>
      </c>
      <c r="F17" s="315">
        <v>1</v>
      </c>
      <c r="G17" s="315">
        <v>0</v>
      </c>
      <c r="H17" s="315">
        <f>SUM(H18:H39)</f>
        <v>0</v>
      </c>
      <c r="I17" s="315">
        <v>0</v>
      </c>
      <c r="J17" s="315">
        <v>0</v>
      </c>
    </row>
    <row r="18" spans="1:10" ht="12" x14ac:dyDescent="0.2">
      <c r="A18" s="2" t="s">
        <v>1267</v>
      </c>
      <c r="B18" s="622">
        <f t="shared" si="1"/>
        <v>1</v>
      </c>
      <c r="C18" s="315">
        <v>0</v>
      </c>
      <c r="D18" s="315">
        <f>SUM(D19:D39)</f>
        <v>0</v>
      </c>
      <c r="E18" s="315">
        <v>1</v>
      </c>
      <c r="F18" s="315">
        <v>0</v>
      </c>
      <c r="G18" s="315">
        <v>0</v>
      </c>
      <c r="H18" s="315">
        <f>SUM(H19:H39)</f>
        <v>0</v>
      </c>
      <c r="I18" s="315">
        <v>0</v>
      </c>
      <c r="J18" s="315">
        <v>0</v>
      </c>
    </row>
    <row r="19" spans="1:10" ht="12" x14ac:dyDescent="0.2">
      <c r="A19" s="2" t="s">
        <v>1268</v>
      </c>
      <c r="B19" s="622">
        <f t="shared" si="1"/>
        <v>28</v>
      </c>
      <c r="C19" s="315">
        <v>0</v>
      </c>
      <c r="D19" s="315">
        <f>SUM(D20:D39)</f>
        <v>0</v>
      </c>
      <c r="E19" s="315">
        <v>28</v>
      </c>
      <c r="F19" s="315">
        <v>0</v>
      </c>
      <c r="G19" s="315">
        <v>0</v>
      </c>
      <c r="H19" s="315">
        <f>SUM(H20:H39)</f>
        <v>0</v>
      </c>
      <c r="I19" s="315">
        <v>0</v>
      </c>
      <c r="J19" s="315">
        <v>0</v>
      </c>
    </row>
    <row r="20" spans="1:10" ht="12" x14ac:dyDescent="0.2">
      <c r="A20" s="2" t="s">
        <v>1269</v>
      </c>
      <c r="B20" s="622">
        <f t="shared" si="1"/>
        <v>13</v>
      </c>
      <c r="C20" s="315">
        <v>0</v>
      </c>
      <c r="D20" s="315">
        <f>SUM(D21:D39)</f>
        <v>0</v>
      </c>
      <c r="E20" s="315">
        <v>0</v>
      </c>
      <c r="F20" s="315">
        <v>0</v>
      </c>
      <c r="G20" s="315">
        <v>13</v>
      </c>
      <c r="H20" s="315">
        <f>SUM(H21:H39)</f>
        <v>0</v>
      </c>
      <c r="I20" s="315">
        <v>0</v>
      </c>
      <c r="J20" s="315">
        <v>0</v>
      </c>
    </row>
    <row r="21" spans="1:10" ht="12" x14ac:dyDescent="0.2">
      <c r="A21" s="2" t="s">
        <v>1270</v>
      </c>
      <c r="B21" s="622">
        <f t="shared" si="1"/>
        <v>1</v>
      </c>
      <c r="C21" s="315">
        <v>0</v>
      </c>
      <c r="D21" s="315">
        <f>SUM(D22:D39)</f>
        <v>0</v>
      </c>
      <c r="E21" s="315">
        <v>0</v>
      </c>
      <c r="F21" s="315">
        <v>0</v>
      </c>
      <c r="G21" s="315">
        <v>1</v>
      </c>
      <c r="H21" s="315">
        <f>SUM(H22:H39)</f>
        <v>0</v>
      </c>
      <c r="I21" s="315">
        <v>0</v>
      </c>
      <c r="J21" s="315">
        <v>0</v>
      </c>
    </row>
    <row r="22" spans="1:10" ht="12" x14ac:dyDescent="0.2">
      <c r="A22" s="2" t="s">
        <v>1271</v>
      </c>
      <c r="B22" s="622">
        <f t="shared" si="1"/>
        <v>1</v>
      </c>
      <c r="C22" s="315">
        <v>0</v>
      </c>
      <c r="D22" s="315">
        <f>SUM(D23:D39)</f>
        <v>0</v>
      </c>
      <c r="E22" s="315">
        <v>0</v>
      </c>
      <c r="F22" s="315">
        <v>0</v>
      </c>
      <c r="G22" s="315">
        <v>1</v>
      </c>
      <c r="H22" s="315">
        <f>SUM(H23:H39)</f>
        <v>0</v>
      </c>
      <c r="I22" s="315">
        <v>0</v>
      </c>
      <c r="J22" s="315">
        <v>0</v>
      </c>
    </row>
    <row r="23" spans="1:10" x14ac:dyDescent="0.2">
      <c r="A23" s="2" t="s">
        <v>1272</v>
      </c>
      <c r="B23" s="622">
        <f t="shared" si="1"/>
        <v>971</v>
      </c>
      <c r="C23" s="315">
        <v>0</v>
      </c>
      <c r="D23" s="315">
        <f>SUM(D24:D39)</f>
        <v>0</v>
      </c>
      <c r="E23" s="315">
        <v>0</v>
      </c>
      <c r="F23" s="315">
        <v>0</v>
      </c>
      <c r="G23" s="315">
        <v>0</v>
      </c>
      <c r="H23" s="315">
        <f>SUM(H24:H39)</f>
        <v>0</v>
      </c>
      <c r="I23" s="315">
        <v>0</v>
      </c>
      <c r="J23" s="315">
        <v>971</v>
      </c>
    </row>
    <row r="24" spans="1:10" x14ac:dyDescent="0.2">
      <c r="A24" s="2" t="s">
        <v>1273</v>
      </c>
      <c r="B24" s="622">
        <f t="shared" si="1"/>
        <v>3</v>
      </c>
      <c r="C24" s="315">
        <v>0</v>
      </c>
      <c r="D24" s="315">
        <f>SUM(D25:D39)</f>
        <v>0</v>
      </c>
      <c r="E24" s="315">
        <v>0</v>
      </c>
      <c r="F24" s="315">
        <v>0</v>
      </c>
      <c r="G24" s="315">
        <v>0</v>
      </c>
      <c r="H24" s="315">
        <f>SUM(H25:H39)</f>
        <v>0</v>
      </c>
      <c r="I24" s="315">
        <v>0</v>
      </c>
      <c r="J24" s="315">
        <v>3</v>
      </c>
    </row>
    <row r="25" spans="1:10" x14ac:dyDescent="0.2">
      <c r="A25" s="2" t="s">
        <v>1274</v>
      </c>
      <c r="B25" s="622">
        <f t="shared" si="1"/>
        <v>7</v>
      </c>
      <c r="C25" s="315">
        <v>0</v>
      </c>
      <c r="D25" s="315">
        <f>SUM(D26:D39)</f>
        <v>0</v>
      </c>
      <c r="E25" s="315">
        <v>0</v>
      </c>
      <c r="F25" s="315">
        <v>0</v>
      </c>
      <c r="G25" s="315">
        <v>0</v>
      </c>
      <c r="H25" s="315">
        <f>SUM(H26:H39)</f>
        <v>0</v>
      </c>
      <c r="I25" s="315">
        <v>0</v>
      </c>
      <c r="J25" s="315">
        <v>7</v>
      </c>
    </row>
    <row r="26" spans="1:10" x14ac:dyDescent="0.2">
      <c r="A26" s="2" t="s">
        <v>1275</v>
      </c>
      <c r="B26" s="622">
        <f t="shared" si="1"/>
        <v>15</v>
      </c>
      <c r="C26" s="315">
        <v>0</v>
      </c>
      <c r="D26" s="315">
        <f>SUM(D27:D39)</f>
        <v>0</v>
      </c>
      <c r="E26" s="315">
        <v>0</v>
      </c>
      <c r="F26" s="315">
        <v>0</v>
      </c>
      <c r="G26" s="315">
        <v>0</v>
      </c>
      <c r="H26" s="315">
        <f>SUM(H27:H39)</f>
        <v>0</v>
      </c>
      <c r="I26" s="315">
        <v>0</v>
      </c>
      <c r="J26" s="315">
        <v>15</v>
      </c>
    </row>
    <row r="27" spans="1:10" x14ac:dyDescent="0.2">
      <c r="A27" s="2" t="s">
        <v>1276</v>
      </c>
      <c r="B27" s="622">
        <f t="shared" si="1"/>
        <v>7</v>
      </c>
      <c r="C27" s="315">
        <v>0</v>
      </c>
      <c r="D27" s="315">
        <f>SUM(D28:D39)</f>
        <v>0</v>
      </c>
      <c r="E27" s="315">
        <v>0</v>
      </c>
      <c r="F27" s="315">
        <v>0</v>
      </c>
      <c r="G27" s="315">
        <v>0</v>
      </c>
      <c r="H27" s="315">
        <f>SUM(H28:H39)</f>
        <v>0</v>
      </c>
      <c r="I27" s="315">
        <v>0</v>
      </c>
      <c r="J27" s="315">
        <v>7</v>
      </c>
    </row>
    <row r="29" spans="1:10" x14ac:dyDescent="0.2">
      <c r="A29" s="2" t="s">
        <v>1277</v>
      </c>
    </row>
    <row r="30" spans="1:10" x14ac:dyDescent="0.2">
      <c r="A30" s="2" t="s">
        <v>1278</v>
      </c>
    </row>
    <row r="31" spans="1:10" x14ac:dyDescent="0.2">
      <c r="A31" s="2" t="s">
        <v>1279</v>
      </c>
    </row>
    <row r="32" spans="1:10" x14ac:dyDescent="0.2">
      <c r="A32" s="2" t="s">
        <v>1280</v>
      </c>
    </row>
    <row r="33" spans="1:10" x14ac:dyDescent="0.2">
      <c r="A33" s="651" t="s">
        <v>1281</v>
      </c>
    </row>
    <row r="34" spans="1:10" ht="45.75" customHeight="1" x14ac:dyDescent="0.2">
      <c r="A34" s="638" t="s">
        <v>1282</v>
      </c>
      <c r="B34" s="638"/>
      <c r="C34" s="638"/>
      <c r="D34" s="638"/>
      <c r="E34" s="638"/>
      <c r="F34" s="638"/>
      <c r="G34" s="638"/>
      <c r="H34" s="638"/>
      <c r="I34" s="638"/>
      <c r="J34" s="638"/>
    </row>
    <row r="35" spans="1:10" x14ac:dyDescent="0.2">
      <c r="A35" s="651" t="s">
        <v>1283</v>
      </c>
    </row>
    <row r="36" spans="1:10" x14ac:dyDescent="0.2">
      <c r="A36" s="2" t="s">
        <v>1284</v>
      </c>
    </row>
    <row r="37" spans="1:10" ht="23.25" customHeight="1" x14ac:dyDescent="0.2">
      <c r="A37" s="652" t="s">
        <v>1285</v>
      </c>
      <c r="B37" s="652"/>
      <c r="C37" s="652"/>
      <c r="D37" s="652"/>
      <c r="E37" s="652"/>
      <c r="F37" s="652"/>
      <c r="G37" s="652"/>
      <c r="H37" s="652"/>
      <c r="I37" s="652"/>
      <c r="J37" s="652"/>
    </row>
    <row r="38" spans="1:10" x14ac:dyDescent="0.2">
      <c r="A38" s="2" t="s">
        <v>19</v>
      </c>
    </row>
    <row r="39" spans="1:10" x14ac:dyDescent="0.2">
      <c r="A39" s="623" t="s">
        <v>1128</v>
      </c>
      <c r="B39" s="623"/>
      <c r="C39" s="623"/>
      <c r="D39" s="623"/>
      <c r="E39" s="623"/>
      <c r="F39" s="623"/>
    </row>
  </sheetData>
  <mergeCells count="11">
    <mergeCell ref="A34:J34"/>
    <mergeCell ref="A37:J37"/>
    <mergeCell ref="A39:F39"/>
    <mergeCell ref="A2:J2"/>
    <mergeCell ref="A4:A6"/>
    <mergeCell ref="B4:J4"/>
    <mergeCell ref="B5:B6"/>
    <mergeCell ref="C5:D5"/>
    <mergeCell ref="E5:F5"/>
    <mergeCell ref="G5:H5"/>
    <mergeCell ref="I5:J5"/>
  </mergeCells>
  <pageMargins left="0.70866141732283472" right="0.70866141732283472" top="0.74803149606299213" bottom="0.74803149606299213" header="0.31496062992125984" footer="0.31496062992125984"/>
  <pageSetup paperSize="14" scale="90" orientation="landscape" verticalDpi="300"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46EB0D-BBD6-46BA-9B9D-66EC5D153B18}">
  <sheetPr codeName="Hoja78"/>
  <dimension ref="A2:F14"/>
  <sheetViews>
    <sheetView workbookViewId="0">
      <selection activeCell="D4" sqref="D4"/>
    </sheetView>
  </sheetViews>
  <sheetFormatPr baseColWidth="10" defaultColWidth="11.44140625" defaultRowHeight="10.199999999999999" x14ac:dyDescent="0.2"/>
  <cols>
    <col min="1" max="1" width="28.6640625" style="2" customWidth="1"/>
    <col min="2" max="16384" width="11.44140625" style="2"/>
  </cols>
  <sheetData>
    <row r="2" spans="1:6" ht="33.75" customHeight="1" x14ac:dyDescent="0.2">
      <c r="A2" s="45" t="s">
        <v>1078</v>
      </c>
      <c r="B2" s="45"/>
      <c r="C2" s="45"/>
      <c r="D2" s="45"/>
      <c r="E2" s="45"/>
      <c r="F2" s="45"/>
    </row>
    <row r="3" spans="1:6" ht="12.75" customHeight="1" x14ac:dyDescent="0.2"/>
    <row r="4" spans="1:6" ht="17.25" customHeight="1" x14ac:dyDescent="0.2">
      <c r="A4" s="323" t="s">
        <v>1251</v>
      </c>
      <c r="B4" s="323" t="s">
        <v>98</v>
      </c>
      <c r="C4" s="323"/>
      <c r="D4" s="323"/>
      <c r="E4" s="323"/>
      <c r="F4" s="323"/>
    </row>
    <row r="5" spans="1:6" ht="17.25" customHeight="1" x14ac:dyDescent="0.2">
      <c r="A5" s="323"/>
      <c r="B5" s="621">
        <v>2009</v>
      </c>
      <c r="C5" s="621">
        <v>2010</v>
      </c>
      <c r="D5" s="621">
        <v>2011</v>
      </c>
      <c r="E5" s="621">
        <v>2012</v>
      </c>
      <c r="F5" s="621">
        <v>2013</v>
      </c>
    </row>
    <row r="6" spans="1:6" s="24" customFormat="1" ht="10.5" customHeight="1" x14ac:dyDescent="0.2">
      <c r="A6" s="24" t="s">
        <v>1127</v>
      </c>
      <c r="B6" s="622">
        <f>SUM(B7:B11)</f>
        <v>25</v>
      </c>
      <c r="C6" s="622">
        <f>SUM(C7:C11)</f>
        <v>24</v>
      </c>
      <c r="D6" s="622">
        <f>SUM(D7:D11)</f>
        <v>1279</v>
      </c>
      <c r="E6" s="622">
        <f>SUM(E7:E11)</f>
        <v>1076</v>
      </c>
      <c r="F6" s="622">
        <f>SUM(F7:F11)</f>
        <v>1003</v>
      </c>
    </row>
    <row r="7" spans="1:6" x14ac:dyDescent="0.2">
      <c r="A7" s="2" t="s">
        <v>1272</v>
      </c>
      <c r="B7" s="315">
        <v>0</v>
      </c>
      <c r="C7" s="315">
        <v>0</v>
      </c>
      <c r="D7" s="315">
        <v>1252</v>
      </c>
      <c r="E7" s="315">
        <v>1002</v>
      </c>
      <c r="F7" s="315">
        <v>971</v>
      </c>
    </row>
    <row r="8" spans="1:6" x14ac:dyDescent="0.2">
      <c r="A8" s="2" t="s">
        <v>1273</v>
      </c>
      <c r="B8" s="315">
        <v>4</v>
      </c>
      <c r="C8" s="315">
        <v>1</v>
      </c>
      <c r="D8" s="315">
        <v>9</v>
      </c>
      <c r="E8" s="315">
        <v>10</v>
      </c>
      <c r="F8" s="315">
        <v>3</v>
      </c>
    </row>
    <row r="9" spans="1:6" x14ac:dyDescent="0.2">
      <c r="A9" s="2" t="s">
        <v>1274</v>
      </c>
      <c r="B9" s="315">
        <v>15</v>
      </c>
      <c r="C9" s="315">
        <v>9</v>
      </c>
      <c r="D9" s="315">
        <v>5</v>
      </c>
      <c r="E9" s="315">
        <v>8</v>
      </c>
      <c r="F9" s="315">
        <v>7</v>
      </c>
    </row>
    <row r="10" spans="1:6" x14ac:dyDescent="0.2">
      <c r="A10" s="2" t="s">
        <v>1275</v>
      </c>
      <c r="B10" s="315">
        <v>3</v>
      </c>
      <c r="C10" s="315">
        <v>2</v>
      </c>
      <c r="D10" s="315">
        <v>4</v>
      </c>
      <c r="E10" s="315">
        <v>38</v>
      </c>
      <c r="F10" s="315">
        <v>15</v>
      </c>
    </row>
    <row r="11" spans="1:6" x14ac:dyDescent="0.2">
      <c r="A11" s="2" t="s">
        <v>1276</v>
      </c>
      <c r="B11" s="315">
        <v>3</v>
      </c>
      <c r="C11" s="315">
        <v>12</v>
      </c>
      <c r="D11" s="315">
        <v>9</v>
      </c>
      <c r="E11" s="315">
        <v>18</v>
      </c>
      <c r="F11" s="315">
        <v>7</v>
      </c>
    </row>
    <row r="12" spans="1:6" ht="9" customHeight="1" x14ac:dyDescent="0.2"/>
    <row r="13" spans="1:6" x14ac:dyDescent="0.2">
      <c r="A13" s="2" t="s">
        <v>19</v>
      </c>
    </row>
    <row r="14" spans="1:6" ht="11.25" customHeight="1" x14ac:dyDescent="0.2">
      <c r="A14" s="623" t="s">
        <v>1128</v>
      </c>
      <c r="B14" s="623"/>
      <c r="C14" s="623"/>
      <c r="D14" s="623"/>
      <c r="E14" s="623"/>
      <c r="F14" s="623"/>
    </row>
  </sheetData>
  <mergeCells count="4">
    <mergeCell ref="A2:F2"/>
    <mergeCell ref="A4:A5"/>
    <mergeCell ref="B4:F4"/>
    <mergeCell ref="A14:F14"/>
  </mergeCells>
  <pageMargins left="0.7" right="0.7" top="0.75" bottom="0.75" header="0.3" footer="0.3"/>
  <pageSetup paperSize="14"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647343-B3AF-4462-83DF-B906472517E5}">
  <sheetPr codeName="Hoja79"/>
  <dimension ref="A2:G24"/>
  <sheetViews>
    <sheetView workbookViewId="0">
      <selection activeCell="D4" sqref="D4"/>
    </sheetView>
  </sheetViews>
  <sheetFormatPr baseColWidth="10" defaultColWidth="11.44140625" defaultRowHeight="10.199999999999999" x14ac:dyDescent="0.2"/>
  <cols>
    <col min="1" max="1" width="28.88671875" style="2" customWidth="1"/>
    <col min="2" max="2" width="11.44140625" style="2"/>
    <col min="3" max="3" width="14.109375" style="2" customWidth="1"/>
    <col min="4" max="5" width="11.44140625" style="2"/>
    <col min="6" max="6" width="15.33203125" style="2" customWidth="1"/>
    <col min="7" max="7" width="15.44140625" style="2" customWidth="1"/>
    <col min="8" max="16384" width="11.44140625" style="2"/>
  </cols>
  <sheetData>
    <row r="2" spans="1:7" s="624" customFormat="1" ht="23.25" customHeight="1" x14ac:dyDescent="0.2">
      <c r="A2" s="45" t="s">
        <v>1079</v>
      </c>
      <c r="B2" s="45"/>
      <c r="C2" s="45"/>
      <c r="D2" s="45"/>
      <c r="E2" s="45"/>
      <c r="F2" s="45"/>
      <c r="G2" s="45"/>
    </row>
    <row r="3" spans="1:7" ht="14.25" customHeight="1" x14ac:dyDescent="0.2"/>
    <row r="4" spans="1:7" ht="15.75" customHeight="1" x14ac:dyDescent="0.2">
      <c r="A4" s="298" t="s">
        <v>0</v>
      </c>
      <c r="B4" s="298" t="s">
        <v>42</v>
      </c>
      <c r="C4" s="298" t="s">
        <v>1286</v>
      </c>
      <c r="D4" s="298"/>
      <c r="E4" s="298"/>
      <c r="F4" s="298"/>
      <c r="G4" s="298"/>
    </row>
    <row r="5" spans="1:7" ht="37.5" customHeight="1" x14ac:dyDescent="0.2">
      <c r="A5" s="298"/>
      <c r="B5" s="298"/>
      <c r="C5" s="644" t="s">
        <v>1272</v>
      </c>
      <c r="D5" s="644" t="s">
        <v>1273</v>
      </c>
      <c r="E5" s="644" t="s">
        <v>1274</v>
      </c>
      <c r="F5" s="644" t="s">
        <v>1275</v>
      </c>
      <c r="G5" s="644" t="s">
        <v>1276</v>
      </c>
    </row>
    <row r="6" spans="1:7" ht="11.25" customHeight="1" x14ac:dyDescent="0.2">
      <c r="A6" s="24" t="s">
        <v>1127</v>
      </c>
      <c r="B6" s="622">
        <f t="shared" ref="B6:G21" si="0">SUM(C6:G6)</f>
        <v>1003</v>
      </c>
      <c r="C6" s="622">
        <f>SUM(C7:C21)</f>
        <v>971</v>
      </c>
      <c r="D6" s="622">
        <f>SUM(D7:D21)</f>
        <v>3</v>
      </c>
      <c r="E6" s="622">
        <f>SUM(E7:E21)</f>
        <v>7</v>
      </c>
      <c r="F6" s="622">
        <f>SUM(F7:F21)</f>
        <v>15</v>
      </c>
      <c r="G6" s="622">
        <f>SUM(G7:G21)</f>
        <v>7</v>
      </c>
    </row>
    <row r="7" spans="1:7" ht="11.25" customHeight="1" x14ac:dyDescent="0.2">
      <c r="A7" s="2" t="s">
        <v>4</v>
      </c>
      <c r="B7" s="315">
        <f t="shared" si="0"/>
        <v>0</v>
      </c>
      <c r="C7" s="315">
        <f t="shared" si="0"/>
        <v>0</v>
      </c>
      <c r="D7" s="315">
        <f t="shared" si="0"/>
        <v>0</v>
      </c>
      <c r="E7" s="315">
        <f t="shared" si="0"/>
        <v>0</v>
      </c>
      <c r="F7" s="315">
        <f t="shared" si="0"/>
        <v>0</v>
      </c>
      <c r="G7" s="315">
        <f t="shared" si="0"/>
        <v>0</v>
      </c>
    </row>
    <row r="8" spans="1:7" ht="11.25" customHeight="1" x14ac:dyDescent="0.2">
      <c r="A8" s="2" t="s">
        <v>5</v>
      </c>
      <c r="B8" s="315">
        <f t="shared" si="0"/>
        <v>0</v>
      </c>
      <c r="C8" s="315">
        <f t="shared" si="0"/>
        <v>0</v>
      </c>
      <c r="D8" s="315">
        <f t="shared" si="0"/>
        <v>0</v>
      </c>
      <c r="E8" s="315">
        <f t="shared" si="0"/>
        <v>0</v>
      </c>
      <c r="F8" s="315">
        <f t="shared" si="0"/>
        <v>0</v>
      </c>
      <c r="G8" s="315">
        <f t="shared" si="0"/>
        <v>0</v>
      </c>
    </row>
    <row r="9" spans="1:7" ht="11.25" customHeight="1" x14ac:dyDescent="0.2">
      <c r="A9" s="2" t="s">
        <v>6</v>
      </c>
      <c r="B9" s="315">
        <f t="shared" si="0"/>
        <v>1</v>
      </c>
      <c r="C9" s="315">
        <v>0</v>
      </c>
      <c r="D9" s="315">
        <v>0</v>
      </c>
      <c r="E9" s="315">
        <v>0</v>
      </c>
      <c r="F9" s="315">
        <v>1</v>
      </c>
      <c r="G9" s="315">
        <v>0</v>
      </c>
    </row>
    <row r="10" spans="1:7" ht="11.25" customHeight="1" x14ac:dyDescent="0.2">
      <c r="A10" s="2" t="s">
        <v>7</v>
      </c>
      <c r="B10" s="315">
        <f t="shared" si="0"/>
        <v>10</v>
      </c>
      <c r="C10" s="315">
        <v>2</v>
      </c>
      <c r="D10" s="315">
        <v>0</v>
      </c>
      <c r="E10" s="315">
        <v>3</v>
      </c>
      <c r="F10" s="315">
        <v>5</v>
      </c>
      <c r="G10" s="315">
        <v>0</v>
      </c>
    </row>
    <row r="11" spans="1:7" ht="11.25" customHeight="1" x14ac:dyDescent="0.2">
      <c r="A11" s="2" t="s">
        <v>8</v>
      </c>
      <c r="B11" s="315">
        <f t="shared" si="0"/>
        <v>9</v>
      </c>
      <c r="C11" s="315">
        <v>0</v>
      </c>
      <c r="D11" s="315">
        <v>0</v>
      </c>
      <c r="E11" s="315">
        <v>0</v>
      </c>
      <c r="F11" s="315">
        <v>9</v>
      </c>
      <c r="G11" s="315">
        <v>0</v>
      </c>
    </row>
    <row r="12" spans="1:7" ht="11.25" customHeight="1" x14ac:dyDescent="0.2">
      <c r="A12" s="2" t="s">
        <v>9</v>
      </c>
      <c r="B12" s="315">
        <f t="shared" si="0"/>
        <v>971</v>
      </c>
      <c r="C12" s="315">
        <v>969</v>
      </c>
      <c r="D12" s="315">
        <v>0</v>
      </c>
      <c r="E12" s="315">
        <v>2</v>
      </c>
      <c r="F12" s="315">
        <v>0</v>
      </c>
      <c r="G12" s="315">
        <v>0</v>
      </c>
    </row>
    <row r="13" spans="1:7" ht="11.25" customHeight="1" x14ac:dyDescent="0.2">
      <c r="A13" s="2" t="s">
        <v>10</v>
      </c>
      <c r="B13" s="315">
        <f t="shared" si="0"/>
        <v>2</v>
      </c>
      <c r="C13" s="315">
        <v>0</v>
      </c>
      <c r="D13" s="315">
        <v>0</v>
      </c>
      <c r="E13" s="315">
        <v>2</v>
      </c>
      <c r="F13" s="315">
        <v>0</v>
      </c>
      <c r="G13" s="315">
        <v>0</v>
      </c>
    </row>
    <row r="14" spans="1:7" ht="11.25" customHeight="1" x14ac:dyDescent="0.2">
      <c r="A14" s="2" t="s">
        <v>134</v>
      </c>
      <c r="B14" s="315">
        <f t="shared" si="0"/>
        <v>0</v>
      </c>
      <c r="C14" s="315">
        <f>SUM(D14:H14)</f>
        <v>0</v>
      </c>
      <c r="D14" s="315">
        <f>SUM(E14:I14)</f>
        <v>0</v>
      </c>
      <c r="E14" s="315">
        <f>SUM(F14:J14)</f>
        <v>0</v>
      </c>
      <c r="F14" s="315">
        <f>SUM(G14:K14)</f>
        <v>0</v>
      </c>
      <c r="G14" s="315">
        <f>SUM(H14:L14)</f>
        <v>0</v>
      </c>
    </row>
    <row r="15" spans="1:7" ht="11.25" customHeight="1" x14ac:dyDescent="0.2">
      <c r="A15" s="2" t="s">
        <v>12</v>
      </c>
      <c r="B15" s="315">
        <f t="shared" si="0"/>
        <v>7</v>
      </c>
      <c r="C15" s="315">
        <v>0</v>
      </c>
      <c r="D15" s="315">
        <v>0</v>
      </c>
      <c r="E15" s="315">
        <v>0</v>
      </c>
      <c r="F15" s="315">
        <v>0</v>
      </c>
      <c r="G15" s="315">
        <v>7</v>
      </c>
    </row>
    <row r="16" spans="1:7" ht="11.25" customHeight="1" x14ac:dyDescent="0.2">
      <c r="A16" s="2" t="s">
        <v>13</v>
      </c>
      <c r="B16" s="315">
        <f t="shared" si="0"/>
        <v>0</v>
      </c>
      <c r="C16" s="315">
        <f t="shared" si="0"/>
        <v>0</v>
      </c>
      <c r="D16" s="315">
        <f t="shared" si="0"/>
        <v>0</v>
      </c>
      <c r="E16" s="315">
        <f t="shared" si="0"/>
        <v>0</v>
      </c>
      <c r="F16" s="315">
        <f t="shared" si="0"/>
        <v>0</v>
      </c>
      <c r="G16" s="315">
        <f t="shared" si="0"/>
        <v>0</v>
      </c>
    </row>
    <row r="17" spans="1:7" ht="11.25" customHeight="1" x14ac:dyDescent="0.2">
      <c r="A17" s="2" t="s">
        <v>47</v>
      </c>
      <c r="B17" s="315">
        <f t="shared" si="0"/>
        <v>0</v>
      </c>
      <c r="C17" s="315">
        <f t="shared" si="0"/>
        <v>0</v>
      </c>
      <c r="D17" s="315">
        <f t="shared" si="0"/>
        <v>0</v>
      </c>
      <c r="E17" s="315">
        <f t="shared" si="0"/>
        <v>0</v>
      </c>
      <c r="F17" s="315">
        <f t="shared" si="0"/>
        <v>0</v>
      </c>
      <c r="G17" s="315">
        <f t="shared" si="0"/>
        <v>0</v>
      </c>
    </row>
    <row r="18" spans="1:7" ht="11.25" customHeight="1" x14ac:dyDescent="0.2">
      <c r="A18" s="2" t="s">
        <v>135</v>
      </c>
      <c r="B18" s="315">
        <f t="shared" si="0"/>
        <v>0</v>
      </c>
      <c r="C18" s="315">
        <f t="shared" si="0"/>
        <v>0</v>
      </c>
      <c r="D18" s="315">
        <f t="shared" si="0"/>
        <v>0</v>
      </c>
      <c r="E18" s="315">
        <f t="shared" si="0"/>
        <v>0</v>
      </c>
      <c r="F18" s="315">
        <f t="shared" si="0"/>
        <v>0</v>
      </c>
      <c r="G18" s="315">
        <f t="shared" si="0"/>
        <v>0</v>
      </c>
    </row>
    <row r="19" spans="1:7" ht="11.25" customHeight="1" x14ac:dyDescent="0.2">
      <c r="A19" s="2" t="s">
        <v>136</v>
      </c>
      <c r="B19" s="315">
        <f t="shared" si="0"/>
        <v>3</v>
      </c>
      <c r="C19" s="315">
        <v>0</v>
      </c>
      <c r="D19" s="315">
        <v>3</v>
      </c>
      <c r="E19" s="315">
        <v>0</v>
      </c>
      <c r="F19" s="315">
        <v>0</v>
      </c>
      <c r="G19" s="315">
        <v>0</v>
      </c>
    </row>
    <row r="20" spans="1:7" ht="11.25" customHeight="1" x14ac:dyDescent="0.2">
      <c r="A20" s="2" t="s">
        <v>17</v>
      </c>
      <c r="B20" s="315">
        <f t="shared" si="0"/>
        <v>0</v>
      </c>
      <c r="C20" s="315">
        <f t="shared" si="0"/>
        <v>0</v>
      </c>
      <c r="D20" s="315">
        <f t="shared" si="0"/>
        <v>0</v>
      </c>
      <c r="E20" s="315">
        <f t="shared" si="0"/>
        <v>0</v>
      </c>
      <c r="F20" s="315">
        <f t="shared" si="0"/>
        <v>0</v>
      </c>
      <c r="G20" s="315">
        <f t="shared" si="0"/>
        <v>0</v>
      </c>
    </row>
    <row r="21" spans="1:7" ht="11.25" customHeight="1" x14ac:dyDescent="0.2">
      <c r="A21" s="2" t="s">
        <v>18</v>
      </c>
      <c r="B21" s="315">
        <f t="shared" si="0"/>
        <v>0</v>
      </c>
      <c r="C21" s="315">
        <f t="shared" si="0"/>
        <v>0</v>
      </c>
      <c r="D21" s="315">
        <f t="shared" si="0"/>
        <v>0</v>
      </c>
      <c r="E21" s="315">
        <f t="shared" si="0"/>
        <v>0</v>
      </c>
      <c r="F21" s="315">
        <f t="shared" si="0"/>
        <v>0</v>
      </c>
      <c r="G21" s="315">
        <f t="shared" si="0"/>
        <v>0</v>
      </c>
    </row>
    <row r="22" spans="1:7" ht="7.5" customHeight="1" x14ac:dyDescent="0.2"/>
    <row r="23" spans="1:7" x14ac:dyDescent="0.2">
      <c r="A23" s="2" t="s">
        <v>19</v>
      </c>
    </row>
    <row r="24" spans="1:7" x14ac:dyDescent="0.2">
      <c r="A24" s="623" t="s">
        <v>1128</v>
      </c>
      <c r="B24" s="623"/>
      <c r="C24" s="623"/>
      <c r="D24" s="623"/>
      <c r="E24" s="623"/>
      <c r="F24" s="623"/>
      <c r="G24" s="623"/>
    </row>
  </sheetData>
  <mergeCells count="5">
    <mergeCell ref="A2:G2"/>
    <mergeCell ref="A4:A5"/>
    <mergeCell ref="B4:B5"/>
    <mergeCell ref="C4:G4"/>
    <mergeCell ref="A24:G24"/>
  </mergeCells>
  <pageMargins left="0.7" right="0.7" top="0.75" bottom="0.75" header="0.3" footer="0.3"/>
  <pageSetup paperSize="14" scale="84"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CF5FFE-2968-4890-A729-2CF6760877D8}">
  <sheetPr codeName="Hoja8"/>
  <dimension ref="A2:S59"/>
  <sheetViews>
    <sheetView workbookViewId="0">
      <selection activeCell="C25" sqref="C25"/>
    </sheetView>
  </sheetViews>
  <sheetFormatPr baseColWidth="10" defaultRowHeight="13.2" x14ac:dyDescent="0.25"/>
  <cols>
    <col min="1" max="1" width="29" style="79" customWidth="1"/>
    <col min="2" max="16384" width="11.5546875" style="79"/>
  </cols>
  <sheetData>
    <row r="2" spans="1:19" ht="36" customHeight="1" x14ac:dyDescent="0.25">
      <c r="A2" s="64" t="s">
        <v>92</v>
      </c>
      <c r="B2" s="64"/>
      <c r="C2" s="64"/>
      <c r="D2" s="64"/>
      <c r="E2" s="64"/>
      <c r="F2" s="64"/>
    </row>
    <row r="3" spans="1:19" s="62" customFormat="1" ht="10.5" customHeight="1" x14ac:dyDescent="0.2">
      <c r="B3" s="80"/>
      <c r="C3" s="80"/>
      <c r="D3" s="80"/>
      <c r="E3" s="80"/>
      <c r="F3" s="80"/>
      <c r="H3" s="81"/>
      <c r="I3" s="81"/>
      <c r="J3" s="81"/>
      <c r="K3" s="81"/>
      <c r="L3" s="81"/>
      <c r="M3" s="81"/>
    </row>
    <row r="4" spans="1:19" s="70" customFormat="1" ht="15.75" customHeight="1" x14ac:dyDescent="0.25">
      <c r="A4" s="66" t="s">
        <v>103</v>
      </c>
      <c r="B4" s="82" t="s">
        <v>98</v>
      </c>
      <c r="C4" s="83"/>
      <c r="D4" s="83"/>
      <c r="E4" s="83"/>
      <c r="F4" s="84"/>
      <c r="H4" s="85"/>
      <c r="I4" s="85"/>
      <c r="J4" s="85"/>
      <c r="K4" s="85"/>
      <c r="L4" s="85"/>
      <c r="M4" s="85"/>
    </row>
    <row r="5" spans="1:19" s="70" customFormat="1" ht="15.75" customHeight="1" x14ac:dyDescent="0.25">
      <c r="A5" s="71"/>
      <c r="B5" s="72">
        <v>2009</v>
      </c>
      <c r="C5" s="72">
        <v>2010</v>
      </c>
      <c r="D5" s="72">
        <v>2011</v>
      </c>
      <c r="E5" s="72">
        <v>2012</v>
      </c>
      <c r="F5" s="72">
        <v>2013</v>
      </c>
      <c r="I5" s="86"/>
      <c r="J5" s="86"/>
      <c r="K5" s="86"/>
      <c r="L5" s="86"/>
      <c r="M5" s="86"/>
      <c r="O5" s="86"/>
      <c r="P5" s="86"/>
      <c r="Q5" s="86"/>
      <c r="R5" s="86"/>
      <c r="S5" s="86"/>
    </row>
    <row r="6" spans="1:19" s="62" customFormat="1" ht="10.199999999999999" x14ac:dyDescent="0.2">
      <c r="A6" s="87" t="s">
        <v>3</v>
      </c>
      <c r="B6" s="88">
        <f>SUM(B7:B22)</f>
        <v>12584</v>
      </c>
      <c r="C6" s="88">
        <f>SUM(C7:C22)</f>
        <v>12977</v>
      </c>
      <c r="D6" s="88">
        <f>SUM(D7:D22)</f>
        <v>13169</v>
      </c>
      <c r="E6" s="88">
        <f>SUM(E7:E22)</f>
        <v>12259</v>
      </c>
      <c r="F6" s="88">
        <f>SUM(F7:F22)</f>
        <v>13046</v>
      </c>
      <c r="H6" s="63"/>
      <c r="I6" s="89"/>
      <c r="J6" s="89"/>
      <c r="K6" s="89"/>
      <c r="L6" s="89"/>
      <c r="M6" s="89"/>
      <c r="O6" s="90"/>
      <c r="P6" s="90"/>
      <c r="Q6" s="90"/>
      <c r="R6" s="90"/>
      <c r="S6" s="90"/>
    </row>
    <row r="7" spans="1:19" s="62" customFormat="1" ht="10.199999999999999" x14ac:dyDescent="0.2">
      <c r="A7" s="62" t="s">
        <v>104</v>
      </c>
      <c r="B7" s="91">
        <v>13</v>
      </c>
      <c r="C7" s="91">
        <v>46</v>
      </c>
      <c r="D7" s="91">
        <v>25</v>
      </c>
      <c r="E7" s="91">
        <v>13</v>
      </c>
      <c r="F7" s="91">
        <v>26</v>
      </c>
      <c r="I7" s="74"/>
      <c r="J7" s="74"/>
      <c r="K7" s="74"/>
      <c r="L7" s="74"/>
      <c r="M7" s="74"/>
      <c r="O7" s="90"/>
      <c r="P7" s="90"/>
      <c r="Q7" s="90"/>
      <c r="R7" s="90"/>
      <c r="S7" s="90"/>
    </row>
    <row r="8" spans="1:19" s="62" customFormat="1" ht="10.199999999999999" x14ac:dyDescent="0.2">
      <c r="A8" s="62" t="s">
        <v>105</v>
      </c>
      <c r="B8" s="91">
        <v>125</v>
      </c>
      <c r="C8" s="91">
        <v>181</v>
      </c>
      <c r="D8" s="91">
        <v>400</v>
      </c>
      <c r="E8" s="91">
        <v>368</v>
      </c>
      <c r="F8" s="91">
        <v>196</v>
      </c>
      <c r="I8" s="74"/>
      <c r="J8" s="74"/>
      <c r="K8" s="74"/>
      <c r="L8" s="74"/>
      <c r="M8" s="74"/>
      <c r="O8" s="90"/>
      <c r="P8" s="90"/>
      <c r="Q8" s="90"/>
      <c r="R8" s="90"/>
      <c r="S8" s="90"/>
    </row>
    <row r="9" spans="1:19" s="62" customFormat="1" ht="10.199999999999999" x14ac:dyDescent="0.2">
      <c r="A9" s="62" t="s">
        <v>106</v>
      </c>
      <c r="B9" s="91">
        <v>2</v>
      </c>
      <c r="C9" s="91">
        <v>0</v>
      </c>
      <c r="D9" s="91">
        <v>1</v>
      </c>
      <c r="E9" s="91">
        <v>1</v>
      </c>
      <c r="F9" s="91">
        <v>0</v>
      </c>
      <c r="I9" s="74"/>
      <c r="J9" s="74"/>
      <c r="K9" s="74"/>
      <c r="L9" s="74"/>
      <c r="M9" s="74"/>
      <c r="O9" s="90"/>
      <c r="P9" s="90"/>
      <c r="Q9" s="90"/>
      <c r="R9" s="90"/>
      <c r="S9" s="90"/>
    </row>
    <row r="10" spans="1:19" s="62" customFormat="1" ht="10.199999999999999" x14ac:dyDescent="0.2">
      <c r="A10" s="62" t="s">
        <v>107</v>
      </c>
      <c r="B10" s="91">
        <v>2</v>
      </c>
      <c r="C10" s="91">
        <v>53</v>
      </c>
      <c r="D10" s="91">
        <v>104</v>
      </c>
      <c r="E10" s="91">
        <v>20</v>
      </c>
      <c r="F10" s="91">
        <v>7</v>
      </c>
      <c r="I10" s="74"/>
      <c r="J10" s="74"/>
      <c r="K10" s="74"/>
      <c r="L10" s="74"/>
      <c r="M10" s="74"/>
      <c r="O10" s="90"/>
      <c r="P10" s="90"/>
      <c r="Q10" s="90"/>
      <c r="R10" s="90"/>
      <c r="S10" s="90"/>
    </row>
    <row r="11" spans="1:19" s="62" customFormat="1" ht="10.199999999999999" x14ac:dyDescent="0.2">
      <c r="A11" s="62" t="s">
        <v>108</v>
      </c>
      <c r="B11" s="91">
        <v>42</v>
      </c>
      <c r="C11" s="91">
        <v>49</v>
      </c>
      <c r="D11" s="91">
        <v>62</v>
      </c>
      <c r="E11" s="91">
        <v>40</v>
      </c>
      <c r="F11" s="91">
        <v>32</v>
      </c>
      <c r="I11" s="74"/>
      <c r="J11" s="74"/>
      <c r="K11" s="74"/>
      <c r="L11" s="74"/>
      <c r="M11" s="74"/>
      <c r="O11" s="90"/>
      <c r="P11" s="90"/>
      <c r="Q11" s="90"/>
      <c r="R11" s="90"/>
      <c r="S11" s="90"/>
    </row>
    <row r="12" spans="1:19" s="62" customFormat="1" ht="10.199999999999999" x14ac:dyDescent="0.2">
      <c r="A12" s="62" t="s">
        <v>109</v>
      </c>
      <c r="B12" s="91">
        <v>234</v>
      </c>
      <c r="C12" s="91">
        <v>260</v>
      </c>
      <c r="D12" s="91">
        <v>272</v>
      </c>
      <c r="E12" s="91">
        <v>256</v>
      </c>
      <c r="F12" s="91">
        <v>261</v>
      </c>
      <c r="I12" s="74"/>
      <c r="J12" s="74"/>
      <c r="K12" s="74"/>
      <c r="L12" s="74"/>
      <c r="M12" s="74"/>
      <c r="O12" s="90"/>
      <c r="P12" s="90"/>
      <c r="Q12" s="90"/>
      <c r="R12" s="90"/>
      <c r="S12" s="90"/>
    </row>
    <row r="13" spans="1:19" s="62" customFormat="1" ht="10.199999999999999" x14ac:dyDescent="0.2">
      <c r="A13" s="62" t="s">
        <v>110</v>
      </c>
      <c r="B13" s="91">
        <v>1152</v>
      </c>
      <c r="C13" s="91">
        <v>1168</v>
      </c>
      <c r="D13" s="91">
        <v>1222</v>
      </c>
      <c r="E13" s="91">
        <v>981</v>
      </c>
      <c r="F13" s="91">
        <v>1572</v>
      </c>
      <c r="I13" s="74"/>
      <c r="J13" s="74"/>
      <c r="K13" s="74"/>
      <c r="L13" s="74"/>
      <c r="M13" s="74"/>
      <c r="O13" s="90"/>
      <c r="P13" s="90"/>
      <c r="Q13" s="90"/>
      <c r="R13" s="90"/>
      <c r="S13" s="90"/>
    </row>
    <row r="14" spans="1:19" s="62" customFormat="1" ht="10.199999999999999" x14ac:dyDescent="0.2">
      <c r="A14" s="62" t="s">
        <v>111</v>
      </c>
      <c r="B14" s="91">
        <v>311</v>
      </c>
      <c r="C14" s="91">
        <v>389</v>
      </c>
      <c r="D14" s="91">
        <v>222</v>
      </c>
      <c r="E14" s="91">
        <v>206</v>
      </c>
      <c r="F14" s="91">
        <v>170</v>
      </c>
      <c r="I14" s="74"/>
      <c r="J14" s="74"/>
      <c r="K14" s="74"/>
      <c r="L14" s="74"/>
      <c r="M14" s="74"/>
      <c r="O14" s="90"/>
      <c r="P14" s="90"/>
      <c r="Q14" s="90"/>
      <c r="R14" s="90"/>
      <c r="S14" s="90"/>
    </row>
    <row r="15" spans="1:19" s="62" customFormat="1" ht="10.199999999999999" x14ac:dyDescent="0.2">
      <c r="A15" s="62" t="s">
        <v>112</v>
      </c>
      <c r="B15" s="91">
        <v>23</v>
      </c>
      <c r="C15" s="91">
        <v>29</v>
      </c>
      <c r="D15" s="91">
        <v>38</v>
      </c>
      <c r="E15" s="91">
        <v>40</v>
      </c>
      <c r="F15" s="91">
        <v>40</v>
      </c>
      <c r="I15" s="74"/>
      <c r="J15" s="74"/>
      <c r="K15" s="74"/>
      <c r="L15" s="74"/>
      <c r="M15" s="74"/>
      <c r="O15" s="90"/>
      <c r="P15" s="90"/>
      <c r="Q15" s="90"/>
      <c r="R15" s="90"/>
      <c r="S15" s="90"/>
    </row>
    <row r="16" spans="1:19" s="62" customFormat="1" ht="10.199999999999999" x14ac:dyDescent="0.2">
      <c r="A16" s="62" t="s">
        <v>113</v>
      </c>
      <c r="B16" s="91">
        <v>7802</v>
      </c>
      <c r="C16" s="91">
        <v>8125</v>
      </c>
      <c r="D16" s="91">
        <v>8026</v>
      </c>
      <c r="E16" s="91">
        <v>7600</v>
      </c>
      <c r="F16" s="91">
        <v>7828</v>
      </c>
      <c r="I16" s="74"/>
      <c r="J16" s="74"/>
      <c r="K16" s="74"/>
      <c r="L16" s="74"/>
      <c r="M16" s="74"/>
      <c r="O16" s="90"/>
      <c r="P16" s="90"/>
      <c r="Q16" s="90"/>
      <c r="R16" s="90"/>
      <c r="S16" s="90"/>
    </row>
    <row r="17" spans="1:19" s="62" customFormat="1" ht="10.199999999999999" x14ac:dyDescent="0.2">
      <c r="A17" s="62" t="s">
        <v>114</v>
      </c>
      <c r="B17" s="91">
        <v>54</v>
      </c>
      <c r="C17" s="91">
        <v>26</v>
      </c>
      <c r="D17" s="91">
        <v>35</v>
      </c>
      <c r="E17" s="91">
        <v>64</v>
      </c>
      <c r="F17" s="91">
        <v>16</v>
      </c>
      <c r="I17" s="74"/>
      <c r="J17" s="74"/>
      <c r="K17" s="74"/>
      <c r="L17" s="74"/>
      <c r="M17" s="74"/>
      <c r="O17" s="90"/>
      <c r="P17" s="90"/>
      <c r="Q17" s="90"/>
      <c r="R17" s="90"/>
      <c r="S17" s="90"/>
    </row>
    <row r="18" spans="1:19" s="62" customFormat="1" ht="10.199999999999999" x14ac:dyDescent="0.2">
      <c r="A18" s="62" t="s">
        <v>115</v>
      </c>
      <c r="B18" s="91">
        <v>2475</v>
      </c>
      <c r="C18" s="91">
        <v>2206</v>
      </c>
      <c r="D18" s="91">
        <v>2317</v>
      </c>
      <c r="E18" s="91">
        <v>2207</v>
      </c>
      <c r="F18" s="91">
        <v>2218</v>
      </c>
      <c r="I18" s="74"/>
      <c r="J18" s="74"/>
      <c r="K18" s="74"/>
      <c r="L18" s="74"/>
      <c r="M18" s="74"/>
      <c r="O18" s="90"/>
      <c r="P18" s="90"/>
      <c r="Q18" s="90"/>
      <c r="R18" s="90"/>
      <c r="S18" s="90"/>
    </row>
    <row r="19" spans="1:19" s="62" customFormat="1" ht="10.199999999999999" x14ac:dyDescent="0.2">
      <c r="A19" s="62" t="s">
        <v>116</v>
      </c>
      <c r="B19" s="91">
        <v>126</v>
      </c>
      <c r="C19" s="91">
        <v>260</v>
      </c>
      <c r="D19" s="91">
        <v>226</v>
      </c>
      <c r="E19" s="91">
        <v>245</v>
      </c>
      <c r="F19" s="91">
        <v>391</v>
      </c>
      <c r="I19" s="74"/>
      <c r="J19" s="74"/>
      <c r="K19" s="74"/>
      <c r="L19" s="74"/>
      <c r="M19" s="74"/>
      <c r="O19" s="90"/>
      <c r="P19" s="90"/>
      <c r="Q19" s="90"/>
      <c r="R19" s="90"/>
      <c r="S19" s="90"/>
    </row>
    <row r="20" spans="1:19" s="62" customFormat="1" ht="10.199999999999999" x14ac:dyDescent="0.2">
      <c r="A20" s="62" t="s">
        <v>117</v>
      </c>
      <c r="B20" s="91">
        <v>46</v>
      </c>
      <c r="C20" s="91">
        <v>34</v>
      </c>
      <c r="D20" s="91">
        <v>25</v>
      </c>
      <c r="E20" s="91">
        <v>29</v>
      </c>
      <c r="F20" s="91">
        <v>37</v>
      </c>
      <c r="J20" s="74"/>
      <c r="K20" s="74"/>
      <c r="L20" s="74"/>
      <c r="M20" s="74"/>
      <c r="O20" s="90"/>
      <c r="P20" s="90"/>
      <c r="Q20" s="90"/>
      <c r="R20" s="90"/>
      <c r="S20" s="90"/>
    </row>
    <row r="21" spans="1:19" s="62" customFormat="1" ht="10.199999999999999" x14ac:dyDescent="0.2">
      <c r="A21" s="62" t="s">
        <v>118</v>
      </c>
      <c r="B21" s="91">
        <v>29</v>
      </c>
      <c r="C21" s="91">
        <v>21</v>
      </c>
      <c r="D21" s="91">
        <v>47</v>
      </c>
      <c r="E21" s="91">
        <v>48</v>
      </c>
      <c r="F21" s="91">
        <v>80</v>
      </c>
      <c r="I21" s="74"/>
      <c r="J21" s="74"/>
      <c r="K21" s="74"/>
      <c r="L21" s="74"/>
      <c r="M21" s="74"/>
      <c r="O21" s="90"/>
      <c r="P21" s="90"/>
      <c r="Q21" s="90"/>
      <c r="R21" s="90"/>
      <c r="S21" s="90"/>
    </row>
    <row r="22" spans="1:19" s="62" customFormat="1" ht="10.199999999999999" x14ac:dyDescent="0.2">
      <c r="A22" s="62" t="s">
        <v>119</v>
      </c>
      <c r="B22" s="91">
        <v>148</v>
      </c>
      <c r="C22" s="91">
        <v>130</v>
      </c>
      <c r="D22" s="91">
        <v>147</v>
      </c>
      <c r="E22" s="91">
        <v>141</v>
      </c>
      <c r="F22" s="91">
        <v>172</v>
      </c>
      <c r="O22" s="90"/>
      <c r="P22" s="90"/>
      <c r="Q22" s="90"/>
      <c r="R22" s="90"/>
      <c r="S22" s="90"/>
    </row>
    <row r="23" spans="1:19" s="62" customFormat="1" ht="5.25" customHeight="1" x14ac:dyDescent="0.2">
      <c r="B23" s="91"/>
      <c r="C23" s="91"/>
      <c r="D23" s="91"/>
      <c r="E23" s="91"/>
      <c r="F23" s="91"/>
      <c r="I23" s="74"/>
      <c r="J23" s="74"/>
      <c r="K23" s="74"/>
      <c r="L23" s="74"/>
      <c r="M23" s="74"/>
      <c r="O23" s="90"/>
      <c r="P23" s="90"/>
      <c r="Q23" s="90"/>
      <c r="R23" s="90"/>
      <c r="S23" s="90"/>
    </row>
    <row r="24" spans="1:19" s="62" customFormat="1" ht="10.199999999999999" x14ac:dyDescent="0.2">
      <c r="A24" s="77" t="s">
        <v>102</v>
      </c>
      <c r="B24" s="77"/>
      <c r="C24" s="77"/>
      <c r="D24" s="77"/>
      <c r="E24" s="77"/>
      <c r="F24" s="77"/>
    </row>
    <row r="25" spans="1:19" s="62" customFormat="1" ht="10.5" customHeight="1" x14ac:dyDescent="0.2">
      <c r="A25" s="92"/>
      <c r="B25" s="92"/>
      <c r="C25" s="92"/>
      <c r="D25" s="92"/>
      <c r="E25" s="92"/>
    </row>
    <row r="44" spans="1:1" x14ac:dyDescent="0.25">
      <c r="A44" s="93"/>
    </row>
    <row r="45" spans="1:1" x14ac:dyDescent="0.25">
      <c r="A45" s="93"/>
    </row>
    <row r="46" spans="1:1" x14ac:dyDescent="0.25">
      <c r="A46" s="93"/>
    </row>
    <row r="47" spans="1:1" x14ac:dyDescent="0.25">
      <c r="A47" s="93"/>
    </row>
    <row r="48" spans="1:1" x14ac:dyDescent="0.25">
      <c r="A48" s="93"/>
    </row>
    <row r="49" spans="1:1" x14ac:dyDescent="0.25">
      <c r="A49" s="93"/>
    </row>
    <row r="50" spans="1:1" x14ac:dyDescent="0.25">
      <c r="A50" s="93"/>
    </row>
    <row r="51" spans="1:1" x14ac:dyDescent="0.25">
      <c r="A51" s="93"/>
    </row>
    <row r="53" spans="1:1" x14ac:dyDescent="0.25">
      <c r="A53" s="93"/>
    </row>
    <row r="54" spans="1:1" x14ac:dyDescent="0.25">
      <c r="A54" s="93"/>
    </row>
    <row r="55" spans="1:1" x14ac:dyDescent="0.25">
      <c r="A55" s="93"/>
    </row>
    <row r="56" spans="1:1" x14ac:dyDescent="0.25">
      <c r="A56" s="93"/>
    </row>
    <row r="57" spans="1:1" x14ac:dyDescent="0.25">
      <c r="A57" s="93"/>
    </row>
    <row r="58" spans="1:1" x14ac:dyDescent="0.25">
      <c r="A58" s="93"/>
    </row>
    <row r="59" spans="1:1" x14ac:dyDescent="0.25">
      <c r="A59" s="93"/>
    </row>
  </sheetData>
  <mergeCells count="4">
    <mergeCell ref="A2:F2"/>
    <mergeCell ref="A4:A5"/>
    <mergeCell ref="B4:F4"/>
    <mergeCell ref="A24:F24"/>
  </mergeCells>
  <pageMargins left="0.70866141732283472" right="0.70866141732283472" top="0.74803149606299213" bottom="0.74803149606299213" header="0.31496062992125984" footer="0.31496062992125984"/>
  <pageSetup paperSize="14"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2DBB9-ECDE-4FB8-A7C3-40CB99888829}">
  <sheetPr codeName="Hoja80"/>
  <dimension ref="A2:F11"/>
  <sheetViews>
    <sheetView workbookViewId="0">
      <selection activeCell="D4" sqref="D4"/>
    </sheetView>
  </sheetViews>
  <sheetFormatPr baseColWidth="10" defaultColWidth="11.44140625" defaultRowHeight="10.199999999999999" x14ac:dyDescent="0.2"/>
  <cols>
    <col min="1" max="1" width="38.109375" style="2" customWidth="1"/>
    <col min="2" max="16384" width="11.44140625" style="2"/>
  </cols>
  <sheetData>
    <row r="2" spans="1:6" s="624" customFormat="1" ht="26.25" customHeight="1" x14ac:dyDescent="0.2">
      <c r="A2" s="45" t="s">
        <v>1080</v>
      </c>
      <c r="B2" s="45"/>
      <c r="C2" s="45"/>
      <c r="D2" s="45"/>
      <c r="E2" s="45"/>
      <c r="F2" s="45"/>
    </row>
    <row r="4" spans="1:6" ht="20.25" customHeight="1" x14ac:dyDescent="0.2">
      <c r="A4" s="653" t="s">
        <v>1287</v>
      </c>
      <c r="B4" s="323" t="s">
        <v>98</v>
      </c>
      <c r="C4" s="323"/>
      <c r="D4" s="323"/>
      <c r="E4" s="323"/>
      <c r="F4" s="323"/>
    </row>
    <row r="5" spans="1:6" ht="20.25" customHeight="1" x14ac:dyDescent="0.2">
      <c r="A5" s="654"/>
      <c r="B5" s="621">
        <v>2009</v>
      </c>
      <c r="C5" s="621">
        <v>2010</v>
      </c>
      <c r="D5" s="621">
        <v>2011</v>
      </c>
      <c r="E5" s="621">
        <v>2012</v>
      </c>
      <c r="F5" s="621">
        <v>2013</v>
      </c>
    </row>
    <row r="6" spans="1:6" ht="30.6" x14ac:dyDescent="0.2">
      <c r="A6" s="309" t="s">
        <v>1288</v>
      </c>
      <c r="B6" s="315">
        <v>24</v>
      </c>
      <c r="C6" s="315">
        <v>49</v>
      </c>
      <c r="D6" s="315">
        <v>43</v>
      </c>
      <c r="E6" s="315">
        <v>36</v>
      </c>
      <c r="F6" s="315">
        <v>26</v>
      </c>
    </row>
    <row r="7" spans="1:6" x14ac:dyDescent="0.2">
      <c r="A7" s="309" t="s">
        <v>1289</v>
      </c>
      <c r="B7" s="315">
        <v>97</v>
      </c>
      <c r="C7" s="315">
        <v>95</v>
      </c>
      <c r="D7" s="315">
        <v>97</v>
      </c>
      <c r="E7" s="315">
        <v>92</v>
      </c>
      <c r="F7" s="315">
        <v>88</v>
      </c>
    </row>
    <row r="8" spans="1:6" ht="20.399999999999999" x14ac:dyDescent="0.2">
      <c r="A8" s="309" t="s">
        <v>1290</v>
      </c>
      <c r="B8" s="315">
        <v>40</v>
      </c>
      <c r="C8" s="315">
        <v>51</v>
      </c>
      <c r="D8" s="315">
        <v>76</v>
      </c>
      <c r="E8" s="315">
        <v>66</v>
      </c>
      <c r="F8" s="315">
        <v>89</v>
      </c>
    </row>
    <row r="9" spans="1:6" x14ac:dyDescent="0.2">
      <c r="A9" s="309" t="s">
        <v>1291</v>
      </c>
      <c r="B9" s="315">
        <v>1178</v>
      </c>
      <c r="C9" s="315">
        <v>1141</v>
      </c>
      <c r="D9" s="315">
        <v>980</v>
      </c>
      <c r="E9" s="315">
        <v>1576</v>
      </c>
      <c r="F9" s="315">
        <v>2698</v>
      </c>
    </row>
    <row r="10" spans="1:6" ht="7.5" customHeight="1" x14ac:dyDescent="0.2"/>
    <row r="11" spans="1:6" x14ac:dyDescent="0.2">
      <c r="A11" s="623" t="s">
        <v>1128</v>
      </c>
      <c r="B11" s="623"/>
      <c r="C11" s="623"/>
      <c r="D11" s="623"/>
      <c r="E11" s="623"/>
      <c r="F11" s="623"/>
    </row>
  </sheetData>
  <mergeCells count="4">
    <mergeCell ref="A2:F2"/>
    <mergeCell ref="A4:A5"/>
    <mergeCell ref="B4:F4"/>
    <mergeCell ref="A11:F11"/>
  </mergeCells>
  <pageMargins left="0.7" right="0.7" top="0.75" bottom="0.75" header="0.3" footer="0.3"/>
  <pageSetup paperSize="14" scale="96"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E3B33-7B90-4EF7-9DD6-98FEEF982036}">
  <sheetPr codeName="Hoja81"/>
  <dimension ref="A2:F31"/>
  <sheetViews>
    <sheetView zoomScaleNormal="100" workbookViewId="0">
      <selection activeCell="D4" sqref="D4"/>
    </sheetView>
  </sheetViews>
  <sheetFormatPr baseColWidth="10" defaultColWidth="11.44140625" defaultRowHeight="10.199999999999999" x14ac:dyDescent="0.2"/>
  <cols>
    <col min="1" max="1" width="36.109375" style="2" customWidth="1"/>
    <col min="2" max="2" width="11.6640625" style="2" bestFit="1" customWidth="1"/>
    <col min="3" max="3" width="13" style="2" customWidth="1"/>
    <col min="4" max="4" width="11.6640625" style="2" bestFit="1" customWidth="1"/>
    <col min="5" max="7" width="14.33203125" style="2" customWidth="1"/>
    <col min="8" max="16384" width="11.44140625" style="2"/>
  </cols>
  <sheetData>
    <row r="2" spans="1:6" ht="26.25" customHeight="1" x14ac:dyDescent="0.2">
      <c r="A2" s="45" t="s">
        <v>1081</v>
      </c>
      <c r="B2" s="45"/>
      <c r="C2" s="45"/>
      <c r="D2" s="45"/>
      <c r="E2" s="45"/>
      <c r="F2" s="45"/>
    </row>
    <row r="4" spans="1:6" x14ac:dyDescent="0.2">
      <c r="A4" s="298" t="s">
        <v>1292</v>
      </c>
      <c r="B4" s="298" t="s">
        <v>42</v>
      </c>
      <c r="C4" s="298" t="s">
        <v>1191</v>
      </c>
      <c r="D4" s="298"/>
      <c r="E4" s="298"/>
      <c r="F4" s="298"/>
    </row>
    <row r="5" spans="1:6" ht="54" customHeight="1" x14ac:dyDescent="0.2">
      <c r="A5" s="298"/>
      <c r="B5" s="298"/>
      <c r="C5" s="644" t="s">
        <v>1192</v>
      </c>
      <c r="D5" s="644" t="s">
        <v>1193</v>
      </c>
      <c r="E5" s="644" t="s">
        <v>1194</v>
      </c>
      <c r="F5" s="644" t="s">
        <v>1241</v>
      </c>
    </row>
    <row r="6" spans="1:6" s="24" customFormat="1" x14ac:dyDescent="0.2">
      <c r="A6" s="24" t="s">
        <v>1127</v>
      </c>
      <c r="B6" s="655">
        <f>SUM(C6:F6)</f>
        <v>1848451</v>
      </c>
      <c r="C6" s="655">
        <f>SUM(C7:C8)</f>
        <v>173680</v>
      </c>
      <c r="D6" s="655">
        <f>SUM(D7:D8)</f>
        <v>659609</v>
      </c>
      <c r="E6" s="655">
        <f>SUM(E7:E8)</f>
        <v>295487</v>
      </c>
      <c r="F6" s="655">
        <f>SUM(F7:F8)</f>
        <v>719675</v>
      </c>
    </row>
    <row r="7" spans="1:6" ht="12.75" customHeight="1" x14ac:dyDescent="0.2">
      <c r="A7" s="2" t="s">
        <v>1293</v>
      </c>
      <c r="B7" s="643">
        <f>SUM(C7:F7)</f>
        <v>266451</v>
      </c>
      <c r="C7" s="643">
        <v>31508</v>
      </c>
      <c r="D7" s="643">
        <v>40661</v>
      </c>
      <c r="E7" s="643">
        <v>38050</v>
      </c>
      <c r="F7" s="643">
        <v>156232</v>
      </c>
    </row>
    <row r="8" spans="1:6" x14ac:dyDescent="0.2">
      <c r="A8" s="2" t="s">
        <v>1294</v>
      </c>
      <c r="B8" s="643">
        <f>SUM(C8:F8)</f>
        <v>1582000</v>
      </c>
      <c r="C8" s="643">
        <v>142172</v>
      </c>
      <c r="D8" s="643">
        <v>618948</v>
      </c>
      <c r="E8" s="643">
        <v>257437</v>
      </c>
      <c r="F8" s="643">
        <v>563443</v>
      </c>
    </row>
    <row r="9" spans="1:6" ht="6.75" customHeight="1" x14ac:dyDescent="0.2"/>
    <row r="10" spans="1:6" x14ac:dyDescent="0.2">
      <c r="A10" s="623" t="s">
        <v>1128</v>
      </c>
      <c r="B10" s="623"/>
      <c r="C10" s="623"/>
      <c r="D10" s="623"/>
      <c r="E10" s="623"/>
      <c r="F10" s="623"/>
    </row>
    <row r="11" spans="1:6" ht="11.25" customHeight="1" x14ac:dyDescent="0.2"/>
    <row r="12" spans="1:6" ht="11.25" customHeight="1" x14ac:dyDescent="0.2"/>
    <row r="13" spans="1:6" ht="11.25" customHeight="1" x14ac:dyDescent="0.2"/>
    <row r="14" spans="1:6" ht="12" customHeight="1" x14ac:dyDescent="0.2">
      <c r="A14" s="24" t="s">
        <v>547</v>
      </c>
    </row>
    <row r="15" spans="1:6" ht="45.75" customHeight="1" x14ac:dyDescent="0.2">
      <c r="A15" s="621" t="s">
        <v>1187</v>
      </c>
      <c r="B15" s="656" t="s">
        <v>1295</v>
      </c>
      <c r="C15" s="656" t="s">
        <v>1296</v>
      </c>
      <c r="D15" s="656" t="s">
        <v>1219</v>
      </c>
      <c r="E15" s="656" t="s">
        <v>1297</v>
      </c>
      <c r="F15" s="24"/>
    </row>
    <row r="16" spans="1:6" x14ac:dyDescent="0.2">
      <c r="A16" s="657">
        <v>2010</v>
      </c>
      <c r="B16" s="641">
        <v>121363</v>
      </c>
      <c r="C16" s="641">
        <v>436188</v>
      </c>
      <c r="D16" s="641">
        <v>233313</v>
      </c>
      <c r="E16" s="641">
        <v>561461</v>
      </c>
    </row>
    <row r="17" spans="1:5" x14ac:dyDescent="0.2">
      <c r="A17" s="657">
        <v>2011</v>
      </c>
      <c r="B17" s="641">
        <v>188432</v>
      </c>
      <c r="C17" s="641">
        <v>515085</v>
      </c>
      <c r="D17" s="641">
        <v>276714</v>
      </c>
      <c r="E17" s="641">
        <v>632765</v>
      </c>
    </row>
    <row r="18" spans="1:5" ht="12" customHeight="1" x14ac:dyDescent="0.2">
      <c r="A18" s="657">
        <v>2012</v>
      </c>
      <c r="B18" s="641">
        <v>167230</v>
      </c>
      <c r="C18" s="641">
        <v>801810</v>
      </c>
      <c r="D18" s="641">
        <v>242993</v>
      </c>
      <c r="E18" s="641">
        <v>685103</v>
      </c>
    </row>
    <row r="19" spans="1:5" ht="12" customHeight="1" x14ac:dyDescent="0.2">
      <c r="A19" s="657">
        <v>2013</v>
      </c>
      <c r="B19" s="641">
        <f>+C6</f>
        <v>173680</v>
      </c>
      <c r="C19" s="641">
        <f>+D6</f>
        <v>659609</v>
      </c>
      <c r="D19" s="641">
        <f>+E6</f>
        <v>295487</v>
      </c>
      <c r="E19" s="641">
        <f>+F6</f>
        <v>719675</v>
      </c>
    </row>
    <row r="20" spans="1:5" ht="12" customHeight="1" x14ac:dyDescent="0.2"/>
    <row r="21" spans="1:5" ht="12" customHeight="1" x14ac:dyDescent="0.2"/>
    <row r="22" spans="1:5" ht="12" customHeight="1" x14ac:dyDescent="0.2"/>
    <row r="23" spans="1:5" ht="12" customHeight="1" x14ac:dyDescent="0.2"/>
    <row r="24" spans="1:5" ht="12" customHeight="1" x14ac:dyDescent="0.2"/>
    <row r="25" spans="1:5" ht="12" customHeight="1" x14ac:dyDescent="0.2"/>
    <row r="26" spans="1:5" ht="12" customHeight="1" x14ac:dyDescent="0.2"/>
    <row r="27" spans="1:5" ht="12" customHeight="1" x14ac:dyDescent="0.2"/>
    <row r="28" spans="1:5" ht="12" customHeight="1" x14ac:dyDescent="0.2"/>
    <row r="29" spans="1:5" ht="12" customHeight="1" x14ac:dyDescent="0.2"/>
    <row r="30" spans="1:5" ht="12" customHeight="1" x14ac:dyDescent="0.2"/>
    <row r="31" spans="1:5" ht="12" customHeight="1" x14ac:dyDescent="0.2"/>
  </sheetData>
  <mergeCells count="5">
    <mergeCell ref="A2:F2"/>
    <mergeCell ref="A4:A5"/>
    <mergeCell ref="B4:B5"/>
    <mergeCell ref="C4:F4"/>
    <mergeCell ref="A10:F10"/>
  </mergeCells>
  <pageMargins left="0.23622047244094491" right="0.23622047244094491" top="0.74803149606299213" bottom="0.74803149606299213" header="0.31496062992125984" footer="0.31496062992125984"/>
  <pageSetup paperSize="14" scale="97" orientation="portrait" r:id="rId1"/>
  <headerFooter alignWithMargins="0"/>
  <rowBreaks count="1" manualBreakCount="1">
    <brk id="47" max="5" man="1"/>
  </rowBreaks>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0DD1A-681C-463F-B7A5-23C531D4FD76}">
  <sheetPr codeName="Hoja82"/>
  <dimension ref="A2:F17"/>
  <sheetViews>
    <sheetView zoomScaleNormal="100" workbookViewId="0"/>
  </sheetViews>
  <sheetFormatPr baseColWidth="10" defaultColWidth="11.44140625" defaultRowHeight="10.199999999999999" x14ac:dyDescent="0.2"/>
  <cols>
    <col min="1" max="1" width="34.44140625" style="2" customWidth="1"/>
    <col min="2" max="5" width="11.44140625" style="2"/>
    <col min="6" max="6" width="18.88671875" style="2" customWidth="1"/>
    <col min="7" max="16384" width="11.44140625" style="2"/>
  </cols>
  <sheetData>
    <row r="2" spans="1:6" s="624" customFormat="1" ht="25.5" customHeight="1" x14ac:dyDescent="0.2">
      <c r="A2" s="45" t="s">
        <v>1082</v>
      </c>
      <c r="B2" s="45"/>
      <c r="C2" s="45"/>
      <c r="D2" s="45"/>
      <c r="E2" s="45"/>
      <c r="F2" s="45"/>
    </row>
    <row r="4" spans="1:6" ht="12.75" customHeight="1" x14ac:dyDescent="0.2">
      <c r="A4" s="298" t="s">
        <v>1298</v>
      </c>
      <c r="B4" s="298" t="s">
        <v>42</v>
      </c>
      <c r="C4" s="298" t="s">
        <v>1191</v>
      </c>
      <c r="D4" s="298"/>
      <c r="E4" s="298"/>
      <c r="F4" s="298"/>
    </row>
    <row r="5" spans="1:6" ht="52.8" x14ac:dyDescent="0.2">
      <c r="A5" s="298"/>
      <c r="B5" s="298"/>
      <c r="C5" s="644" t="s">
        <v>1192</v>
      </c>
      <c r="D5" s="644" t="s">
        <v>1299</v>
      </c>
      <c r="E5" s="644" t="s">
        <v>1194</v>
      </c>
      <c r="F5" s="644" t="s">
        <v>1241</v>
      </c>
    </row>
    <row r="6" spans="1:6" s="24" customFormat="1" x14ac:dyDescent="0.2">
      <c r="A6" s="24" t="s">
        <v>1127</v>
      </c>
      <c r="B6" s="658">
        <f>SUM(C6:F6)</f>
        <v>266451</v>
      </c>
      <c r="C6" s="658">
        <f>SUM(C7:C9)</f>
        <v>31508</v>
      </c>
      <c r="D6" s="658">
        <f>SUM(D7:D9)</f>
        <v>40661</v>
      </c>
      <c r="E6" s="658">
        <f>SUM(E7:E9)</f>
        <v>38050</v>
      </c>
      <c r="F6" s="658">
        <f>SUM(F7:F9)</f>
        <v>156232</v>
      </c>
    </row>
    <row r="7" spans="1:6" ht="12" x14ac:dyDescent="0.2">
      <c r="A7" s="2" t="s">
        <v>1300</v>
      </c>
      <c r="B7" s="650">
        <f>SUM(C7:F7)</f>
        <v>53969</v>
      </c>
      <c r="C7" s="650">
        <v>7740</v>
      </c>
      <c r="D7" s="650">
        <v>6873</v>
      </c>
      <c r="E7" s="650">
        <v>13241</v>
      </c>
      <c r="F7" s="650">
        <v>26115</v>
      </c>
    </row>
    <row r="8" spans="1:6" ht="12" x14ac:dyDescent="0.2">
      <c r="A8" s="2" t="s">
        <v>1301</v>
      </c>
      <c r="B8" s="650">
        <f>SUM(C8:F8)</f>
        <v>181171</v>
      </c>
      <c r="C8" s="650">
        <v>23768</v>
      </c>
      <c r="D8" s="650">
        <v>31549</v>
      </c>
      <c r="E8" s="650">
        <v>24809</v>
      </c>
      <c r="F8" s="650">
        <v>101045</v>
      </c>
    </row>
    <row r="9" spans="1:6" ht="12" x14ac:dyDescent="0.2">
      <c r="A9" s="2" t="s">
        <v>1302</v>
      </c>
      <c r="B9" s="650">
        <f>SUM(C9:F9)</f>
        <v>31311</v>
      </c>
      <c r="C9" s="650" t="s">
        <v>1224</v>
      </c>
      <c r="D9" s="650">
        <v>2239</v>
      </c>
      <c r="E9" s="650" t="s">
        <v>1224</v>
      </c>
      <c r="F9" s="650">
        <v>29072</v>
      </c>
    </row>
    <row r="11" spans="1:6" ht="14.25" customHeight="1" x14ac:dyDescent="0.2">
      <c r="A11" s="2" t="s">
        <v>1303</v>
      </c>
    </row>
    <row r="12" spans="1:6" ht="33.75" customHeight="1" x14ac:dyDescent="0.2">
      <c r="A12" s="639" t="s">
        <v>1304</v>
      </c>
      <c r="B12" s="639"/>
      <c r="C12" s="639"/>
      <c r="D12" s="639"/>
      <c r="E12" s="639"/>
      <c r="F12" s="639"/>
    </row>
    <row r="13" spans="1:6" x14ac:dyDescent="0.2">
      <c r="A13" s="2" t="s">
        <v>1305</v>
      </c>
    </row>
    <row r="14" spans="1:6" x14ac:dyDescent="0.2">
      <c r="A14" s="2" t="s">
        <v>1306</v>
      </c>
    </row>
    <row r="15" spans="1:6" x14ac:dyDescent="0.2">
      <c r="A15" s="2" t="s">
        <v>1307</v>
      </c>
    </row>
    <row r="16" spans="1:6" ht="12.75" customHeight="1" x14ac:dyDescent="0.2">
      <c r="A16" s="2" t="s">
        <v>19</v>
      </c>
    </row>
    <row r="17" spans="1:6" x14ac:dyDescent="0.2">
      <c r="A17" s="623" t="s">
        <v>1128</v>
      </c>
      <c r="B17" s="623"/>
      <c r="C17" s="623"/>
      <c r="D17" s="623"/>
      <c r="E17" s="623"/>
      <c r="F17" s="623"/>
    </row>
  </sheetData>
  <mergeCells count="6">
    <mergeCell ref="A2:F2"/>
    <mergeCell ref="A4:A5"/>
    <mergeCell ref="B4:B5"/>
    <mergeCell ref="C4:F4"/>
    <mergeCell ref="A12:F12"/>
    <mergeCell ref="A17:F17"/>
  </mergeCells>
  <pageMargins left="0.7" right="0.7" top="0.75" bottom="0.75" header="0.3" footer="0.3"/>
  <pageSetup paperSize="14" scale="91"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1F4EC7-D40C-4E47-BB92-7F9A21FBF089}">
  <sheetPr codeName="Hoja83">
    <tabColor theme="8"/>
  </sheetPr>
  <dimension ref="A2:A13"/>
  <sheetViews>
    <sheetView workbookViewId="0">
      <selection activeCell="A12" sqref="A12"/>
    </sheetView>
  </sheetViews>
  <sheetFormatPr baseColWidth="10" defaultColWidth="11.44140625" defaultRowHeight="10.199999999999999" x14ac:dyDescent="0.2"/>
  <cols>
    <col min="1" max="16384" width="11.44140625" style="24"/>
  </cols>
  <sheetData>
    <row r="2" spans="1:1" x14ac:dyDescent="0.2">
      <c r="A2" s="24" t="s">
        <v>1083</v>
      </c>
    </row>
    <row r="4" spans="1:1" x14ac:dyDescent="0.2">
      <c r="A4" s="24" t="s">
        <v>1084</v>
      </c>
    </row>
    <row r="5" spans="1:1" x14ac:dyDescent="0.2">
      <c r="A5" s="2"/>
    </row>
    <row r="6" spans="1:1" x14ac:dyDescent="0.2">
      <c r="A6" s="1709" t="s">
        <v>1085</v>
      </c>
    </row>
    <row r="7" spans="1:1" x14ac:dyDescent="0.2">
      <c r="A7" s="1709" t="s">
        <v>1086</v>
      </c>
    </row>
    <row r="8" spans="1:1" x14ac:dyDescent="0.2">
      <c r="A8" s="1709" t="s">
        <v>1087</v>
      </c>
    </row>
    <row r="9" spans="1:1" x14ac:dyDescent="0.2">
      <c r="A9" s="1709" t="s">
        <v>1088</v>
      </c>
    </row>
    <row r="10" spans="1:1" x14ac:dyDescent="0.2">
      <c r="A10" s="1709" t="s">
        <v>1089</v>
      </c>
    </row>
    <row r="11" spans="1:1" x14ac:dyDescent="0.2">
      <c r="A11" s="1709" t="s">
        <v>1090</v>
      </c>
    </row>
    <row r="12" spans="1:1" x14ac:dyDescent="0.2">
      <c r="A12" s="1709" t="s">
        <v>1091</v>
      </c>
    </row>
    <row r="13" spans="1:1" x14ac:dyDescent="0.2">
      <c r="A13" s="2"/>
    </row>
  </sheetData>
  <hyperlinks>
    <hyperlink ref="A6" location="'3.1.2.1-01'!A1" display="CUADRO 3.1.2.1-01: NÚMERO DE AUTORIZACIONES DE SALIDA DE MONUMENTOS DEL TERRITORIO NACIONAL, SEGÚN TIPO DE MONUMENTO. 2009-2013" xr:uid="{A4074612-C8B4-4253-88BE-E218B148D16E}"/>
    <hyperlink ref="A7" location="'3.1.2.1-02'!A1" display="CUADRO 3.1.2.1-02: NÚMERO DE AUTORIZACIONES DE SALIDA DE MONUMENTOS, SEGÚN DESTINO. 2010-2013" xr:uid="{E143AC5E-2AE5-476D-BA47-A93A33E9242C}"/>
    <hyperlink ref="A8" location="'3.1.2.1-03'!A1" display="CUADRO 3.1.2.1-03: NÚMERO DE AUTORIZACIONES POR DESTINO, SEGÚN TIPO DE MONUMENTO. 2013" xr:uid="{31314851-03C1-4A29-AB26-662B15068FB2}"/>
    <hyperlink ref="A9" location="'3.1.2.1-04'!A1" display="CUADRO 3.1.2.1-04: NÚMERO DE SOLICITUDES DE DECLARACIÓN DE MONUMENTOS NACIONALES RECIBIDAS, SEGÚN TIPO DE MONUMENTO Y REGIÓN. 2013" xr:uid="{79284A23-243F-46DB-9DFC-80816FA20C3E}"/>
    <hyperlink ref="A10" location="'3.1.2.1-05'!A1" display="CUADRO 3.1.2.1-05: NÚMERO DE MONUMENTOS NACIONALES DECLARADOS POR DECRETO, SEGÚN TIPO DE MONUMENTO Y REGIÓN. 2013" xr:uid="{63A17DAF-30C2-4EAE-932C-68F6CC05B304}"/>
    <hyperlink ref="A11" location="'3.1.2.1-06'!A1" display="CUADRO 3.1.2.1-06: NÚMERO DE MONUMENTOS NACIONALES DECLARADOS POR DECRETO, SEGÚN TIPO DE MONUMENTO Y REGIÓN (HISTORICO, DESDE 1925). 2013" xr:uid="{A4B11262-9E1B-4612-B2A7-B00108157E77}"/>
    <hyperlink ref="A12" location="'3.1.2.1-07'!A1" display="CUADRO 3.1.2.1-07: NÓMINA DE MONUMENTOS NACIONALES DECLARADOS, SEGÚN REGIÓN Y MONUMENTO. 2013" xr:uid="{DE26C479-0829-4BE1-B9A2-BBAFC84622FE}"/>
  </hyperlinks>
  <pageMargins left="0.7" right="0.7" top="0.75" bottom="0.75" header="0.3" footer="0.3"/>
  <pageSetup paperSize="14"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30B53-5B53-4D0A-8D63-438286C07E70}">
  <sheetPr codeName="Hoja84"/>
  <dimension ref="A2:F13"/>
  <sheetViews>
    <sheetView workbookViewId="0">
      <selection activeCell="D4" sqref="D4"/>
    </sheetView>
  </sheetViews>
  <sheetFormatPr baseColWidth="10" defaultColWidth="11.44140625" defaultRowHeight="10.199999999999999" x14ac:dyDescent="0.2"/>
  <cols>
    <col min="1" max="1" width="50.33203125" style="2" customWidth="1"/>
    <col min="2" max="16384" width="11.44140625" style="2"/>
  </cols>
  <sheetData>
    <row r="2" spans="1:6" ht="26.25" customHeight="1" x14ac:dyDescent="0.2">
      <c r="A2" s="620" t="s">
        <v>1085</v>
      </c>
      <c r="B2" s="620"/>
      <c r="C2" s="620"/>
      <c r="D2" s="620"/>
      <c r="E2" s="620"/>
      <c r="F2" s="620"/>
    </row>
    <row r="4" spans="1:6" ht="26.25" customHeight="1" x14ac:dyDescent="0.2">
      <c r="A4" s="621" t="s">
        <v>1308</v>
      </c>
      <c r="B4" s="621">
        <v>2009</v>
      </c>
      <c r="C4" s="621">
        <v>2010</v>
      </c>
      <c r="D4" s="621">
        <v>2011</v>
      </c>
      <c r="E4" s="621">
        <v>2012</v>
      </c>
      <c r="F4" s="621">
        <v>2013</v>
      </c>
    </row>
    <row r="5" spans="1:6" x14ac:dyDescent="0.2">
      <c r="A5" s="2" t="s">
        <v>1309</v>
      </c>
      <c r="B5" s="646">
        <v>3</v>
      </c>
      <c r="C5" s="646" t="s">
        <v>193</v>
      </c>
      <c r="D5" s="646">
        <v>3</v>
      </c>
      <c r="E5" s="646">
        <v>2</v>
      </c>
      <c r="F5" s="646">
        <f>SUM(F6:F7)</f>
        <v>6</v>
      </c>
    </row>
    <row r="6" spans="1:6" x14ac:dyDescent="0.2">
      <c r="A6" s="2" t="s">
        <v>1310</v>
      </c>
      <c r="B6" s="646" t="s">
        <v>193</v>
      </c>
      <c r="C6" s="646" t="s">
        <v>193</v>
      </c>
      <c r="D6" s="646" t="s">
        <v>193</v>
      </c>
      <c r="E6" s="646" t="s">
        <v>193</v>
      </c>
      <c r="F6" s="646">
        <v>3</v>
      </c>
    </row>
    <row r="7" spans="1:6" x14ac:dyDescent="0.2">
      <c r="A7" s="2" t="s">
        <v>1311</v>
      </c>
      <c r="B7" s="646" t="s">
        <v>193</v>
      </c>
      <c r="C7" s="646" t="s">
        <v>193</v>
      </c>
      <c r="D7" s="646" t="s">
        <v>193</v>
      </c>
      <c r="E7" s="646" t="s">
        <v>193</v>
      </c>
      <c r="F7" s="646">
        <v>3</v>
      </c>
    </row>
    <row r="8" spans="1:6" x14ac:dyDescent="0.2">
      <c r="A8" s="2" t="s">
        <v>1312</v>
      </c>
      <c r="B8" s="646">
        <v>333</v>
      </c>
      <c r="C8" s="646" t="s">
        <v>193</v>
      </c>
      <c r="D8" s="646">
        <v>7</v>
      </c>
      <c r="E8" s="646">
        <v>327</v>
      </c>
      <c r="F8" s="646">
        <f>SUM(F9:F10)</f>
        <v>85</v>
      </c>
    </row>
    <row r="9" spans="1:6" x14ac:dyDescent="0.2">
      <c r="A9" s="2" t="s">
        <v>1310</v>
      </c>
      <c r="B9" s="646" t="s">
        <v>193</v>
      </c>
      <c r="C9" s="646" t="s">
        <v>193</v>
      </c>
      <c r="D9" s="646" t="s">
        <v>193</v>
      </c>
      <c r="E9" s="646" t="s">
        <v>193</v>
      </c>
      <c r="F9" s="646">
        <v>39</v>
      </c>
    </row>
    <row r="10" spans="1:6" x14ac:dyDescent="0.2">
      <c r="A10" s="2" t="s">
        <v>1311</v>
      </c>
      <c r="B10" s="646" t="s">
        <v>193</v>
      </c>
      <c r="C10" s="646" t="s">
        <v>193</v>
      </c>
      <c r="D10" s="646" t="s">
        <v>193</v>
      </c>
      <c r="E10" s="646" t="s">
        <v>193</v>
      </c>
      <c r="F10" s="646">
        <v>46</v>
      </c>
    </row>
    <row r="12" spans="1:6" x14ac:dyDescent="0.2">
      <c r="A12" s="623" t="s">
        <v>1313</v>
      </c>
      <c r="B12" s="623"/>
      <c r="C12" s="623"/>
      <c r="D12" s="623"/>
      <c r="E12" s="623"/>
      <c r="F12" s="623"/>
    </row>
    <row r="13" spans="1:6" x14ac:dyDescent="0.2">
      <c r="A13" s="623" t="s">
        <v>1314</v>
      </c>
      <c r="B13" s="623"/>
      <c r="C13" s="623"/>
      <c r="D13" s="623"/>
      <c r="E13" s="623"/>
      <c r="F13" s="623"/>
    </row>
  </sheetData>
  <mergeCells count="3">
    <mergeCell ref="A2:F2"/>
    <mergeCell ref="A12:F12"/>
    <mergeCell ref="A13:F13"/>
  </mergeCells>
  <pageMargins left="0.70866141732283472" right="0.70866141732283472" top="0.74803149606299213" bottom="0.74803149606299213" header="0.31496062992125984" footer="0.31496062992125984"/>
  <pageSetup paperSize="14" orientation="landscape"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D459BD-E732-4070-845A-310F843D13D8}">
  <sheetPr codeName="Hoja85"/>
  <dimension ref="A2:I18"/>
  <sheetViews>
    <sheetView workbookViewId="0">
      <selection activeCell="D4" sqref="D4"/>
    </sheetView>
  </sheetViews>
  <sheetFormatPr baseColWidth="10" defaultColWidth="11.44140625" defaultRowHeight="10.199999999999999" x14ac:dyDescent="0.2"/>
  <cols>
    <col min="1" max="7" width="11.44140625" style="2"/>
    <col min="8" max="8" width="14.6640625" style="2" customWidth="1"/>
    <col min="9" max="16384" width="11.44140625" style="2"/>
  </cols>
  <sheetData>
    <row r="2" spans="1:9" s="24" customFormat="1" x14ac:dyDescent="0.2">
      <c r="A2" s="659" t="s">
        <v>1086</v>
      </c>
      <c r="B2" s="659"/>
      <c r="C2" s="659"/>
      <c r="D2" s="659"/>
      <c r="E2" s="659"/>
      <c r="F2" s="659"/>
      <c r="G2" s="659"/>
      <c r="H2" s="659"/>
      <c r="I2" s="659"/>
    </row>
    <row r="4" spans="1:9" ht="17.25" customHeight="1" x14ac:dyDescent="0.2">
      <c r="A4" s="323" t="s">
        <v>1315</v>
      </c>
      <c r="B4" s="323" t="s">
        <v>1316</v>
      </c>
      <c r="C4" s="323"/>
      <c r="D4" s="323"/>
      <c r="E4" s="323"/>
      <c r="F4" s="323" t="s">
        <v>1312</v>
      </c>
      <c r="G4" s="323"/>
      <c r="H4" s="323"/>
      <c r="I4" s="323"/>
    </row>
    <row r="5" spans="1:9" ht="17.25" customHeight="1" x14ac:dyDescent="0.2">
      <c r="A5" s="323"/>
      <c r="B5" s="621">
        <v>2010</v>
      </c>
      <c r="C5" s="621" t="s">
        <v>1317</v>
      </c>
      <c r="D5" s="621" t="s">
        <v>1318</v>
      </c>
      <c r="E5" s="621" t="s">
        <v>1319</v>
      </c>
      <c r="F5" s="621">
        <v>2010</v>
      </c>
      <c r="G5" s="621">
        <v>2011</v>
      </c>
      <c r="H5" s="621">
        <v>2012</v>
      </c>
      <c r="I5" s="621">
        <v>2013</v>
      </c>
    </row>
    <row r="6" spans="1:9" s="24" customFormat="1" x14ac:dyDescent="0.2">
      <c r="A6" s="24" t="s">
        <v>3</v>
      </c>
      <c r="B6" s="660" t="s">
        <v>193</v>
      </c>
      <c r="C6" s="660">
        <f>SUM(C7:C11)</f>
        <v>3</v>
      </c>
      <c r="D6" s="660">
        <f>SUM(D7:D11)</f>
        <v>2</v>
      </c>
      <c r="E6" s="660">
        <f>SUM(E7:E11)</f>
        <v>6</v>
      </c>
      <c r="F6" s="660" t="s">
        <v>193</v>
      </c>
      <c r="G6" s="660">
        <f>SUM(G7:G11)</f>
        <v>7</v>
      </c>
      <c r="H6" s="660">
        <f>SUM(H7:H11)</f>
        <v>327</v>
      </c>
      <c r="I6" s="660">
        <f>SUM(I7:I11)</f>
        <v>85</v>
      </c>
    </row>
    <row r="7" spans="1:9" x14ac:dyDescent="0.2">
      <c r="A7" s="2" t="s">
        <v>446</v>
      </c>
      <c r="B7" s="626" t="s">
        <v>193</v>
      </c>
      <c r="C7" s="626" t="s">
        <v>1224</v>
      </c>
      <c r="D7" s="626" t="s">
        <v>1224</v>
      </c>
      <c r="E7" s="626">
        <v>0</v>
      </c>
      <c r="F7" s="626" t="s">
        <v>193</v>
      </c>
      <c r="G7" s="626" t="s">
        <v>1224</v>
      </c>
      <c r="H7" s="626" t="s">
        <v>1224</v>
      </c>
      <c r="I7" s="626">
        <v>0</v>
      </c>
    </row>
    <row r="8" spans="1:9" x14ac:dyDescent="0.2">
      <c r="A8" s="2" t="s">
        <v>1236</v>
      </c>
      <c r="B8" s="626" t="s">
        <v>193</v>
      </c>
      <c r="C8" s="626">
        <v>2</v>
      </c>
      <c r="D8" s="626" t="s">
        <v>1224</v>
      </c>
      <c r="E8" s="626">
        <v>2</v>
      </c>
      <c r="F8" s="626" t="s">
        <v>193</v>
      </c>
      <c r="G8" s="626">
        <v>5</v>
      </c>
      <c r="H8" s="626" t="s">
        <v>1224</v>
      </c>
      <c r="I8" s="626">
        <v>75</v>
      </c>
    </row>
    <row r="9" spans="1:9" x14ac:dyDescent="0.2">
      <c r="A9" s="2" t="s">
        <v>1234</v>
      </c>
      <c r="B9" s="626" t="s">
        <v>193</v>
      </c>
      <c r="C9" s="626">
        <v>1</v>
      </c>
      <c r="D9" s="626">
        <v>1</v>
      </c>
      <c r="E9" s="626">
        <v>1</v>
      </c>
      <c r="F9" s="626" t="s">
        <v>193</v>
      </c>
      <c r="G9" s="626">
        <v>2</v>
      </c>
      <c r="H9" s="626">
        <v>7</v>
      </c>
      <c r="I9" s="626">
        <v>1</v>
      </c>
    </row>
    <row r="10" spans="1:9" x14ac:dyDescent="0.2">
      <c r="A10" s="2" t="s">
        <v>1235</v>
      </c>
      <c r="B10" s="626" t="s">
        <v>193</v>
      </c>
      <c r="C10" s="626" t="s">
        <v>1224</v>
      </c>
      <c r="D10" s="626">
        <v>1</v>
      </c>
      <c r="E10" s="626">
        <v>3</v>
      </c>
      <c r="F10" s="626" t="s">
        <v>193</v>
      </c>
      <c r="G10" s="626" t="s">
        <v>1224</v>
      </c>
      <c r="H10" s="626">
        <v>320</v>
      </c>
      <c r="I10" s="626">
        <v>9</v>
      </c>
    </row>
    <row r="11" spans="1:9" x14ac:dyDescent="0.2">
      <c r="A11" s="2" t="s">
        <v>443</v>
      </c>
      <c r="B11" s="626" t="s">
        <v>193</v>
      </c>
      <c r="C11" s="626" t="s">
        <v>1224</v>
      </c>
      <c r="D11" s="626" t="s">
        <v>1224</v>
      </c>
      <c r="E11" s="626">
        <v>0</v>
      </c>
      <c r="F11" s="626" t="s">
        <v>193</v>
      </c>
      <c r="G11" s="626" t="s">
        <v>1224</v>
      </c>
      <c r="H11" s="626" t="s">
        <v>1224</v>
      </c>
      <c r="I11" s="626">
        <v>0</v>
      </c>
    </row>
    <row r="13" spans="1:9" x14ac:dyDescent="0.2">
      <c r="A13" s="623" t="s">
        <v>1320</v>
      </c>
      <c r="B13" s="623"/>
      <c r="C13" s="623"/>
      <c r="D13" s="623"/>
      <c r="E13" s="623"/>
      <c r="F13" s="623"/>
      <c r="G13" s="623"/>
      <c r="H13" s="623"/>
      <c r="I13" s="623"/>
    </row>
    <row r="14" spans="1:9" x14ac:dyDescent="0.2">
      <c r="A14" s="623" t="s">
        <v>1321</v>
      </c>
      <c r="B14" s="623"/>
      <c r="C14" s="623"/>
      <c r="D14" s="623"/>
      <c r="E14" s="623"/>
      <c r="F14" s="623"/>
      <c r="G14" s="623"/>
      <c r="H14" s="623"/>
      <c r="I14" s="623"/>
    </row>
    <row r="15" spans="1:9" x14ac:dyDescent="0.2">
      <c r="A15" s="2" t="s">
        <v>1322</v>
      </c>
    </row>
    <row r="16" spans="1:9" x14ac:dyDescent="0.2">
      <c r="A16" s="2" t="s">
        <v>198</v>
      </c>
    </row>
    <row r="17" spans="1:9" x14ac:dyDescent="0.2">
      <c r="A17" s="623" t="s">
        <v>197</v>
      </c>
      <c r="B17" s="623"/>
      <c r="C17" s="623"/>
      <c r="D17" s="623"/>
      <c r="E17" s="623"/>
      <c r="F17" s="623"/>
      <c r="G17" s="623"/>
      <c r="H17" s="623"/>
      <c r="I17" s="623"/>
    </row>
    <row r="18" spans="1:9" x14ac:dyDescent="0.2">
      <c r="A18" s="623" t="s">
        <v>1323</v>
      </c>
      <c r="B18" s="623"/>
      <c r="C18" s="623"/>
      <c r="D18" s="623"/>
      <c r="E18" s="623"/>
      <c r="F18" s="623"/>
      <c r="G18" s="623"/>
      <c r="H18" s="623"/>
      <c r="I18" s="623"/>
    </row>
  </sheetData>
  <mergeCells count="8">
    <mergeCell ref="A17:I17"/>
    <mergeCell ref="A18:I18"/>
    <mergeCell ref="A2:I2"/>
    <mergeCell ref="A4:A5"/>
    <mergeCell ref="B4:E4"/>
    <mergeCell ref="F4:I4"/>
    <mergeCell ref="A13:I13"/>
    <mergeCell ref="A14:I14"/>
  </mergeCells>
  <pageMargins left="0.70866141732283472" right="0.70866141732283472" top="0.74803149606299213" bottom="0.74803149606299213" header="0.31496062992125984" footer="0.31496062992125984"/>
  <pageSetup paperSize="14" orientation="landscape"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805C1D-810C-4D90-9066-AC71E3CEFA2E}">
  <sheetPr codeName="Hoja86"/>
  <dimension ref="A2:G15"/>
  <sheetViews>
    <sheetView workbookViewId="0">
      <selection activeCell="D4" sqref="D4"/>
    </sheetView>
  </sheetViews>
  <sheetFormatPr baseColWidth="10" defaultColWidth="11.44140625" defaultRowHeight="10.199999999999999" x14ac:dyDescent="0.2"/>
  <cols>
    <col min="1" max="1" width="34.6640625" style="2" customWidth="1"/>
    <col min="2" max="16384" width="11.44140625" style="2"/>
  </cols>
  <sheetData>
    <row r="2" spans="1:7" s="624" customFormat="1" x14ac:dyDescent="0.2">
      <c r="A2" s="620" t="s">
        <v>1087</v>
      </c>
      <c r="B2" s="620"/>
      <c r="C2" s="620"/>
      <c r="D2" s="620"/>
      <c r="E2" s="620"/>
      <c r="F2" s="620"/>
      <c r="G2" s="620"/>
    </row>
    <row r="4" spans="1:7" ht="19.5" customHeight="1" x14ac:dyDescent="0.2">
      <c r="A4" s="323" t="s">
        <v>1324</v>
      </c>
      <c r="B4" s="323" t="s">
        <v>3</v>
      </c>
      <c r="C4" s="323" t="s">
        <v>1315</v>
      </c>
      <c r="D4" s="323"/>
      <c r="E4" s="323"/>
      <c r="F4" s="323"/>
      <c r="G4" s="323"/>
    </row>
    <row r="5" spans="1:7" ht="19.5" customHeight="1" x14ac:dyDescent="0.2">
      <c r="A5" s="323"/>
      <c r="B5" s="323"/>
      <c r="C5" s="621" t="s">
        <v>1325</v>
      </c>
      <c r="D5" s="621" t="s">
        <v>1326</v>
      </c>
      <c r="E5" s="621" t="s">
        <v>1327</v>
      </c>
      <c r="F5" s="621" t="s">
        <v>446</v>
      </c>
      <c r="G5" s="621" t="s">
        <v>443</v>
      </c>
    </row>
    <row r="6" spans="1:7" s="24" customFormat="1" x14ac:dyDescent="0.2">
      <c r="A6" s="24" t="s">
        <v>3</v>
      </c>
      <c r="B6" s="622">
        <f>SUM(C6:G6)</f>
        <v>6</v>
      </c>
      <c r="C6" s="622">
        <f>SUM(C7:C9)</f>
        <v>1</v>
      </c>
      <c r="D6" s="622">
        <f t="shared" ref="D6:G6" si="0">SUM(D7:D9)</f>
        <v>3</v>
      </c>
      <c r="E6" s="622">
        <f t="shared" si="0"/>
        <v>2</v>
      </c>
      <c r="F6" s="622">
        <f t="shared" si="0"/>
        <v>0</v>
      </c>
      <c r="G6" s="622">
        <f t="shared" si="0"/>
        <v>0</v>
      </c>
    </row>
    <row r="7" spans="1:7" x14ac:dyDescent="0.2">
      <c r="A7" s="2" t="s">
        <v>1310</v>
      </c>
      <c r="B7" s="315">
        <f>SUM(C7:G7)</f>
        <v>3</v>
      </c>
      <c r="C7" s="315">
        <v>0</v>
      </c>
      <c r="D7" s="315">
        <v>2</v>
      </c>
      <c r="E7" s="315">
        <v>1</v>
      </c>
      <c r="F7" s="315">
        <v>0</v>
      </c>
      <c r="G7" s="315">
        <v>0</v>
      </c>
    </row>
    <row r="8" spans="1:7" x14ac:dyDescent="0.2">
      <c r="A8" s="2" t="s">
        <v>1328</v>
      </c>
      <c r="B8" s="315">
        <f>SUM(C8:G8)</f>
        <v>3</v>
      </c>
      <c r="C8" s="315">
        <v>1</v>
      </c>
      <c r="D8" s="315">
        <v>1</v>
      </c>
      <c r="E8" s="315">
        <v>1</v>
      </c>
      <c r="F8" s="315">
        <v>0</v>
      </c>
      <c r="G8" s="315">
        <v>0</v>
      </c>
    </row>
    <row r="9" spans="1:7" x14ac:dyDescent="0.2">
      <c r="A9" s="2" t="s">
        <v>1329</v>
      </c>
      <c r="B9" s="315">
        <f t="shared" ref="B9" si="1">SUM(C9:G9)</f>
        <v>0</v>
      </c>
      <c r="C9" s="315">
        <v>0</v>
      </c>
      <c r="D9" s="315">
        <v>0</v>
      </c>
      <c r="E9" s="315">
        <v>0</v>
      </c>
      <c r="F9" s="315">
        <v>0</v>
      </c>
      <c r="G9" s="315">
        <v>0</v>
      </c>
    </row>
    <row r="11" spans="1:7" x14ac:dyDescent="0.2">
      <c r="A11" s="2" t="s">
        <v>1330</v>
      </c>
    </row>
    <row r="12" spans="1:7" x14ac:dyDescent="0.2">
      <c r="A12" s="2" t="s">
        <v>1331</v>
      </c>
    </row>
    <row r="13" spans="1:7" x14ac:dyDescent="0.2">
      <c r="A13" s="2" t="s">
        <v>1332</v>
      </c>
    </row>
    <row r="14" spans="1:7" x14ac:dyDescent="0.2">
      <c r="A14" s="661" t="s">
        <v>19</v>
      </c>
      <c r="B14" s="661"/>
      <c r="C14" s="661"/>
      <c r="D14" s="661"/>
      <c r="E14" s="661"/>
      <c r="F14" s="661"/>
      <c r="G14" s="661"/>
    </row>
    <row r="15" spans="1:7" x14ac:dyDescent="0.2">
      <c r="A15" s="623" t="s">
        <v>1323</v>
      </c>
      <c r="B15" s="623"/>
      <c r="C15" s="623"/>
      <c r="D15" s="623"/>
      <c r="E15" s="623"/>
      <c r="F15" s="623"/>
      <c r="G15" s="623"/>
    </row>
  </sheetData>
  <mergeCells count="6">
    <mergeCell ref="A2:G2"/>
    <mergeCell ref="A4:A5"/>
    <mergeCell ref="B4:B5"/>
    <mergeCell ref="C4:G4"/>
    <mergeCell ref="A14:G14"/>
    <mergeCell ref="A15:G15"/>
  </mergeCells>
  <pageMargins left="0.70866141732283472" right="0.70866141732283472" top="0.74803149606299213" bottom="0.74803149606299213" header="0.31496062992125984" footer="0.31496062992125984"/>
  <pageSetup paperSize="14" orientation="landscape"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2F0A39-9196-4320-BBC0-7619FC0AEA7E}">
  <sheetPr codeName="Hoja87"/>
  <dimension ref="A2:F25"/>
  <sheetViews>
    <sheetView workbookViewId="0">
      <selection activeCell="D4" sqref="D4"/>
    </sheetView>
  </sheetViews>
  <sheetFormatPr baseColWidth="10" defaultColWidth="11.44140625" defaultRowHeight="10.199999999999999" x14ac:dyDescent="0.2"/>
  <cols>
    <col min="1" max="1" width="18.109375" style="2" customWidth="1"/>
    <col min="2" max="2" width="11.44140625" style="2"/>
    <col min="3" max="6" width="16" style="2" customWidth="1"/>
    <col min="7" max="16384" width="11.44140625" style="2"/>
  </cols>
  <sheetData>
    <row r="2" spans="1:6" s="624" customFormat="1" ht="27.75" customHeight="1" x14ac:dyDescent="0.2">
      <c r="A2" s="45" t="s">
        <v>1088</v>
      </c>
      <c r="B2" s="45"/>
      <c r="C2" s="45"/>
      <c r="D2" s="45"/>
      <c r="E2" s="45"/>
      <c r="F2" s="45"/>
    </row>
    <row r="4" spans="1:6" ht="25.5" customHeight="1" x14ac:dyDescent="0.2">
      <c r="A4" s="323" t="s">
        <v>0</v>
      </c>
      <c r="B4" s="298" t="s">
        <v>1333</v>
      </c>
      <c r="C4" s="298"/>
      <c r="D4" s="298"/>
      <c r="E4" s="298"/>
      <c r="F4" s="298"/>
    </row>
    <row r="5" spans="1:6" ht="35.25" customHeight="1" x14ac:dyDescent="0.2">
      <c r="A5" s="323"/>
      <c r="B5" s="644" t="s">
        <v>1334</v>
      </c>
      <c r="C5" s="644" t="s">
        <v>1335</v>
      </c>
      <c r="D5" s="644" t="s">
        <v>1336</v>
      </c>
      <c r="E5" s="644" t="s">
        <v>1337</v>
      </c>
      <c r="F5" s="644" t="s">
        <v>1338</v>
      </c>
    </row>
    <row r="6" spans="1:6" s="24" customFormat="1" x14ac:dyDescent="0.2">
      <c r="A6" s="24" t="s">
        <v>3</v>
      </c>
      <c r="B6" s="622">
        <f>SUM(B7:B21)</f>
        <v>50</v>
      </c>
      <c r="C6" s="622">
        <f>SUM(C7:C21)</f>
        <v>0</v>
      </c>
      <c r="D6" s="622">
        <f>SUM(D7:D21)</f>
        <v>49</v>
      </c>
      <c r="E6" s="622">
        <f>SUM(E7:E21)</f>
        <v>0</v>
      </c>
      <c r="F6" s="622">
        <f>SUM(F7:F21)</f>
        <v>1</v>
      </c>
    </row>
    <row r="7" spans="1:6" x14ac:dyDescent="0.2">
      <c r="A7" s="2" t="s">
        <v>4</v>
      </c>
      <c r="B7" s="315">
        <f>SUM(C7:F7)</f>
        <v>17</v>
      </c>
      <c r="C7" s="315">
        <f>SUM(C8:C22)</f>
        <v>0</v>
      </c>
      <c r="D7" s="315">
        <v>17</v>
      </c>
      <c r="E7" s="315">
        <f>SUM(E8:E22)</f>
        <v>0</v>
      </c>
      <c r="F7" s="315">
        <v>0</v>
      </c>
    </row>
    <row r="8" spans="1:6" x14ac:dyDescent="0.2">
      <c r="A8" s="2" t="s">
        <v>5</v>
      </c>
      <c r="B8" s="315">
        <f>SUM(C8:F8)</f>
        <v>1</v>
      </c>
      <c r="C8" s="315">
        <f>SUM(C9:C22)</f>
        <v>0</v>
      </c>
      <c r="D8" s="315">
        <v>1</v>
      </c>
      <c r="E8" s="315">
        <f>SUM(E9:E22)</f>
        <v>0</v>
      </c>
      <c r="F8" s="315">
        <v>0</v>
      </c>
    </row>
    <row r="9" spans="1:6" x14ac:dyDescent="0.2">
      <c r="A9" s="2" t="s">
        <v>6</v>
      </c>
      <c r="B9" s="315">
        <f t="shared" ref="B9:B21" si="0">SUM(C9:F9)</f>
        <v>3</v>
      </c>
      <c r="C9" s="315">
        <f>SUM(C10:C23)</f>
        <v>0</v>
      </c>
      <c r="D9" s="315">
        <v>2</v>
      </c>
      <c r="E9" s="315">
        <f>SUM(E10:E23)</f>
        <v>0</v>
      </c>
      <c r="F9" s="315">
        <v>1</v>
      </c>
    </row>
    <row r="10" spans="1:6" x14ac:dyDescent="0.2">
      <c r="A10" s="2" t="s">
        <v>7</v>
      </c>
      <c r="B10" s="315">
        <f t="shared" si="0"/>
        <v>0</v>
      </c>
      <c r="C10" s="315">
        <f>SUM(C11:C24)</f>
        <v>0</v>
      </c>
      <c r="D10" s="315">
        <v>0</v>
      </c>
      <c r="E10" s="315">
        <f>SUM(E11:E24)</f>
        <v>0</v>
      </c>
      <c r="F10" s="315">
        <v>0</v>
      </c>
    </row>
    <row r="11" spans="1:6" x14ac:dyDescent="0.2">
      <c r="A11" s="2" t="s">
        <v>8</v>
      </c>
      <c r="B11" s="315">
        <f t="shared" si="0"/>
        <v>3</v>
      </c>
      <c r="C11" s="315">
        <f>SUM(C12:C25)</f>
        <v>0</v>
      </c>
      <c r="D11" s="315">
        <v>3</v>
      </c>
      <c r="E11" s="315">
        <f>SUM(E12:E25)</f>
        <v>0</v>
      </c>
      <c r="F11" s="315">
        <v>0</v>
      </c>
    </row>
    <row r="12" spans="1:6" x14ac:dyDescent="0.2">
      <c r="A12" s="2" t="s">
        <v>9</v>
      </c>
      <c r="B12" s="315">
        <f t="shared" si="0"/>
        <v>1</v>
      </c>
      <c r="C12" s="315">
        <f>SUM(C14:C25)</f>
        <v>0</v>
      </c>
      <c r="D12" s="315">
        <v>1</v>
      </c>
      <c r="E12" s="315">
        <f>SUM(E14:E25)</f>
        <v>0</v>
      </c>
      <c r="F12" s="315">
        <v>0</v>
      </c>
    </row>
    <row r="13" spans="1:6" x14ac:dyDescent="0.2">
      <c r="A13" s="2" t="s">
        <v>10</v>
      </c>
      <c r="B13" s="315">
        <f t="shared" si="0"/>
        <v>8</v>
      </c>
      <c r="C13" s="315">
        <v>0</v>
      </c>
      <c r="D13" s="315">
        <v>8</v>
      </c>
      <c r="E13" s="315">
        <v>0</v>
      </c>
      <c r="F13" s="315">
        <v>0</v>
      </c>
    </row>
    <row r="14" spans="1:6" x14ac:dyDescent="0.2">
      <c r="A14" s="2" t="s">
        <v>134</v>
      </c>
      <c r="B14" s="315">
        <f t="shared" si="0"/>
        <v>4</v>
      </c>
      <c r="C14" s="315">
        <f>SUM(C15:C25)</f>
        <v>0</v>
      </c>
      <c r="D14" s="315">
        <v>4</v>
      </c>
      <c r="E14" s="315">
        <f>SUM(E15:E25)</f>
        <v>0</v>
      </c>
      <c r="F14" s="315">
        <v>0</v>
      </c>
    </row>
    <row r="15" spans="1:6" x14ac:dyDescent="0.2">
      <c r="A15" s="2" t="s">
        <v>12</v>
      </c>
      <c r="B15" s="315">
        <f t="shared" si="0"/>
        <v>2</v>
      </c>
      <c r="C15" s="315">
        <v>0</v>
      </c>
      <c r="D15" s="315">
        <v>2</v>
      </c>
      <c r="E15" s="315">
        <v>0</v>
      </c>
      <c r="F15" s="315">
        <v>0</v>
      </c>
    </row>
    <row r="16" spans="1:6" x14ac:dyDescent="0.2">
      <c r="A16" s="2" t="s">
        <v>13</v>
      </c>
      <c r="B16" s="315">
        <f t="shared" si="0"/>
        <v>4</v>
      </c>
      <c r="C16" s="315">
        <v>0</v>
      </c>
      <c r="D16" s="315">
        <v>4</v>
      </c>
      <c r="E16" s="315">
        <v>0</v>
      </c>
      <c r="F16" s="315">
        <v>0</v>
      </c>
    </row>
    <row r="17" spans="1:6" x14ac:dyDescent="0.2">
      <c r="A17" s="2" t="s">
        <v>47</v>
      </c>
      <c r="B17" s="315">
        <f t="shared" si="0"/>
        <v>2</v>
      </c>
      <c r="C17" s="315">
        <v>0</v>
      </c>
      <c r="D17" s="315">
        <v>2</v>
      </c>
      <c r="E17" s="315">
        <v>0</v>
      </c>
      <c r="F17" s="315">
        <v>0</v>
      </c>
    </row>
    <row r="18" spans="1:6" x14ac:dyDescent="0.2">
      <c r="A18" s="2" t="s">
        <v>135</v>
      </c>
      <c r="B18" s="315">
        <f t="shared" si="0"/>
        <v>3</v>
      </c>
      <c r="C18" s="315">
        <v>0</v>
      </c>
      <c r="D18" s="315">
        <v>3</v>
      </c>
      <c r="E18" s="315">
        <v>0</v>
      </c>
      <c r="F18" s="315">
        <v>0</v>
      </c>
    </row>
    <row r="19" spans="1:6" x14ac:dyDescent="0.2">
      <c r="A19" s="2" t="s">
        <v>136</v>
      </c>
      <c r="B19" s="315">
        <f t="shared" si="0"/>
        <v>0</v>
      </c>
      <c r="C19" s="315">
        <v>0</v>
      </c>
      <c r="D19" s="315">
        <v>0</v>
      </c>
      <c r="E19" s="315">
        <v>0</v>
      </c>
      <c r="F19" s="315">
        <v>0</v>
      </c>
    </row>
    <row r="20" spans="1:6" x14ac:dyDescent="0.2">
      <c r="A20" s="2" t="s">
        <v>17</v>
      </c>
      <c r="B20" s="315">
        <f t="shared" si="0"/>
        <v>1</v>
      </c>
      <c r="C20" s="315">
        <v>0</v>
      </c>
      <c r="D20" s="315">
        <v>1</v>
      </c>
      <c r="E20" s="315">
        <v>0</v>
      </c>
      <c r="F20" s="315">
        <v>0</v>
      </c>
    </row>
    <row r="21" spans="1:6" x14ac:dyDescent="0.2">
      <c r="A21" s="2" t="s">
        <v>18</v>
      </c>
      <c r="B21" s="315">
        <f t="shared" si="0"/>
        <v>1</v>
      </c>
      <c r="C21" s="315">
        <v>0</v>
      </c>
      <c r="D21" s="315">
        <v>1</v>
      </c>
      <c r="E21" s="315">
        <v>0</v>
      </c>
      <c r="F21" s="315">
        <v>0</v>
      </c>
    </row>
    <row r="22" spans="1:6" ht="6" customHeight="1" x14ac:dyDescent="0.2"/>
    <row r="23" spans="1:6" ht="35.25" customHeight="1" x14ac:dyDescent="0.2">
      <c r="A23" s="638" t="s">
        <v>1339</v>
      </c>
      <c r="B23" s="638"/>
      <c r="C23" s="638"/>
      <c r="D23" s="638"/>
      <c r="E23" s="638"/>
      <c r="F23" s="638"/>
    </row>
    <row r="24" spans="1:6" x14ac:dyDescent="0.2">
      <c r="A24" s="623" t="s">
        <v>19</v>
      </c>
      <c r="B24" s="623"/>
      <c r="C24" s="623"/>
      <c r="D24" s="623"/>
      <c r="E24" s="623"/>
      <c r="F24" s="623"/>
    </row>
    <row r="25" spans="1:6" x14ac:dyDescent="0.2">
      <c r="A25" s="623" t="s">
        <v>1323</v>
      </c>
      <c r="B25" s="623"/>
      <c r="C25" s="623"/>
      <c r="D25" s="623"/>
      <c r="E25" s="623"/>
      <c r="F25" s="623"/>
    </row>
  </sheetData>
  <mergeCells count="6">
    <mergeCell ref="A2:F2"/>
    <mergeCell ref="A4:A5"/>
    <mergeCell ref="B4:F4"/>
    <mergeCell ref="A23:F23"/>
    <mergeCell ref="A24:F24"/>
    <mergeCell ref="A25:F25"/>
  </mergeCells>
  <pageMargins left="0.70866141732283472" right="0.70866141732283472" top="0.74803149606299213" bottom="0.74803149606299213" header="0.31496062992125984" footer="0.31496062992125984"/>
  <pageSetup paperSize="14" orientation="landscape"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DF8331-B6FF-47A1-81B3-940D4140AC97}">
  <sheetPr codeName="Hoja88"/>
  <dimension ref="A2:F24"/>
  <sheetViews>
    <sheetView workbookViewId="0">
      <selection activeCell="D4" sqref="D4"/>
    </sheetView>
  </sheetViews>
  <sheetFormatPr baseColWidth="10" defaultColWidth="11.44140625" defaultRowHeight="10.199999999999999" x14ac:dyDescent="0.2"/>
  <cols>
    <col min="1" max="1" width="16.6640625" style="2" customWidth="1"/>
    <col min="2" max="2" width="11.44140625" style="2"/>
    <col min="3" max="3" width="13.109375" style="2" customWidth="1"/>
    <col min="4" max="4" width="13" style="2" customWidth="1"/>
    <col min="5" max="16384" width="11.44140625" style="2"/>
  </cols>
  <sheetData>
    <row r="2" spans="1:6" s="624" customFormat="1" ht="22.5" customHeight="1" x14ac:dyDescent="0.2">
      <c r="A2" s="45" t="s">
        <v>1089</v>
      </c>
      <c r="B2" s="45"/>
      <c r="C2" s="45"/>
      <c r="D2" s="45"/>
      <c r="E2" s="45"/>
      <c r="F2" s="45"/>
    </row>
    <row r="4" spans="1:6" x14ac:dyDescent="0.2">
      <c r="A4" s="298" t="s">
        <v>0</v>
      </c>
      <c r="B4" s="298" t="s">
        <v>1340</v>
      </c>
      <c r="C4" s="298"/>
      <c r="D4" s="298"/>
      <c r="E4" s="298"/>
      <c r="F4" s="298"/>
    </row>
    <row r="5" spans="1:6" ht="30.6" x14ac:dyDescent="0.2">
      <c r="A5" s="298"/>
      <c r="B5" s="644" t="s">
        <v>1334</v>
      </c>
      <c r="C5" s="644" t="s">
        <v>1341</v>
      </c>
      <c r="D5" s="644" t="s">
        <v>1336</v>
      </c>
      <c r="E5" s="644" t="s">
        <v>1337</v>
      </c>
      <c r="F5" s="644" t="s">
        <v>1338</v>
      </c>
    </row>
    <row r="6" spans="1:6" s="24" customFormat="1" x14ac:dyDescent="0.2">
      <c r="A6" s="24" t="s">
        <v>3</v>
      </c>
      <c r="B6" s="24">
        <f>SUM(B7:B21)</f>
        <v>42</v>
      </c>
      <c r="C6" s="24">
        <f>SUM(C7:C21)</f>
        <v>10</v>
      </c>
      <c r="D6" s="24">
        <f>SUM(D7:D21)</f>
        <v>25</v>
      </c>
      <c r="E6" s="24">
        <f>SUM(E7:E21)</f>
        <v>2</v>
      </c>
      <c r="F6" s="24">
        <f>SUM(F7:F21)</f>
        <v>5</v>
      </c>
    </row>
    <row r="7" spans="1:6" x14ac:dyDescent="0.2">
      <c r="A7" s="2" t="s">
        <v>4</v>
      </c>
      <c r="B7" s="315">
        <f>SUM(C7:F7)</f>
        <v>8</v>
      </c>
      <c r="C7" s="315">
        <v>0</v>
      </c>
      <c r="D7" s="315">
        <v>8</v>
      </c>
      <c r="E7" s="315">
        <v>0</v>
      </c>
      <c r="F7" s="315">
        <v>0</v>
      </c>
    </row>
    <row r="8" spans="1:6" x14ac:dyDescent="0.2">
      <c r="A8" s="2" t="s">
        <v>5</v>
      </c>
      <c r="B8" s="315">
        <f>SUM(C8:F8)</f>
        <v>0</v>
      </c>
      <c r="C8" s="315">
        <v>0</v>
      </c>
      <c r="D8" s="315">
        <v>0</v>
      </c>
      <c r="E8" s="315">
        <v>0</v>
      </c>
      <c r="F8" s="315">
        <v>0</v>
      </c>
    </row>
    <row r="9" spans="1:6" x14ac:dyDescent="0.2">
      <c r="A9" s="2" t="s">
        <v>6</v>
      </c>
      <c r="B9" s="315">
        <f>SUM(C9:F9)</f>
        <v>1</v>
      </c>
      <c r="C9" s="315">
        <v>0</v>
      </c>
      <c r="D9" s="315">
        <v>0</v>
      </c>
      <c r="E9" s="315">
        <v>0</v>
      </c>
      <c r="F9" s="315">
        <v>1</v>
      </c>
    </row>
    <row r="10" spans="1:6" x14ac:dyDescent="0.2">
      <c r="A10" s="2" t="s">
        <v>7</v>
      </c>
      <c r="B10" s="315">
        <f>SUM(C10:F10)</f>
        <v>6</v>
      </c>
      <c r="C10" s="315">
        <v>0</v>
      </c>
      <c r="D10" s="315">
        <v>6</v>
      </c>
      <c r="E10" s="315">
        <v>0</v>
      </c>
      <c r="F10" s="315">
        <v>0</v>
      </c>
    </row>
    <row r="11" spans="1:6" x14ac:dyDescent="0.2">
      <c r="A11" s="2" t="s">
        <v>8</v>
      </c>
      <c r="B11" s="315">
        <f>SUM(C11:F11)</f>
        <v>1</v>
      </c>
      <c r="C11" s="315">
        <v>0</v>
      </c>
      <c r="D11" s="315">
        <v>0</v>
      </c>
      <c r="E11" s="315">
        <v>0</v>
      </c>
      <c r="F11" s="315">
        <v>1</v>
      </c>
    </row>
    <row r="12" spans="1:6" x14ac:dyDescent="0.2">
      <c r="A12" s="2" t="s">
        <v>9</v>
      </c>
      <c r="B12" s="315">
        <f t="shared" ref="B12:B21" si="0">SUM(C12:F12)</f>
        <v>3</v>
      </c>
      <c r="C12" s="315">
        <v>3</v>
      </c>
      <c r="D12" s="315">
        <v>0</v>
      </c>
      <c r="E12" s="315">
        <v>0</v>
      </c>
      <c r="F12" s="315">
        <v>0</v>
      </c>
    </row>
    <row r="13" spans="1:6" x14ac:dyDescent="0.2">
      <c r="A13" s="2" t="s">
        <v>10</v>
      </c>
      <c r="B13" s="315">
        <f t="shared" si="0"/>
        <v>9</v>
      </c>
      <c r="C13" s="315">
        <v>7</v>
      </c>
      <c r="D13" s="315">
        <v>1</v>
      </c>
      <c r="E13" s="315">
        <v>1</v>
      </c>
      <c r="F13" s="315">
        <v>0</v>
      </c>
    </row>
    <row r="14" spans="1:6" ht="10.5" customHeight="1" x14ac:dyDescent="0.2">
      <c r="A14" s="2" t="s">
        <v>134</v>
      </c>
      <c r="B14" s="315">
        <f t="shared" si="0"/>
        <v>1</v>
      </c>
      <c r="C14" s="315">
        <v>0</v>
      </c>
      <c r="D14" s="315">
        <v>0</v>
      </c>
      <c r="E14" s="315">
        <v>1</v>
      </c>
      <c r="F14" s="315">
        <v>0</v>
      </c>
    </row>
    <row r="15" spans="1:6" x14ac:dyDescent="0.2">
      <c r="A15" s="2" t="s">
        <v>12</v>
      </c>
      <c r="B15" s="315">
        <f t="shared" si="0"/>
        <v>2</v>
      </c>
      <c r="C15" s="315">
        <v>0</v>
      </c>
      <c r="D15" s="315">
        <v>2</v>
      </c>
      <c r="E15" s="315">
        <v>0</v>
      </c>
      <c r="F15" s="315">
        <v>0</v>
      </c>
    </row>
    <row r="16" spans="1:6" x14ac:dyDescent="0.2">
      <c r="A16" s="2" t="s">
        <v>13</v>
      </c>
      <c r="B16" s="315">
        <f t="shared" si="0"/>
        <v>1</v>
      </c>
      <c r="C16" s="315">
        <v>0</v>
      </c>
      <c r="D16" s="315">
        <v>1</v>
      </c>
      <c r="E16" s="315">
        <v>0</v>
      </c>
      <c r="F16" s="315">
        <v>0</v>
      </c>
    </row>
    <row r="17" spans="1:6" x14ac:dyDescent="0.2">
      <c r="A17" s="2" t="s">
        <v>47</v>
      </c>
      <c r="B17" s="315">
        <f t="shared" si="0"/>
        <v>1</v>
      </c>
      <c r="C17" s="315">
        <v>0</v>
      </c>
      <c r="D17" s="315">
        <v>1</v>
      </c>
      <c r="E17" s="315">
        <v>0</v>
      </c>
      <c r="F17" s="315">
        <v>0</v>
      </c>
    </row>
    <row r="18" spans="1:6" x14ac:dyDescent="0.2">
      <c r="A18" s="2" t="s">
        <v>135</v>
      </c>
      <c r="B18" s="315">
        <f t="shared" si="0"/>
        <v>6</v>
      </c>
      <c r="C18" s="315">
        <v>0</v>
      </c>
      <c r="D18" s="315">
        <v>5</v>
      </c>
      <c r="E18" s="315">
        <v>0</v>
      </c>
      <c r="F18" s="315">
        <v>1</v>
      </c>
    </row>
    <row r="19" spans="1:6" x14ac:dyDescent="0.2">
      <c r="A19" s="2" t="s">
        <v>136</v>
      </c>
      <c r="B19" s="315">
        <f t="shared" si="0"/>
        <v>3</v>
      </c>
      <c r="C19" s="315">
        <v>0</v>
      </c>
      <c r="D19" s="315">
        <v>1</v>
      </c>
      <c r="E19" s="315">
        <v>0</v>
      </c>
      <c r="F19" s="315">
        <v>2</v>
      </c>
    </row>
    <row r="20" spans="1:6" x14ac:dyDescent="0.2">
      <c r="A20" s="2" t="s">
        <v>17</v>
      </c>
      <c r="B20" s="315">
        <f t="shared" si="0"/>
        <v>0</v>
      </c>
      <c r="C20" s="315">
        <v>0</v>
      </c>
      <c r="D20" s="315">
        <v>0</v>
      </c>
      <c r="E20" s="315">
        <v>0</v>
      </c>
      <c r="F20" s="315">
        <v>0</v>
      </c>
    </row>
    <row r="21" spans="1:6" x14ac:dyDescent="0.2">
      <c r="A21" s="2" t="s">
        <v>18</v>
      </c>
      <c r="B21" s="315">
        <f t="shared" si="0"/>
        <v>0</v>
      </c>
      <c r="C21" s="315">
        <v>0</v>
      </c>
      <c r="D21" s="315">
        <v>0</v>
      </c>
      <c r="E21" s="315">
        <v>0</v>
      </c>
      <c r="F21" s="315">
        <v>0</v>
      </c>
    </row>
    <row r="22" spans="1:6" ht="6.75" customHeight="1" x14ac:dyDescent="0.2"/>
    <row r="23" spans="1:6" x14ac:dyDescent="0.2">
      <c r="A23" s="623" t="s">
        <v>19</v>
      </c>
      <c r="B23" s="623"/>
      <c r="C23" s="623"/>
      <c r="D23" s="623"/>
      <c r="E23" s="623"/>
      <c r="F23" s="623"/>
    </row>
    <row r="24" spans="1:6" x14ac:dyDescent="0.2">
      <c r="A24" s="623" t="s">
        <v>1323</v>
      </c>
      <c r="B24" s="623"/>
      <c r="C24" s="623"/>
      <c r="D24" s="623"/>
      <c r="E24" s="623"/>
      <c r="F24" s="623"/>
    </row>
  </sheetData>
  <mergeCells count="5">
    <mergeCell ref="A2:F2"/>
    <mergeCell ref="A4:A5"/>
    <mergeCell ref="B4:F4"/>
    <mergeCell ref="A23:F23"/>
    <mergeCell ref="A24:F24"/>
  </mergeCells>
  <pageMargins left="0.70866141732283472" right="0.70866141732283472" top="0.74803149606299213" bottom="0.74803149606299213" header="0.31496062992125984" footer="0.31496062992125984"/>
  <pageSetup paperSize="14"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35E37F-1D8A-4DA4-99D4-6A06E8B0B808}">
  <sheetPr codeName="Hoja89"/>
  <dimension ref="A2:F24"/>
  <sheetViews>
    <sheetView workbookViewId="0">
      <selection activeCell="D4" sqref="D4"/>
    </sheetView>
  </sheetViews>
  <sheetFormatPr baseColWidth="10" defaultColWidth="11.44140625" defaultRowHeight="10.199999999999999" x14ac:dyDescent="0.2"/>
  <cols>
    <col min="1" max="1" width="27.44140625" style="2" customWidth="1"/>
    <col min="2" max="2" width="11.44140625" style="2"/>
    <col min="3" max="6" width="13" style="2" customWidth="1"/>
    <col min="7" max="16384" width="11.44140625" style="2"/>
  </cols>
  <sheetData>
    <row r="2" spans="1:6" s="624" customFormat="1" ht="22.5" customHeight="1" x14ac:dyDescent="0.2">
      <c r="A2" s="45" t="s">
        <v>1090</v>
      </c>
      <c r="B2" s="45"/>
      <c r="C2" s="45"/>
      <c r="D2" s="45"/>
      <c r="E2" s="45"/>
      <c r="F2" s="45"/>
    </row>
    <row r="3" spans="1:6" ht="22.5" customHeight="1" x14ac:dyDescent="0.2"/>
    <row r="4" spans="1:6" ht="12.75" customHeight="1" x14ac:dyDescent="0.2">
      <c r="A4" s="298" t="s">
        <v>0</v>
      </c>
      <c r="B4" s="298" t="s">
        <v>1340</v>
      </c>
      <c r="C4" s="298"/>
      <c r="D4" s="298"/>
      <c r="E4" s="298"/>
      <c r="F4" s="298"/>
    </row>
    <row r="5" spans="1:6" ht="30.6" x14ac:dyDescent="0.2">
      <c r="A5" s="298"/>
      <c r="B5" s="644" t="s">
        <v>1334</v>
      </c>
      <c r="C5" s="644" t="s">
        <v>1341</v>
      </c>
      <c r="D5" s="644" t="s">
        <v>1336</v>
      </c>
      <c r="E5" s="644" t="s">
        <v>1337</v>
      </c>
      <c r="F5" s="644" t="s">
        <v>1338</v>
      </c>
    </row>
    <row r="6" spans="1:6" x14ac:dyDescent="0.2">
      <c r="A6" s="662" t="s">
        <v>3</v>
      </c>
      <c r="B6" s="663">
        <f>SUM(B7:B21)</f>
        <v>1337</v>
      </c>
      <c r="C6" s="663">
        <f>SUM(C7:C21)</f>
        <v>331</v>
      </c>
      <c r="D6" s="663">
        <f>SUM(D7:D21)</f>
        <v>847</v>
      </c>
      <c r="E6" s="663">
        <f>SUM(E7:E21)</f>
        <v>43</v>
      </c>
      <c r="F6" s="663">
        <f>SUM(F7:F21)</f>
        <v>116</v>
      </c>
    </row>
    <row r="7" spans="1:6" x14ac:dyDescent="0.2">
      <c r="A7" s="2" t="s">
        <v>4</v>
      </c>
      <c r="B7" s="315">
        <f t="shared" ref="B7:B21" si="0">SUM(C7:F7)</f>
        <v>36</v>
      </c>
      <c r="C7" s="315">
        <v>2</v>
      </c>
      <c r="D7" s="315">
        <v>32</v>
      </c>
      <c r="E7" s="315">
        <v>1</v>
      </c>
      <c r="F7" s="315">
        <v>1</v>
      </c>
    </row>
    <row r="8" spans="1:6" x14ac:dyDescent="0.2">
      <c r="A8" s="2" t="s">
        <v>5</v>
      </c>
      <c r="B8" s="315">
        <f t="shared" si="0"/>
        <v>73</v>
      </c>
      <c r="C8" s="315">
        <v>6</v>
      </c>
      <c r="D8" s="315">
        <v>60</v>
      </c>
      <c r="E8" s="315">
        <v>3</v>
      </c>
      <c r="F8" s="315">
        <v>4</v>
      </c>
    </row>
    <row r="9" spans="1:6" x14ac:dyDescent="0.2">
      <c r="A9" s="2" t="s">
        <v>6</v>
      </c>
      <c r="B9" s="315">
        <f t="shared" si="0"/>
        <v>82</v>
      </c>
      <c r="C9" s="315">
        <v>18</v>
      </c>
      <c r="D9" s="315">
        <v>54</v>
      </c>
      <c r="E9" s="315">
        <v>1</v>
      </c>
      <c r="F9" s="315">
        <v>9</v>
      </c>
    </row>
    <row r="10" spans="1:6" x14ac:dyDescent="0.2">
      <c r="A10" s="2" t="s">
        <v>7</v>
      </c>
      <c r="B10" s="315">
        <f t="shared" si="0"/>
        <v>47</v>
      </c>
      <c r="C10" s="315">
        <v>2</v>
      </c>
      <c r="D10" s="315">
        <v>43</v>
      </c>
      <c r="E10" s="315">
        <v>1</v>
      </c>
      <c r="F10" s="315">
        <v>1</v>
      </c>
    </row>
    <row r="11" spans="1:6" x14ac:dyDescent="0.2">
      <c r="A11" s="2" t="s">
        <v>8</v>
      </c>
      <c r="B11" s="315">
        <f t="shared" si="0"/>
        <v>54</v>
      </c>
      <c r="C11" s="315">
        <v>5</v>
      </c>
      <c r="D11" s="315">
        <v>43</v>
      </c>
      <c r="E11" s="315">
        <v>1</v>
      </c>
      <c r="F11" s="315">
        <v>5</v>
      </c>
    </row>
    <row r="12" spans="1:6" x14ac:dyDescent="0.2">
      <c r="A12" s="2" t="s">
        <v>9</v>
      </c>
      <c r="B12" s="315">
        <f t="shared" si="0"/>
        <v>166</v>
      </c>
      <c r="C12" s="315">
        <v>33</v>
      </c>
      <c r="D12" s="315">
        <v>101</v>
      </c>
      <c r="E12" s="315">
        <v>12</v>
      </c>
      <c r="F12" s="315">
        <v>20</v>
      </c>
    </row>
    <row r="13" spans="1:6" x14ac:dyDescent="0.2">
      <c r="A13" s="2" t="s">
        <v>10</v>
      </c>
      <c r="B13" s="315">
        <f t="shared" si="0"/>
        <v>415</v>
      </c>
      <c r="C13" s="315">
        <v>141</v>
      </c>
      <c r="D13" s="315">
        <v>226</v>
      </c>
      <c r="E13" s="315">
        <v>9</v>
      </c>
      <c r="F13" s="315">
        <v>39</v>
      </c>
    </row>
    <row r="14" spans="1:6" ht="10.5" customHeight="1" x14ac:dyDescent="0.2">
      <c r="A14" s="2" t="s">
        <v>134</v>
      </c>
      <c r="B14" s="315">
        <f t="shared" si="0"/>
        <v>69</v>
      </c>
      <c r="C14" s="315">
        <v>2</v>
      </c>
      <c r="D14" s="315">
        <v>55</v>
      </c>
      <c r="E14" s="315">
        <v>1</v>
      </c>
      <c r="F14" s="315">
        <v>11</v>
      </c>
    </row>
    <row r="15" spans="1:6" x14ac:dyDescent="0.2">
      <c r="A15" s="2" t="s">
        <v>12</v>
      </c>
      <c r="B15" s="315">
        <f t="shared" si="0"/>
        <v>56</v>
      </c>
      <c r="C15" s="315">
        <v>8</v>
      </c>
      <c r="D15" s="315">
        <v>35</v>
      </c>
      <c r="E15" s="315">
        <v>5</v>
      </c>
      <c r="F15" s="315">
        <v>8</v>
      </c>
    </row>
    <row r="16" spans="1:6" x14ac:dyDescent="0.2">
      <c r="A16" s="2" t="s">
        <v>13</v>
      </c>
      <c r="B16" s="315">
        <f t="shared" si="0"/>
        <v>62</v>
      </c>
      <c r="C16" s="315">
        <v>13</v>
      </c>
      <c r="D16" s="315">
        <v>44</v>
      </c>
      <c r="E16" s="315">
        <v>3</v>
      </c>
      <c r="F16" s="315">
        <v>2</v>
      </c>
    </row>
    <row r="17" spans="1:6" x14ac:dyDescent="0.2">
      <c r="A17" s="2" t="s">
        <v>47</v>
      </c>
      <c r="B17" s="315">
        <f t="shared" si="0"/>
        <v>97</v>
      </c>
      <c r="C17" s="315">
        <v>70</v>
      </c>
      <c r="D17" s="315">
        <v>27</v>
      </c>
      <c r="E17" s="315">
        <v>0</v>
      </c>
      <c r="F17" s="315">
        <v>0</v>
      </c>
    </row>
    <row r="18" spans="1:6" x14ac:dyDescent="0.2">
      <c r="A18" s="2" t="s">
        <v>135</v>
      </c>
      <c r="B18" s="315">
        <f t="shared" si="0"/>
        <v>40</v>
      </c>
      <c r="C18" s="315">
        <v>12</v>
      </c>
      <c r="D18" s="315">
        <v>22</v>
      </c>
      <c r="E18" s="315">
        <v>1</v>
      </c>
      <c r="F18" s="315">
        <v>5</v>
      </c>
    </row>
    <row r="19" spans="1:6" x14ac:dyDescent="0.2">
      <c r="A19" s="2" t="s">
        <v>136</v>
      </c>
      <c r="B19" s="315">
        <f t="shared" si="0"/>
        <v>68</v>
      </c>
      <c r="C19" s="315">
        <v>12</v>
      </c>
      <c r="D19" s="315">
        <v>45</v>
      </c>
      <c r="E19" s="315">
        <v>3</v>
      </c>
      <c r="F19" s="315">
        <v>8</v>
      </c>
    </row>
    <row r="20" spans="1:6" x14ac:dyDescent="0.2">
      <c r="A20" s="2" t="s">
        <v>17</v>
      </c>
      <c r="B20" s="315">
        <f t="shared" si="0"/>
        <v>20</v>
      </c>
      <c r="C20" s="315">
        <v>0</v>
      </c>
      <c r="D20" s="315">
        <v>17</v>
      </c>
      <c r="E20" s="315">
        <v>2</v>
      </c>
      <c r="F20" s="315">
        <v>1</v>
      </c>
    </row>
    <row r="21" spans="1:6" x14ac:dyDescent="0.2">
      <c r="A21" s="2" t="s">
        <v>18</v>
      </c>
      <c r="B21" s="315">
        <f t="shared" si="0"/>
        <v>52</v>
      </c>
      <c r="C21" s="315">
        <v>7</v>
      </c>
      <c r="D21" s="315">
        <v>43</v>
      </c>
      <c r="E21" s="315">
        <v>0</v>
      </c>
      <c r="F21" s="315">
        <v>2</v>
      </c>
    </row>
    <row r="22" spans="1:6" ht="6" customHeight="1" x14ac:dyDescent="0.2"/>
    <row r="23" spans="1:6" x14ac:dyDescent="0.2">
      <c r="A23" s="623" t="s">
        <v>19</v>
      </c>
      <c r="B23" s="623"/>
      <c r="C23" s="623"/>
      <c r="D23" s="623"/>
      <c r="E23" s="623"/>
      <c r="F23" s="623"/>
    </row>
    <row r="24" spans="1:6" x14ac:dyDescent="0.2">
      <c r="A24" s="2" t="s">
        <v>1323</v>
      </c>
    </row>
  </sheetData>
  <mergeCells count="4">
    <mergeCell ref="A2:F2"/>
    <mergeCell ref="A4:A5"/>
    <mergeCell ref="B4:F4"/>
    <mergeCell ref="A23:F23"/>
  </mergeCells>
  <pageMargins left="0.39370078740157483" right="0.39370078740157483" top="0.59055118110236227" bottom="0.39370078740157483" header="0" footer="0"/>
  <pageSetup paperSize="14"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CE6EA-DD62-40F1-9FEB-B98033074881}">
  <sheetPr codeName="Hoja9"/>
  <dimension ref="A2:R59"/>
  <sheetViews>
    <sheetView workbookViewId="0">
      <selection activeCell="C25" sqref="C25"/>
    </sheetView>
  </sheetViews>
  <sheetFormatPr baseColWidth="10" defaultColWidth="11.44140625" defaultRowHeight="10.199999999999999" x14ac:dyDescent="0.2"/>
  <cols>
    <col min="1" max="1" width="28.6640625" style="62" customWidth="1"/>
    <col min="2" max="2" width="12.44140625" style="62" customWidth="1"/>
    <col min="3" max="5" width="11.44140625" style="62"/>
    <col min="6" max="6" width="11.109375" style="62" customWidth="1"/>
    <col min="7" max="7" width="23" style="62" customWidth="1"/>
    <col min="8" max="8" width="11.109375" style="62" customWidth="1"/>
    <col min="9" max="12" width="11.33203125" style="62" customWidth="1"/>
    <col min="13" max="16384" width="11.44140625" style="62"/>
  </cols>
  <sheetData>
    <row r="2" spans="1:18" ht="49.5" customHeight="1" x14ac:dyDescent="0.2">
      <c r="A2" s="64" t="s">
        <v>120</v>
      </c>
      <c r="B2" s="64"/>
      <c r="C2" s="64"/>
      <c r="D2" s="64"/>
      <c r="E2" s="64"/>
      <c r="F2" s="64"/>
    </row>
    <row r="3" spans="1:18" x14ac:dyDescent="0.2">
      <c r="A3" s="81"/>
      <c r="B3" s="81"/>
      <c r="C3" s="81"/>
      <c r="D3" s="81"/>
      <c r="E3" s="94"/>
      <c r="F3" s="94"/>
      <c r="H3" s="81"/>
      <c r="I3" s="81"/>
      <c r="J3" s="81"/>
      <c r="K3" s="81"/>
      <c r="L3" s="95"/>
      <c r="M3" s="95"/>
    </row>
    <row r="4" spans="1:18" ht="15.75" customHeight="1" x14ac:dyDescent="0.2">
      <c r="A4" s="96" t="s">
        <v>121</v>
      </c>
      <c r="B4" s="82" t="s">
        <v>98</v>
      </c>
      <c r="C4" s="83"/>
      <c r="D4" s="83"/>
      <c r="E4" s="83"/>
      <c r="F4" s="84"/>
      <c r="H4" s="81"/>
      <c r="I4" s="81"/>
      <c r="J4" s="81"/>
      <c r="K4" s="81"/>
      <c r="L4" s="95"/>
      <c r="M4" s="95"/>
    </row>
    <row r="5" spans="1:18" ht="15.75" customHeight="1" x14ac:dyDescent="0.2">
      <c r="A5" s="96"/>
      <c r="B5" s="72">
        <v>2009</v>
      </c>
      <c r="C5" s="72">
        <v>2010</v>
      </c>
      <c r="D5" s="72">
        <v>2011</v>
      </c>
      <c r="E5" s="72">
        <v>2012</v>
      </c>
      <c r="F5" s="72">
        <v>2013</v>
      </c>
      <c r="H5" s="81"/>
      <c r="I5" s="81"/>
      <c r="J5" s="81"/>
      <c r="K5" s="81"/>
      <c r="L5" s="95"/>
      <c r="M5" s="95"/>
    </row>
    <row r="6" spans="1:18" x14ac:dyDescent="0.2">
      <c r="A6" s="87" t="s">
        <v>3</v>
      </c>
      <c r="B6" s="88">
        <f>SUM(B7:B13)</f>
        <v>12584</v>
      </c>
      <c r="C6" s="88">
        <f>SUM(C7:C13)</f>
        <v>12977</v>
      </c>
      <c r="D6" s="88">
        <f>SUM(D7:D13)</f>
        <v>13169</v>
      </c>
      <c r="E6" s="88">
        <f>SUM(E7:E13)</f>
        <v>12259</v>
      </c>
      <c r="F6" s="88">
        <f>SUM(F7:F13)</f>
        <v>13046</v>
      </c>
      <c r="H6" s="70"/>
      <c r="I6" s="86"/>
      <c r="J6" s="86"/>
      <c r="K6" s="86"/>
      <c r="L6" s="86"/>
      <c r="M6" s="86"/>
    </row>
    <row r="7" spans="1:18" x14ac:dyDescent="0.2">
      <c r="A7" s="62" t="s">
        <v>122</v>
      </c>
      <c r="B7" s="91">
        <v>6601</v>
      </c>
      <c r="C7" s="91">
        <v>7137</v>
      </c>
      <c r="D7" s="91">
        <v>7216</v>
      </c>
      <c r="E7" s="91">
        <v>6865</v>
      </c>
      <c r="F7" s="91">
        <v>7697</v>
      </c>
      <c r="I7" s="74"/>
      <c r="J7" s="74"/>
      <c r="K7" s="74"/>
      <c r="L7" s="74"/>
      <c r="M7" s="74"/>
      <c r="N7" s="90"/>
      <c r="O7" s="90"/>
      <c r="P7" s="90"/>
      <c r="Q7" s="90"/>
      <c r="R7" s="90"/>
    </row>
    <row r="8" spans="1:18" x14ac:dyDescent="0.2">
      <c r="A8" s="62" t="s">
        <v>123</v>
      </c>
      <c r="B8" s="91">
        <v>2139</v>
      </c>
      <c r="C8" s="91">
        <v>2087</v>
      </c>
      <c r="D8" s="91">
        <v>2238</v>
      </c>
      <c r="E8" s="91">
        <v>1839</v>
      </c>
      <c r="F8" s="91">
        <v>1957</v>
      </c>
      <c r="I8" s="74"/>
      <c r="J8" s="74"/>
      <c r="K8" s="74"/>
      <c r="L8" s="74"/>
      <c r="M8" s="74"/>
      <c r="N8" s="90"/>
      <c r="O8" s="90"/>
      <c r="P8" s="90"/>
      <c r="Q8" s="90"/>
      <c r="R8" s="90"/>
    </row>
    <row r="9" spans="1:18" x14ac:dyDescent="0.2">
      <c r="A9" s="62" t="s">
        <v>124</v>
      </c>
      <c r="B9" s="91">
        <v>881</v>
      </c>
      <c r="C9" s="91">
        <v>778</v>
      </c>
      <c r="D9" s="91">
        <v>698</v>
      </c>
      <c r="E9" s="91">
        <v>613</v>
      </c>
      <c r="F9" s="91">
        <v>522</v>
      </c>
      <c r="H9" s="97"/>
      <c r="I9" s="97"/>
      <c r="J9" s="97"/>
      <c r="K9" s="97"/>
      <c r="L9" s="97"/>
      <c r="M9" s="74"/>
      <c r="N9" s="90"/>
      <c r="O9" s="90"/>
      <c r="P9" s="90"/>
      <c r="Q9" s="90"/>
      <c r="R9" s="90"/>
    </row>
    <row r="10" spans="1:18" x14ac:dyDescent="0.2">
      <c r="A10" s="62" t="s">
        <v>125</v>
      </c>
      <c r="B10" s="91">
        <v>2768</v>
      </c>
      <c r="C10" s="91">
        <v>2725</v>
      </c>
      <c r="D10" s="91">
        <v>2601</v>
      </c>
      <c r="E10" s="91">
        <v>2574</v>
      </c>
      <c r="F10" s="91">
        <v>2609</v>
      </c>
      <c r="H10" s="97"/>
      <c r="I10" s="97"/>
      <c r="J10" s="97"/>
      <c r="K10" s="97"/>
      <c r="L10" s="97"/>
      <c r="M10" s="74"/>
      <c r="N10" s="90"/>
      <c r="O10" s="90"/>
      <c r="P10" s="90"/>
      <c r="Q10" s="90"/>
      <c r="R10" s="90"/>
    </row>
    <row r="11" spans="1:18" x14ac:dyDescent="0.2">
      <c r="A11" s="62" t="s">
        <v>126</v>
      </c>
      <c r="B11" s="91">
        <v>122</v>
      </c>
      <c r="C11" s="91">
        <v>130</v>
      </c>
      <c r="D11" s="91">
        <v>284</v>
      </c>
      <c r="E11" s="91">
        <v>200</v>
      </c>
      <c r="F11" s="91">
        <v>130</v>
      </c>
      <c r="I11" s="74"/>
      <c r="J11" s="74"/>
      <c r="K11" s="74"/>
      <c r="L11" s="74"/>
      <c r="M11" s="74"/>
      <c r="N11" s="90"/>
      <c r="O11" s="90"/>
      <c r="P11" s="90"/>
      <c r="Q11" s="90"/>
      <c r="R11" s="90"/>
    </row>
    <row r="12" spans="1:18" x14ac:dyDescent="0.2">
      <c r="A12" s="62" t="s">
        <v>127</v>
      </c>
      <c r="B12" s="91">
        <v>15</v>
      </c>
      <c r="C12" s="91">
        <v>39</v>
      </c>
      <c r="D12" s="91">
        <v>23</v>
      </c>
      <c r="E12" s="91">
        <v>31</v>
      </c>
      <c r="F12" s="91">
        <v>17</v>
      </c>
      <c r="I12" s="74"/>
      <c r="J12" s="74"/>
      <c r="K12" s="74"/>
      <c r="L12" s="74"/>
      <c r="M12" s="74"/>
      <c r="N12" s="90"/>
      <c r="O12" s="90"/>
      <c r="P12" s="90"/>
      <c r="Q12" s="90"/>
      <c r="R12" s="90"/>
    </row>
    <row r="13" spans="1:18" ht="21" customHeight="1" x14ac:dyDescent="0.2">
      <c r="A13" s="94" t="s">
        <v>128</v>
      </c>
      <c r="B13" s="91">
        <v>58</v>
      </c>
      <c r="C13" s="91">
        <v>81</v>
      </c>
      <c r="D13" s="91">
        <v>109</v>
      </c>
      <c r="E13" s="91">
        <v>137</v>
      </c>
      <c r="F13" s="91">
        <v>114</v>
      </c>
      <c r="H13" s="98"/>
      <c r="I13" s="98"/>
      <c r="J13" s="98"/>
      <c r="K13" s="98"/>
      <c r="L13" s="98"/>
      <c r="M13" s="74"/>
      <c r="N13" s="90"/>
      <c r="O13" s="90"/>
      <c r="P13" s="90"/>
      <c r="Q13" s="90"/>
      <c r="R13" s="90"/>
    </row>
    <row r="14" spans="1:18" ht="6" customHeight="1" x14ac:dyDescent="0.2">
      <c r="A14" s="94"/>
      <c r="B14" s="91"/>
      <c r="C14" s="91"/>
      <c r="D14" s="91"/>
      <c r="E14" s="91"/>
      <c r="F14" s="91"/>
      <c r="H14" s="98"/>
      <c r="I14" s="98"/>
      <c r="J14" s="98"/>
      <c r="K14" s="98"/>
      <c r="L14" s="98"/>
      <c r="M14" s="74"/>
      <c r="N14" s="90"/>
      <c r="O14" s="90"/>
      <c r="P14" s="90"/>
      <c r="Q14" s="90"/>
      <c r="R14" s="90"/>
    </row>
    <row r="15" spans="1:18" ht="66.75" customHeight="1" x14ac:dyDescent="0.2">
      <c r="A15" s="99" t="s">
        <v>129</v>
      </c>
      <c r="B15" s="99"/>
      <c r="C15" s="99"/>
      <c r="D15" s="99"/>
      <c r="E15" s="99"/>
      <c r="F15" s="99"/>
      <c r="H15" s="98"/>
      <c r="I15" s="98"/>
      <c r="J15" s="98"/>
      <c r="K15" s="98"/>
      <c r="L15" s="100"/>
      <c r="M15" s="74"/>
      <c r="N15" s="90"/>
      <c r="O15" s="90"/>
      <c r="P15" s="90"/>
      <c r="Q15" s="90"/>
      <c r="R15" s="90"/>
    </row>
    <row r="16" spans="1:18" ht="10.5" customHeight="1" x14ac:dyDescent="0.2">
      <c r="A16" s="77" t="s">
        <v>102</v>
      </c>
      <c r="B16" s="77"/>
      <c r="C16" s="77"/>
      <c r="D16" s="77"/>
      <c r="E16" s="77"/>
      <c r="F16" s="77"/>
    </row>
    <row r="17" spans="1:6" ht="10.5" customHeight="1" x14ac:dyDescent="0.2">
      <c r="A17" s="92"/>
      <c r="B17" s="92"/>
      <c r="C17" s="92"/>
      <c r="D17" s="92"/>
      <c r="E17" s="92"/>
      <c r="F17" s="92"/>
    </row>
    <row r="44" spans="1:1" x14ac:dyDescent="0.2">
      <c r="A44" s="78"/>
    </row>
    <row r="45" spans="1:1" x14ac:dyDescent="0.2">
      <c r="A45" s="78"/>
    </row>
    <row r="46" spans="1:1" x14ac:dyDescent="0.2">
      <c r="A46" s="78"/>
    </row>
    <row r="47" spans="1:1" x14ac:dyDescent="0.2">
      <c r="A47" s="78"/>
    </row>
    <row r="48" spans="1:1" x14ac:dyDescent="0.2">
      <c r="A48" s="78"/>
    </row>
    <row r="49" spans="1:1" x14ac:dyDescent="0.2">
      <c r="A49" s="78"/>
    </row>
    <row r="50" spans="1:1" x14ac:dyDescent="0.2">
      <c r="A50" s="78"/>
    </row>
    <row r="51" spans="1:1" x14ac:dyDescent="0.2">
      <c r="A51" s="78"/>
    </row>
    <row r="53" spans="1:1" x14ac:dyDescent="0.2">
      <c r="A53" s="78"/>
    </row>
    <row r="54" spans="1:1" x14ac:dyDescent="0.2">
      <c r="A54" s="78"/>
    </row>
    <row r="55" spans="1:1" x14ac:dyDescent="0.2">
      <c r="A55" s="78"/>
    </row>
    <row r="56" spans="1:1" x14ac:dyDescent="0.2">
      <c r="A56" s="78"/>
    </row>
    <row r="57" spans="1:1" x14ac:dyDescent="0.2">
      <c r="A57" s="78"/>
    </row>
    <row r="58" spans="1:1" x14ac:dyDescent="0.2">
      <c r="A58" s="78"/>
    </row>
    <row r="59" spans="1:1" x14ac:dyDescent="0.2">
      <c r="A59" s="78"/>
    </row>
  </sheetData>
  <mergeCells count="5">
    <mergeCell ref="A2:F2"/>
    <mergeCell ref="A4:A5"/>
    <mergeCell ref="B4:F4"/>
    <mergeCell ref="A15:F15"/>
    <mergeCell ref="A16:F16"/>
  </mergeCells>
  <pageMargins left="0.74803149606299213" right="0.74803149606299213" top="0.98425196850393704" bottom="0.98425196850393704" header="0" footer="0"/>
  <pageSetup paperSize="14" scale="90" orientation="portrait"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7C6CE-48CA-45D5-B9D1-8B948A59CC95}">
  <sheetPr codeName="Hoja90"/>
  <dimension ref="A2:E67"/>
  <sheetViews>
    <sheetView zoomScaleNormal="100" workbookViewId="0"/>
  </sheetViews>
  <sheetFormatPr baseColWidth="10" defaultColWidth="11.44140625" defaultRowHeight="10.199999999999999" x14ac:dyDescent="0.2"/>
  <cols>
    <col min="1" max="1" width="54" style="2" customWidth="1"/>
    <col min="2" max="2" width="41.6640625" style="309" customWidth="1"/>
    <col min="3" max="4" width="13.44140625" style="665" customWidth="1"/>
    <col min="5" max="5" width="13.6640625" style="2" customWidth="1"/>
    <col min="6" max="6" width="7.44140625" style="2" customWidth="1"/>
    <col min="7" max="7" width="8.109375" style="2" customWidth="1"/>
    <col min="8" max="16384" width="11.44140625" style="2"/>
  </cols>
  <sheetData>
    <row r="2" spans="1:4" s="624" customFormat="1" x14ac:dyDescent="0.2">
      <c r="A2" s="620" t="s">
        <v>1091</v>
      </c>
      <c r="B2" s="620"/>
      <c r="C2" s="620"/>
      <c r="D2" s="620"/>
    </row>
    <row r="4" spans="1:4" ht="30" customHeight="1" x14ac:dyDescent="0.2">
      <c r="A4" s="644" t="s">
        <v>1342</v>
      </c>
      <c r="B4" s="644" t="s">
        <v>1343</v>
      </c>
      <c r="C4" s="644" t="s">
        <v>1344</v>
      </c>
      <c r="D4" s="644" t="s">
        <v>1345</v>
      </c>
    </row>
    <row r="5" spans="1:4" s="24" customFormat="1" x14ac:dyDescent="0.2">
      <c r="A5" s="24" t="s">
        <v>4</v>
      </c>
      <c r="B5" s="624"/>
      <c r="C5" s="664"/>
      <c r="D5" s="664"/>
    </row>
    <row r="6" spans="1:4" x14ac:dyDescent="0.2">
      <c r="A6" s="2" t="s">
        <v>1346</v>
      </c>
      <c r="B6" s="309" t="s">
        <v>193</v>
      </c>
      <c r="C6" s="665" t="s">
        <v>1347</v>
      </c>
      <c r="D6" s="665" t="s">
        <v>1348</v>
      </c>
    </row>
    <row r="7" spans="1:4" x14ac:dyDescent="0.2">
      <c r="A7" s="2" t="s">
        <v>1349</v>
      </c>
      <c r="B7" s="309" t="s">
        <v>193</v>
      </c>
      <c r="C7" s="665" t="s">
        <v>1347</v>
      </c>
      <c r="D7" s="665" t="s">
        <v>1348</v>
      </c>
    </row>
    <row r="8" spans="1:4" x14ac:dyDescent="0.2">
      <c r="A8" s="2" t="s">
        <v>1350</v>
      </c>
      <c r="B8" s="309" t="s">
        <v>193</v>
      </c>
      <c r="C8" s="665" t="s">
        <v>1347</v>
      </c>
      <c r="D8" s="665" t="s">
        <v>1348</v>
      </c>
    </row>
    <row r="9" spans="1:4" x14ac:dyDescent="0.2">
      <c r="A9" s="2" t="s">
        <v>1351</v>
      </c>
      <c r="B9" s="309" t="s">
        <v>193</v>
      </c>
      <c r="C9" s="665" t="s">
        <v>1347</v>
      </c>
      <c r="D9" s="665" t="s">
        <v>1348</v>
      </c>
    </row>
    <row r="10" spans="1:4" x14ac:dyDescent="0.2">
      <c r="A10" s="2" t="s">
        <v>1352</v>
      </c>
      <c r="B10" s="309" t="s">
        <v>193</v>
      </c>
      <c r="C10" s="665" t="s">
        <v>1347</v>
      </c>
      <c r="D10" s="665" t="s">
        <v>1348</v>
      </c>
    </row>
    <row r="11" spans="1:4" x14ac:dyDescent="0.2">
      <c r="A11" s="2" t="s">
        <v>1353</v>
      </c>
      <c r="B11" s="309" t="s">
        <v>193</v>
      </c>
      <c r="C11" s="665" t="s">
        <v>1347</v>
      </c>
      <c r="D11" s="665" t="s">
        <v>1348</v>
      </c>
    </row>
    <row r="12" spans="1:4" x14ac:dyDescent="0.2">
      <c r="A12" s="2" t="s">
        <v>1354</v>
      </c>
      <c r="B12" s="309" t="s">
        <v>193</v>
      </c>
      <c r="C12" s="665" t="s">
        <v>1347</v>
      </c>
      <c r="D12" s="665" t="s">
        <v>1348</v>
      </c>
    </row>
    <row r="13" spans="1:4" x14ac:dyDescent="0.2">
      <c r="A13" s="2" t="s">
        <v>1355</v>
      </c>
      <c r="B13" s="309" t="s">
        <v>193</v>
      </c>
      <c r="C13" s="665" t="s">
        <v>1347</v>
      </c>
      <c r="D13" s="665" t="s">
        <v>1348</v>
      </c>
    </row>
    <row r="14" spans="1:4" x14ac:dyDescent="0.2">
      <c r="A14" s="2" t="s">
        <v>6</v>
      </c>
    </row>
    <row r="15" spans="1:4" x14ac:dyDescent="0.2">
      <c r="A15" s="2" t="s">
        <v>1356</v>
      </c>
      <c r="B15" s="309" t="s">
        <v>193</v>
      </c>
      <c r="C15" s="665" t="s">
        <v>1357</v>
      </c>
      <c r="D15" s="665" t="s">
        <v>1348</v>
      </c>
    </row>
    <row r="16" spans="1:4" s="24" customFormat="1" x14ac:dyDescent="0.2">
      <c r="A16" s="24" t="s">
        <v>7</v>
      </c>
      <c r="B16" s="624"/>
      <c r="C16" s="664"/>
      <c r="D16" s="664"/>
    </row>
    <row r="17" spans="1:4" x14ac:dyDescent="0.2">
      <c r="A17" s="2" t="s">
        <v>1358</v>
      </c>
      <c r="B17" s="309" t="s">
        <v>1359</v>
      </c>
      <c r="C17" s="665" t="s">
        <v>1347</v>
      </c>
      <c r="D17" s="665" t="s">
        <v>1348</v>
      </c>
    </row>
    <row r="18" spans="1:4" x14ac:dyDescent="0.2">
      <c r="A18" s="2" t="s">
        <v>1358</v>
      </c>
      <c r="B18" s="309" t="s">
        <v>1360</v>
      </c>
      <c r="C18" s="665" t="s">
        <v>1347</v>
      </c>
      <c r="D18" s="665" t="s">
        <v>1348</v>
      </c>
    </row>
    <row r="19" spans="1:4" x14ac:dyDescent="0.2">
      <c r="A19" s="2" t="s">
        <v>1358</v>
      </c>
      <c r="B19" s="309" t="s">
        <v>1361</v>
      </c>
      <c r="C19" s="665" t="s">
        <v>1347</v>
      </c>
      <c r="D19" s="665" t="s">
        <v>1348</v>
      </c>
    </row>
    <row r="20" spans="1:4" x14ac:dyDescent="0.2">
      <c r="A20" s="2" t="s">
        <v>1358</v>
      </c>
      <c r="B20" s="309" t="s">
        <v>1362</v>
      </c>
      <c r="C20" s="665" t="s">
        <v>1347</v>
      </c>
      <c r="D20" s="665" t="s">
        <v>1348</v>
      </c>
    </row>
    <row r="21" spans="1:4" x14ac:dyDescent="0.2">
      <c r="A21" s="2" t="s">
        <v>1358</v>
      </c>
      <c r="B21" s="309" t="s">
        <v>1363</v>
      </c>
      <c r="C21" s="665" t="s">
        <v>1347</v>
      </c>
      <c r="D21" s="665" t="s">
        <v>1348</v>
      </c>
    </row>
    <row r="22" spans="1:4" x14ac:dyDescent="0.2">
      <c r="A22" s="2" t="s">
        <v>1358</v>
      </c>
      <c r="B22" s="309" t="s">
        <v>1364</v>
      </c>
      <c r="C22" s="665" t="s">
        <v>1347</v>
      </c>
      <c r="D22" s="665" t="s">
        <v>1348</v>
      </c>
    </row>
    <row r="23" spans="1:4" s="24" customFormat="1" x14ac:dyDescent="0.2">
      <c r="A23" s="24" t="s">
        <v>8</v>
      </c>
      <c r="B23" s="624"/>
      <c r="C23" s="664"/>
      <c r="D23" s="664"/>
    </row>
    <row r="24" spans="1:4" x14ac:dyDescent="0.2">
      <c r="A24" s="2" t="s">
        <v>1365</v>
      </c>
      <c r="B24" s="309" t="s">
        <v>193</v>
      </c>
      <c r="C24" s="665" t="s">
        <v>1357</v>
      </c>
      <c r="D24" s="665" t="s">
        <v>1348</v>
      </c>
    </row>
    <row r="25" spans="1:4" s="24" customFormat="1" x14ac:dyDescent="0.2">
      <c r="A25" s="24" t="s">
        <v>9</v>
      </c>
      <c r="B25" s="624"/>
      <c r="C25" s="664"/>
      <c r="D25" s="664"/>
    </row>
    <row r="26" spans="1:4" x14ac:dyDescent="0.2">
      <c r="A26" s="2" t="s">
        <v>1366</v>
      </c>
      <c r="B26" s="309" t="s">
        <v>1367</v>
      </c>
      <c r="C26" s="665" t="s">
        <v>1347</v>
      </c>
      <c r="D26" s="665" t="s">
        <v>1368</v>
      </c>
    </row>
    <row r="27" spans="1:4" x14ac:dyDescent="0.2">
      <c r="A27" s="2" t="s">
        <v>1366</v>
      </c>
      <c r="B27" s="309" t="s">
        <v>1369</v>
      </c>
      <c r="C27" s="665" t="s">
        <v>1347</v>
      </c>
      <c r="D27" s="665" t="s">
        <v>1368</v>
      </c>
    </row>
    <row r="28" spans="1:4" x14ac:dyDescent="0.2">
      <c r="A28" s="2" t="s">
        <v>1366</v>
      </c>
      <c r="B28" s="309" t="s">
        <v>1370</v>
      </c>
      <c r="C28" s="665" t="s">
        <v>1347</v>
      </c>
      <c r="D28" s="665" t="s">
        <v>1368</v>
      </c>
    </row>
    <row r="29" spans="1:4" s="24" customFormat="1" x14ac:dyDescent="0.2">
      <c r="A29" s="24" t="s">
        <v>10</v>
      </c>
      <c r="B29" s="624"/>
      <c r="C29" s="664"/>
      <c r="D29" s="664"/>
    </row>
    <row r="30" spans="1:4" x14ac:dyDescent="0.2">
      <c r="A30" s="2" t="s">
        <v>1371</v>
      </c>
      <c r="B30" s="309" t="s">
        <v>193</v>
      </c>
      <c r="C30" s="665" t="s">
        <v>1347</v>
      </c>
      <c r="D30" s="665" t="s">
        <v>1348</v>
      </c>
    </row>
    <row r="31" spans="1:4" ht="20.399999999999999" x14ac:dyDescent="0.2">
      <c r="A31" s="2" t="s">
        <v>1372</v>
      </c>
      <c r="B31" s="309" t="s">
        <v>1373</v>
      </c>
      <c r="C31" s="665" t="s">
        <v>1347</v>
      </c>
      <c r="D31" s="665" t="s">
        <v>1368</v>
      </c>
    </row>
    <row r="32" spans="1:4" ht="20.399999999999999" x14ac:dyDescent="0.2">
      <c r="A32" s="2" t="s">
        <v>1366</v>
      </c>
      <c r="B32" s="309" t="s">
        <v>1374</v>
      </c>
      <c r="C32" s="665" t="s">
        <v>1347</v>
      </c>
      <c r="D32" s="665" t="s">
        <v>1368</v>
      </c>
    </row>
    <row r="33" spans="1:4" x14ac:dyDescent="0.2">
      <c r="A33" s="2" t="s">
        <v>1366</v>
      </c>
      <c r="B33" s="309" t="s">
        <v>1375</v>
      </c>
      <c r="C33" s="665" t="s">
        <v>1347</v>
      </c>
      <c r="D33" s="665" t="s">
        <v>1368</v>
      </c>
    </row>
    <row r="34" spans="1:4" x14ac:dyDescent="0.2">
      <c r="A34" s="2" t="s">
        <v>1366</v>
      </c>
      <c r="B34" s="309" t="s">
        <v>1376</v>
      </c>
      <c r="C34" s="665" t="s">
        <v>1347</v>
      </c>
      <c r="D34" s="665" t="s">
        <v>1368</v>
      </c>
    </row>
    <row r="35" spans="1:4" x14ac:dyDescent="0.2">
      <c r="A35" s="2" t="s">
        <v>1366</v>
      </c>
      <c r="B35" s="309" t="s">
        <v>1377</v>
      </c>
      <c r="C35" s="665" t="s">
        <v>1347</v>
      </c>
      <c r="D35" s="665" t="s">
        <v>1368</v>
      </c>
    </row>
    <row r="36" spans="1:4" x14ac:dyDescent="0.2">
      <c r="A36" s="2" t="s">
        <v>1378</v>
      </c>
      <c r="B36" s="309" t="s">
        <v>193</v>
      </c>
      <c r="C36" s="665" t="s">
        <v>1379</v>
      </c>
      <c r="D36" s="665" t="s">
        <v>1348</v>
      </c>
    </row>
    <row r="37" spans="1:4" ht="20.399999999999999" x14ac:dyDescent="0.2">
      <c r="A37" s="2" t="s">
        <v>1372</v>
      </c>
      <c r="B37" s="309" t="s">
        <v>1380</v>
      </c>
      <c r="C37" s="665" t="s">
        <v>1347</v>
      </c>
      <c r="D37" s="665" t="s">
        <v>1368</v>
      </c>
    </row>
    <row r="38" spans="1:4" ht="20.399999999999999" x14ac:dyDescent="0.2">
      <c r="A38" s="2" t="s">
        <v>1372</v>
      </c>
      <c r="B38" s="309" t="s">
        <v>1381</v>
      </c>
      <c r="C38" s="665" t="s">
        <v>1347</v>
      </c>
      <c r="D38" s="665" t="s">
        <v>1368</v>
      </c>
    </row>
    <row r="39" spans="1:4" s="24" customFormat="1" x14ac:dyDescent="0.2">
      <c r="A39" s="24" t="s">
        <v>134</v>
      </c>
      <c r="B39" s="624"/>
      <c r="C39" s="664"/>
      <c r="D39" s="664"/>
    </row>
    <row r="40" spans="1:4" x14ac:dyDescent="0.2">
      <c r="A40" s="2" t="s">
        <v>1382</v>
      </c>
      <c r="B40" s="309" t="s">
        <v>193</v>
      </c>
      <c r="C40" s="665" t="s">
        <v>1379</v>
      </c>
      <c r="D40" s="665" t="s">
        <v>1348</v>
      </c>
    </row>
    <row r="41" spans="1:4" s="24" customFormat="1" x14ac:dyDescent="0.2">
      <c r="A41" s="24" t="s">
        <v>12</v>
      </c>
      <c r="B41" s="624"/>
      <c r="C41" s="664"/>
      <c r="D41" s="664"/>
    </row>
    <row r="42" spans="1:4" x14ac:dyDescent="0.2">
      <c r="A42" s="2" t="s">
        <v>1383</v>
      </c>
      <c r="B42" s="309" t="s">
        <v>1384</v>
      </c>
      <c r="C42" s="665" t="s">
        <v>1347</v>
      </c>
      <c r="D42" s="665" t="s">
        <v>1348</v>
      </c>
    </row>
    <row r="43" spans="1:4" ht="20.399999999999999" x14ac:dyDescent="0.2">
      <c r="A43" s="2" t="s">
        <v>1383</v>
      </c>
      <c r="B43" s="309" t="s">
        <v>1385</v>
      </c>
      <c r="C43" s="665" t="s">
        <v>1347</v>
      </c>
      <c r="D43" s="665" t="s">
        <v>1348</v>
      </c>
    </row>
    <row r="44" spans="1:4" s="24" customFormat="1" x14ac:dyDescent="0.2">
      <c r="A44" s="24" t="s">
        <v>13</v>
      </c>
      <c r="B44" s="624"/>
      <c r="C44" s="664"/>
      <c r="D44" s="664"/>
    </row>
    <row r="45" spans="1:4" x14ac:dyDescent="0.2">
      <c r="A45" s="2" t="s">
        <v>1386</v>
      </c>
      <c r="B45" s="309" t="s">
        <v>193</v>
      </c>
      <c r="C45" s="665" t="s">
        <v>1347</v>
      </c>
      <c r="D45" s="665" t="s">
        <v>1348</v>
      </c>
    </row>
    <row r="46" spans="1:4" s="24" customFormat="1" x14ac:dyDescent="0.2">
      <c r="A46" s="24" t="s">
        <v>47</v>
      </c>
      <c r="B46" s="624"/>
      <c r="C46" s="664"/>
      <c r="D46" s="664"/>
    </row>
    <row r="47" spans="1:4" x14ac:dyDescent="0.2">
      <c r="A47" s="2" t="s">
        <v>1387</v>
      </c>
      <c r="B47" s="309" t="s">
        <v>193</v>
      </c>
      <c r="C47" s="665" t="s">
        <v>1347</v>
      </c>
      <c r="D47" s="665" t="s">
        <v>1348</v>
      </c>
    </row>
    <row r="48" spans="1:4" s="24" customFormat="1" x14ac:dyDescent="0.2">
      <c r="A48" s="24" t="s">
        <v>135</v>
      </c>
      <c r="B48" s="624"/>
      <c r="C48" s="664"/>
      <c r="D48" s="664"/>
    </row>
    <row r="49" spans="1:5" x14ac:dyDescent="0.2">
      <c r="A49" s="2" t="s">
        <v>1388</v>
      </c>
      <c r="B49" s="309" t="s">
        <v>193</v>
      </c>
      <c r="C49" s="665" t="s">
        <v>1347</v>
      </c>
      <c r="D49" s="665" t="s">
        <v>1348</v>
      </c>
    </row>
    <row r="50" spans="1:5" x14ac:dyDescent="0.2">
      <c r="A50" s="2" t="s">
        <v>1389</v>
      </c>
      <c r="B50" s="309" t="s">
        <v>193</v>
      </c>
      <c r="C50" s="665" t="s">
        <v>1347</v>
      </c>
      <c r="D50" s="665" t="s">
        <v>1348</v>
      </c>
    </row>
    <row r="51" spans="1:5" x14ac:dyDescent="0.2">
      <c r="A51" s="2" t="s">
        <v>1390</v>
      </c>
      <c r="B51" s="309" t="s">
        <v>193</v>
      </c>
      <c r="C51" s="665" t="s">
        <v>1347</v>
      </c>
      <c r="D51" s="665" t="s">
        <v>1348</v>
      </c>
    </row>
    <row r="52" spans="1:5" x14ac:dyDescent="0.2">
      <c r="A52" s="2" t="s">
        <v>1391</v>
      </c>
      <c r="B52" s="309" t="s">
        <v>193</v>
      </c>
      <c r="C52" s="665" t="s">
        <v>1347</v>
      </c>
      <c r="D52" s="665" t="s">
        <v>1348</v>
      </c>
    </row>
    <row r="53" spans="1:5" x14ac:dyDescent="0.2">
      <c r="A53" s="2" t="s">
        <v>1392</v>
      </c>
      <c r="B53" s="309" t="s">
        <v>193</v>
      </c>
      <c r="C53" s="665" t="s">
        <v>1347</v>
      </c>
      <c r="D53" s="665" t="s">
        <v>1348</v>
      </c>
    </row>
    <row r="54" spans="1:5" x14ac:dyDescent="0.2">
      <c r="A54" s="2" t="s">
        <v>1393</v>
      </c>
      <c r="B54" s="309" t="s">
        <v>193</v>
      </c>
      <c r="C54" s="665" t="s">
        <v>1357</v>
      </c>
      <c r="D54" s="665" t="s">
        <v>1348</v>
      </c>
    </row>
    <row r="55" spans="1:5" x14ac:dyDescent="0.2">
      <c r="A55" s="2" t="s">
        <v>1391</v>
      </c>
      <c r="B55" s="309" t="s">
        <v>193</v>
      </c>
      <c r="C55" s="665" t="s">
        <v>1347</v>
      </c>
      <c r="D55" s="665" t="s">
        <v>1348</v>
      </c>
    </row>
    <row r="56" spans="1:5" x14ac:dyDescent="0.2">
      <c r="A56" s="2" t="s">
        <v>1392</v>
      </c>
      <c r="B56" s="309" t="s">
        <v>193</v>
      </c>
      <c r="C56" s="665" t="s">
        <v>1347</v>
      </c>
      <c r="D56" s="665" t="s">
        <v>1348</v>
      </c>
    </row>
    <row r="57" spans="1:5" x14ac:dyDescent="0.2">
      <c r="A57" s="2" t="s">
        <v>1393</v>
      </c>
      <c r="B57" s="309" t="s">
        <v>193</v>
      </c>
      <c r="C57" s="665" t="s">
        <v>1357</v>
      </c>
      <c r="D57" s="665" t="s">
        <v>1348</v>
      </c>
    </row>
    <row r="58" spans="1:5" s="24" customFormat="1" x14ac:dyDescent="0.2">
      <c r="A58" s="24" t="s">
        <v>136</v>
      </c>
      <c r="B58" s="624"/>
      <c r="C58" s="664"/>
      <c r="D58" s="664"/>
    </row>
    <row r="59" spans="1:5" x14ac:dyDescent="0.2">
      <c r="A59" s="2" t="s">
        <v>1394</v>
      </c>
      <c r="B59" s="309" t="s">
        <v>193</v>
      </c>
      <c r="C59" s="665" t="s">
        <v>1347</v>
      </c>
      <c r="D59" s="665" t="s">
        <v>1348</v>
      </c>
    </row>
    <row r="60" spans="1:5" x14ac:dyDescent="0.2">
      <c r="A60" s="2" t="s">
        <v>1395</v>
      </c>
      <c r="B60" s="309" t="s">
        <v>193</v>
      </c>
      <c r="C60" s="665" t="s">
        <v>1357</v>
      </c>
      <c r="D60" s="665" t="s">
        <v>1348</v>
      </c>
    </row>
    <row r="61" spans="1:5" x14ac:dyDescent="0.2">
      <c r="A61" s="2" t="s">
        <v>1396</v>
      </c>
      <c r="B61" s="309" t="s">
        <v>193</v>
      </c>
      <c r="C61" s="665" t="s">
        <v>1357</v>
      </c>
      <c r="D61" s="665" t="s">
        <v>1348</v>
      </c>
    </row>
    <row r="63" spans="1:5" ht="24.75" customHeight="1" x14ac:dyDescent="0.2">
      <c r="A63" s="638" t="s">
        <v>1397</v>
      </c>
      <c r="B63" s="638"/>
      <c r="C63" s="638"/>
      <c r="D63" s="638"/>
    </row>
    <row r="64" spans="1:5" ht="11.25" customHeight="1" x14ac:dyDescent="0.2">
      <c r="A64" s="623" t="s">
        <v>1398</v>
      </c>
      <c r="B64" s="623"/>
      <c r="C64" s="623"/>
      <c r="D64" s="623"/>
      <c r="E64" s="623"/>
    </row>
    <row r="65" spans="1:5" ht="11.25" customHeight="1" x14ac:dyDescent="0.2">
      <c r="A65" s="623" t="s">
        <v>1399</v>
      </c>
      <c r="B65" s="623"/>
      <c r="C65" s="623"/>
      <c r="D65" s="623"/>
      <c r="E65" s="623"/>
    </row>
    <row r="66" spans="1:5" ht="11.25" customHeight="1" x14ac:dyDescent="0.2">
      <c r="A66" s="623" t="s">
        <v>1313</v>
      </c>
      <c r="B66" s="623"/>
      <c r="C66" s="623"/>
      <c r="D66" s="623"/>
      <c r="E66" s="623"/>
    </row>
    <row r="67" spans="1:5" x14ac:dyDescent="0.2">
      <c r="A67" s="623" t="s">
        <v>1323</v>
      </c>
      <c r="B67" s="623"/>
      <c r="C67" s="623"/>
      <c r="D67" s="623"/>
      <c r="E67" s="623"/>
    </row>
  </sheetData>
  <mergeCells count="6">
    <mergeCell ref="A2:D2"/>
    <mergeCell ref="A63:D63"/>
    <mergeCell ref="A64:E64"/>
    <mergeCell ref="A65:E65"/>
    <mergeCell ref="A66:E66"/>
    <mergeCell ref="A67:E67"/>
  </mergeCells>
  <pageMargins left="0.3" right="0.70866141732283472" top="0.74803149606299213" bottom="0.74803149606299213" header="0.31496062992125984" footer="0.31496062992125984"/>
  <pageSetup paperSize="14" scale="75"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C1F459-FF7D-4884-BBCB-3AFBAB1C38F1}">
  <sheetPr codeName="Hoja91">
    <tabColor theme="8"/>
  </sheetPr>
  <dimension ref="A2:A8"/>
  <sheetViews>
    <sheetView workbookViewId="0">
      <selection activeCell="A7" sqref="A7"/>
    </sheetView>
  </sheetViews>
  <sheetFormatPr baseColWidth="10" defaultColWidth="11.44140625" defaultRowHeight="10.199999999999999" x14ac:dyDescent="0.2"/>
  <cols>
    <col min="1" max="16384" width="11.44140625" style="24"/>
  </cols>
  <sheetData>
    <row r="2" spans="1:1" x14ac:dyDescent="0.2">
      <c r="A2" s="24" t="s">
        <v>1083</v>
      </c>
    </row>
    <row r="4" spans="1:1" x14ac:dyDescent="0.2">
      <c r="A4" s="24" t="s">
        <v>1092</v>
      </c>
    </row>
    <row r="5" spans="1:1" x14ac:dyDescent="0.2">
      <c r="A5" s="2"/>
    </row>
    <row r="6" spans="1:1" x14ac:dyDescent="0.2">
      <c r="A6" s="1709" t="s">
        <v>1093</v>
      </c>
    </row>
    <row r="7" spans="1:1" x14ac:dyDescent="0.2">
      <c r="A7" s="1709" t="s">
        <v>1094</v>
      </c>
    </row>
    <row r="8" spans="1:1" x14ac:dyDescent="0.2">
      <c r="A8" s="2"/>
    </row>
  </sheetData>
  <hyperlinks>
    <hyperlink ref="A6" location="'3.1.2.2-01'!A1" display="CUADRO 3.1.2.2.-01: NÚMERO DE INMUEBLES Y ACTIVIDADES REALIZADAS EN EL DÍA DEL PATRIMONIO CULTURAL EN EL PAÍS. 2013/1" xr:uid="{1235AE42-FAE6-4EDB-9BB1-E5AFE50FF0E4}"/>
    <hyperlink ref="A7" location="'3.1.2.2-02'!A1" display="CUADRO 3.1.2.2-02: NÚMERO DE VISITAS EN EL DÍA DEL PATRIMONIO CULTURAL EN LA REGIÓN METROPOLITANA Y OTRAS REGIONES DEL PAÍS. 2013/1" xr:uid="{9603EE0D-FC46-4816-AF24-7C719D31EC7D}"/>
  </hyperlinks>
  <pageMargins left="0.7" right="0.7" top="0.75" bottom="0.75" header="0.3" footer="0.3"/>
  <pageSetup paperSize="14"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01F59-AE65-4CD1-8B8E-767BCB3E7355}">
  <sheetPr codeName="Hoja92"/>
  <dimension ref="A2:B12"/>
  <sheetViews>
    <sheetView workbookViewId="0">
      <selection activeCell="D4" sqref="D4"/>
    </sheetView>
  </sheetViews>
  <sheetFormatPr baseColWidth="10" defaultColWidth="11.44140625" defaultRowHeight="10.199999999999999" x14ac:dyDescent="0.2"/>
  <cols>
    <col min="1" max="1" width="49.44140625" style="2" customWidth="1"/>
    <col min="2" max="16384" width="11.44140625" style="2"/>
  </cols>
  <sheetData>
    <row r="2" spans="1:2" s="624" customFormat="1" ht="41.25" customHeight="1" x14ac:dyDescent="0.2">
      <c r="A2" s="45" t="s">
        <v>1400</v>
      </c>
      <c r="B2" s="45"/>
    </row>
    <row r="4" spans="1:2" ht="21" customHeight="1" x14ac:dyDescent="0.2">
      <c r="A4" s="621" t="s">
        <v>1401</v>
      </c>
      <c r="B4" s="621" t="s">
        <v>42</v>
      </c>
    </row>
    <row r="5" spans="1:2" s="24" customFormat="1" x14ac:dyDescent="0.2">
      <c r="A5" s="24" t="s">
        <v>3</v>
      </c>
      <c r="B5" s="24">
        <f>SUM(B6:B8)</f>
        <v>362</v>
      </c>
    </row>
    <row r="6" spans="1:2" ht="12" customHeight="1" x14ac:dyDescent="0.2">
      <c r="A6" s="2" t="s">
        <v>1402</v>
      </c>
      <c r="B6" s="2">
        <v>221</v>
      </c>
    </row>
    <row r="7" spans="1:2" ht="12" customHeight="1" x14ac:dyDescent="0.2">
      <c r="A7" s="2" t="s">
        <v>1403</v>
      </c>
      <c r="B7" s="2">
        <v>96</v>
      </c>
    </row>
    <row r="8" spans="1:2" ht="12" customHeight="1" x14ac:dyDescent="0.2">
      <c r="A8" s="2" t="s">
        <v>1404</v>
      </c>
      <c r="B8" s="2">
        <v>45</v>
      </c>
    </row>
    <row r="9" spans="1:2" ht="6" customHeight="1" x14ac:dyDescent="0.2"/>
    <row r="10" spans="1:2" ht="25.5" customHeight="1" x14ac:dyDescent="0.2">
      <c r="A10" s="638" t="s">
        <v>1405</v>
      </c>
      <c r="B10" s="638"/>
    </row>
    <row r="11" spans="1:2" ht="10.5" customHeight="1" x14ac:dyDescent="0.2">
      <c r="A11" s="623" t="s">
        <v>1323</v>
      </c>
      <c r="B11" s="623"/>
    </row>
    <row r="12" spans="1:2" ht="10.5" customHeight="1" x14ac:dyDescent="0.2"/>
  </sheetData>
  <mergeCells count="3">
    <mergeCell ref="A2:B2"/>
    <mergeCell ref="A10:B10"/>
    <mergeCell ref="A11:B11"/>
  </mergeCells>
  <pageMargins left="0.70866141732283472" right="0.70866141732283472" top="0.74803149606299213" bottom="0.74803149606299213" header="0.31496062992125984" footer="0.31496062992125984"/>
  <pageSetup paperSize="14"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7FADF-C394-4C04-A30F-E898A67C0596}">
  <sheetPr codeName="Hoja93"/>
  <dimension ref="A2:B56"/>
  <sheetViews>
    <sheetView workbookViewId="0"/>
  </sheetViews>
  <sheetFormatPr baseColWidth="10" defaultColWidth="11.44140625" defaultRowHeight="12.6" x14ac:dyDescent="0.2"/>
  <cols>
    <col min="1" max="1" width="42.5546875" style="633" customWidth="1"/>
    <col min="2" max="2" width="14.109375" style="633" customWidth="1"/>
    <col min="3" max="3" width="11.33203125" style="633" customWidth="1"/>
    <col min="4" max="4" width="12.6640625" style="633" customWidth="1"/>
    <col min="5" max="6" width="12.44140625" style="633" customWidth="1"/>
    <col min="7" max="7" width="10.33203125" style="633" customWidth="1"/>
    <col min="8" max="16384" width="11.44140625" style="633"/>
  </cols>
  <sheetData>
    <row r="2" spans="1:2" ht="45" customHeight="1" x14ac:dyDescent="0.2">
      <c r="A2" s="627" t="s">
        <v>1406</v>
      </c>
      <c r="B2" s="627"/>
    </row>
    <row r="3" spans="1:2" ht="12" customHeight="1" x14ac:dyDescent="0.2"/>
    <row r="4" spans="1:2" ht="24" customHeight="1" x14ac:dyDescent="0.2">
      <c r="A4" s="629" t="s">
        <v>1407</v>
      </c>
      <c r="B4" s="629" t="s">
        <v>42</v>
      </c>
    </row>
    <row r="5" spans="1:2" s="628" customFormat="1" x14ac:dyDescent="0.2">
      <c r="A5" s="628" t="s">
        <v>3</v>
      </c>
      <c r="B5" s="666">
        <f>SUM(B6:B7)</f>
        <v>396571</v>
      </c>
    </row>
    <row r="6" spans="1:2" x14ac:dyDescent="0.2">
      <c r="A6" s="633" t="s">
        <v>1408</v>
      </c>
      <c r="B6" s="667">
        <v>249235</v>
      </c>
    </row>
    <row r="7" spans="1:2" x14ac:dyDescent="0.2">
      <c r="A7" s="633" t="s">
        <v>1409</v>
      </c>
      <c r="B7" s="667">
        <v>147336</v>
      </c>
    </row>
    <row r="8" spans="1:2" ht="7.5" customHeight="1" x14ac:dyDescent="0.2"/>
    <row r="9" spans="1:2" ht="23.25" customHeight="1" x14ac:dyDescent="0.2">
      <c r="A9" s="668" t="s">
        <v>1405</v>
      </c>
      <c r="B9" s="668"/>
    </row>
    <row r="10" spans="1:2" x14ac:dyDescent="0.2">
      <c r="A10" s="636" t="s">
        <v>1323</v>
      </c>
      <c r="B10" s="636"/>
    </row>
    <row r="12" spans="1:2" ht="27.75" customHeight="1" x14ac:dyDescent="0.2"/>
    <row r="14" spans="1:2" ht="15.75" customHeight="1" x14ac:dyDescent="0.2"/>
    <row r="15" spans="1:2" ht="25.5" customHeight="1" x14ac:dyDescent="0.2"/>
    <row r="17" ht="23.25" customHeight="1" x14ac:dyDescent="0.2"/>
    <row r="27" ht="17.25" customHeight="1" x14ac:dyDescent="0.2"/>
    <row r="29" ht="16.5" customHeight="1" x14ac:dyDescent="0.2"/>
    <row r="30" ht="15" customHeight="1" x14ac:dyDescent="0.2"/>
    <row r="37" ht="6.75" customHeight="1" x14ac:dyDescent="0.2"/>
    <row r="38" ht="12" customHeight="1" x14ac:dyDescent="0.2"/>
    <row r="49" ht="16.5" customHeight="1" x14ac:dyDescent="0.2"/>
    <row r="50" ht="16.5" customHeight="1" x14ac:dyDescent="0.2"/>
    <row r="51" ht="16.5" customHeight="1" x14ac:dyDescent="0.2"/>
    <row r="53" ht="12" customHeight="1" x14ac:dyDescent="0.2"/>
    <row r="55" ht="5.25" customHeight="1" x14ac:dyDescent="0.2"/>
    <row r="56" ht="25.5" customHeight="1" x14ac:dyDescent="0.2"/>
  </sheetData>
  <mergeCells count="3">
    <mergeCell ref="A2:B2"/>
    <mergeCell ref="A9:B9"/>
    <mergeCell ref="A10:B10"/>
  </mergeCells>
  <pageMargins left="0.39370078740157483" right="0.39370078740157483" top="0.59055118110236227" bottom="0.39370078740157483" header="0" footer="0"/>
  <pageSetup paperSize="14" pageOrder="overThenDown" orientation="portrait"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8E5901-21F2-4B20-AD58-60BD89B74E4F}">
  <sheetPr codeName="Hoja94">
    <tabColor theme="8"/>
  </sheetPr>
  <dimension ref="A2:A25"/>
  <sheetViews>
    <sheetView workbookViewId="0">
      <selection activeCell="A24" sqref="A24"/>
    </sheetView>
  </sheetViews>
  <sheetFormatPr baseColWidth="10" defaultColWidth="11.44140625" defaultRowHeight="10.199999999999999" x14ac:dyDescent="0.2"/>
  <cols>
    <col min="1" max="16384" width="11.44140625" style="24"/>
  </cols>
  <sheetData>
    <row r="2" spans="1:1" x14ac:dyDescent="0.2">
      <c r="A2" s="24" t="s">
        <v>1083</v>
      </c>
    </row>
    <row r="4" spans="1:1" x14ac:dyDescent="0.2">
      <c r="A4" s="24" t="s">
        <v>1095</v>
      </c>
    </row>
    <row r="5" spans="1:1" x14ac:dyDescent="0.2">
      <c r="A5" s="2"/>
    </row>
    <row r="6" spans="1:1" x14ac:dyDescent="0.2">
      <c r="A6" s="1709" t="s">
        <v>1096</v>
      </c>
    </row>
    <row r="7" spans="1:1" x14ac:dyDescent="0.2">
      <c r="A7" s="1709" t="s">
        <v>1097</v>
      </c>
    </row>
    <row r="8" spans="1:1" x14ac:dyDescent="0.2">
      <c r="A8" s="1709" t="s">
        <v>1098</v>
      </c>
    </row>
    <row r="9" spans="1:1" x14ac:dyDescent="0.2">
      <c r="A9" s="1709" t="s">
        <v>1099</v>
      </c>
    </row>
    <row r="10" spans="1:1" x14ac:dyDescent="0.2">
      <c r="A10" s="1709" t="s">
        <v>1100</v>
      </c>
    </row>
    <row r="11" spans="1:1" x14ac:dyDescent="0.2">
      <c r="A11" s="1709" t="s">
        <v>1101</v>
      </c>
    </row>
    <row r="12" spans="1:1" x14ac:dyDescent="0.2">
      <c r="A12" s="1709" t="s">
        <v>1102</v>
      </c>
    </row>
    <row r="13" spans="1:1" x14ac:dyDescent="0.2">
      <c r="A13" s="1709" t="s">
        <v>1103</v>
      </c>
    </row>
    <row r="14" spans="1:1" x14ac:dyDescent="0.2">
      <c r="A14" s="1709" t="s">
        <v>1104</v>
      </c>
    </row>
    <row r="15" spans="1:1" x14ac:dyDescent="0.2">
      <c r="A15" s="1709" t="s">
        <v>1105</v>
      </c>
    </row>
    <row r="16" spans="1:1" x14ac:dyDescent="0.2">
      <c r="A16" s="1709" t="s">
        <v>1106</v>
      </c>
    </row>
    <row r="17" spans="1:1" x14ac:dyDescent="0.2">
      <c r="A17" s="1709" t="s">
        <v>1107</v>
      </c>
    </row>
    <row r="18" spans="1:1" x14ac:dyDescent="0.2">
      <c r="A18" s="1709" t="s">
        <v>1108</v>
      </c>
    </row>
    <row r="19" spans="1:1" x14ac:dyDescent="0.2">
      <c r="A19" s="1709" t="s">
        <v>1109</v>
      </c>
    </row>
    <row r="20" spans="1:1" x14ac:dyDescent="0.2">
      <c r="A20" s="1709" t="s">
        <v>1110</v>
      </c>
    </row>
    <row r="21" spans="1:1" x14ac:dyDescent="0.2">
      <c r="A21" s="1709" t="s">
        <v>1111</v>
      </c>
    </row>
    <row r="22" spans="1:1" x14ac:dyDescent="0.2">
      <c r="A22" s="1709" t="s">
        <v>1112</v>
      </c>
    </row>
    <row r="23" spans="1:1" x14ac:dyDescent="0.2">
      <c r="A23" s="1709" t="s">
        <v>1113</v>
      </c>
    </row>
    <row r="24" spans="1:1" x14ac:dyDescent="0.2">
      <c r="A24" s="1709" t="s">
        <v>1114</v>
      </c>
    </row>
    <row r="25" spans="1:1" x14ac:dyDescent="0.2">
      <c r="A25" s="2"/>
    </row>
  </sheetData>
  <hyperlinks>
    <hyperlink ref="A6" location="'3.1.2.3-01'!A1" display="CUADRO 3.1.2.3-01: NÚMERO DE BENEFICIARIOS DE PROGRAMA DE EDUCACIÓN AMBIENTAL (EDAM) DENTRO Y FUERA DE LAS ÁREAS SILVESTRES PROTEGIDAS (ASP), SEGÚN REGIÓN. 2012-2013" xr:uid="{E7259985-4286-44CF-8C28-51E4D8E96352}"/>
    <hyperlink ref="A7" location="'3.1.2.3-02'!A1" display="CUADRO 3.1.2.3-02: DISTRIBUCIÓN NACIONAL DEL SISTEMA NACIONAL DE ÁREAS SILVESTRES PROTEGIDAS DEL ESTADO (SNASPE) Y SUPERFICIE (HÁ). 2013" xr:uid="{D6EA7666-9D54-434D-B3F7-2CD53589820B}"/>
    <hyperlink ref="A8" location="'3.1.2.3-03'!A1" display="CUADRO 3.1.2.3-03: NÓMINA Y SUPERFICIE (HÁ) DE LOS PARQUES NACIONALES SEGÚN REGIÓN. 2013" xr:uid="{15889DE0-26C0-44CC-BA2C-3349DFB2D1CD}"/>
    <hyperlink ref="A9" location="'3.1.2.3-04'!A1" display="CUADRO 3.1.2.3-04: NÓMINA Y SUPERFICIE (HÁ) DE LAS RESERVAS NACIONALES SEGÚN REGIÓN. 2013" xr:uid="{7763E50B-7FBC-4896-9E20-C483B183FC46}"/>
    <hyperlink ref="A10" location="'3.1.2.3-05'!A1" display="CUADRO 3.1.2.3-05: NÓMINA Y SUPERFICIE (HÁ) DE MONUMENTOS NATURALES SEGÚN REGIÓN. 2013" xr:uid="{A4E8D1D6-1341-46A9-A428-9C153A2A195E}"/>
    <hyperlink ref="A11" location="'3.1.2.3-06'!A1" display="CUADRO 3.1.2.3-06: NÚMERO Y PORCENTAJE DE SUPERFICIE DE RESERVAS DE LA BIÓSFERA EN HECTÁREAS, PRESENTES EN CHILE POR PERTENENCIA O NO PERTENENCIA A LAS ÁREAS SILVESTRES PROTEGIDAS (ASP), SEGÚN TIPO DE RESERVA DE LA BIÓSFERA. 2013" xr:uid="{71E7820E-13F8-4B8D-BA0C-742DEB06870C}"/>
    <hyperlink ref="A12" location="'3.1.2.3-07'!A1" display="CUADRO 3.1.2.3-07 ANTECEDENTES GENERALES DE LAS RESERVAS DE LA BIÓSFERA PRESENTES EN CHILE POR  AÑO DE CREACIÓN, FECHA DE MODIFICACIÓN Y SUPERFICIE (HÁ), SEGÚN REGIÓN. 2013" xr:uid="{870D7EC9-E693-4003-8EBF-027552486818}"/>
    <hyperlink ref="A13" location="'3.1.2.3-08'!A1" display="CUADRO 3.1.2.3-08: ANTECEDENTES GENERALES DE LOS SITIOS DE LA CONVENCIÓN RAMSAR PRESENTES EN CHILE, POR PERTENENCIA O NO PERTENENCIA A LAS ÁREAS SILVESTRES PROTEGIDAS (ASP), POR AÑO DE CREACIÓN Y SUPERFICIE, SEGÚN REGIÓN. 2013" xr:uid="{3B322DCA-E599-4E70-959C-1EAC2759F900}"/>
    <hyperlink ref="A14" location="'3.1.2.3-09'!A1" display="CUADRO 3.1.2.3-09: ESPECIES PRIORITARIAS EN FLORA, SUJETAS AL PLAN NACIONAL DE CONSERVACIÓN (PNC) POR AÑO DE ELABORACIÓN Y ESTADO DE CONSERVACIÓN, SEGÚN REGIÓN DE SECRETARÍA TÉCNICA. 2013" xr:uid="{947AAEA3-6545-46CC-AD64-EA4E1073A4D2}"/>
    <hyperlink ref="A15" location="'3.1.2.3-10'!A1" display="CUADRO 3.1.2.3-10: ESPECIES PRIORITARIAS EN FAUNA, SUJETAS AL PLAN NACIONAL DE CONSERVACIÓN (PNC) POR AÑO DE ELABORACIÓN Y ESTADO DE CONSERVACIÓN, SEGÚN REGIÓN DE SECRETARÍA TÉCNICA. 2013" xr:uid="{5332FCDF-11BB-4CFB-A295-7033EAE12DA1}"/>
    <hyperlink ref="A16" location="'3.1.2.3-11'!A1" display="CUADRO 3.1.2.3.11: RECURSOS CULTURALES SEGÚN LAS ÁREAS SILVESTRES PROTEGIDAS (ASP). 2013" xr:uid="{D44D35AF-B61A-4980-85DB-743B83C126DE}"/>
    <hyperlink ref="A17" location="'3.1.2.3-12'!A1" display="CUADRO 3.1.2.3-12: NÚMERO DE SANTUARIOS DE LA NATURALEZA DECLARADOS POR DECRETO, SEGÚN REGIÓN. 2013" xr:uid="{8196953D-0C4B-4A31-89E0-92952B17FC85}"/>
    <hyperlink ref="A18" location="'3.1.2.3-13'!A1" display="CUADRO 3.1.2.3-13: NÚMERO DE SANTUARIOS DE LA NATURALEZA DECLARADOS POR DECRETO (HISTORICO, DESDE 1925), SEGÚN REGIÓN. 2013" xr:uid="{6F89105A-FD78-446B-BD38-1020B69F1689}"/>
    <hyperlink ref="A19" location="'3.1.2.3-14'!A1" display="CUADRO 3.1.2.3-14: NÓMINA DE SANTUARIOS DE LA NATURALEZA DECLARADOS, SEGÚN REGIÓN. 2013" xr:uid="{B55A4B52-3AC9-4D56-B6C4-4F6C543B1ED1}"/>
    <hyperlink ref="A20" location="'3.1.2.3-15'!A1" display="CUADRO 3.1.2.3-15: VISITANTES TOTALES SEGÚN REGIÓN Y UNIDAD DEL SISTEMA NACIONAL DE ÁREAS SILVESTRES PROTEGIDAS DEL ESTADO (SNASPE). 2009-2013" xr:uid="{22C26915-AF94-4479-8369-0D34290C6CB2}"/>
    <hyperlink ref="A21" location="'3.1.2.3-16'!A1" display="CUADRO 3.1.2.3-16: NÚMERO DE VISITANTES A UNIDADES DEL SISTEMA NACIONAL DE ÁREAS SILVESTRES PROTEGIDAS DEL ESTADO (SNASPE) POR AÑO Y NACIONALIDAD (CHILENA Y EXTRANJERA), SEGÚN REGIÓN Y UNIDAD DEL SNASPE. 2009-2013" xr:uid="{90888417-D25D-4856-B283-0FBB8CEA178A}"/>
    <hyperlink ref="A22" location="'3.1.2.3-17'!A1" display="CUADRO 3.1.2.3-17: NÚMERO DE VISITANTES A UNIDADES DEL SISTEMA NACIONAL DE ÁREAS SILVESTRES PROTEGIDAS DEL ESTADO (SNASPE) POR AÑO Y SEXO, SEGÚN REGIÓN Y UNIDAD DEL SNASPE. 2009-2013" xr:uid="{7CA40377-777A-48D4-9050-974B05D2F56B}"/>
    <hyperlink ref="A23" location="'3.1.2.3-18'!A1" display="CUADRO 3.1.2.3-18: NÚMERO DE VISITANTES A UNIDADES DEL SISTEMA NACIONAL DE ÁREAS PROTEGIDAS DEL ESTADO (SNASPE) POR AÑO Y TRAMO DE EDAD, SEGÚN REGIÓN Y UNIDAD DEL SNASPE. 2009-2013" xr:uid="{B27B9059-1374-44A3-9BEB-F63A34B93E73}"/>
    <hyperlink ref="A24" location="'3.1.2.3-19'!A1" display="CUADRO 3.1.2.3-19: NÚMERO DE VISITANTES CON CONDICIONES ESPECIALES A UNIDADES DEL SISTEMA NACIONAL DE ÁREAS SILVESTRES PROTEGIDAS DEL ESTADO (SNASPE) POR AÑO, SEGÚN REGIÓN Y UNIDAD DEL SNASPE. 2009-2013" xr:uid="{ED6DA591-870F-4CD3-9FD2-7D1D51303E0A}"/>
  </hyperlinks>
  <pageMargins left="0.7" right="0.7" top="0.75" bottom="0.75" header="0.3" footer="0.3"/>
  <pageSetup paperSize="14"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EFAECC-74D2-4192-AB1F-1C7BB667AB24}">
  <sheetPr codeName="Hoja95"/>
  <dimension ref="A2:G44"/>
  <sheetViews>
    <sheetView zoomScaleNormal="100" workbookViewId="0">
      <selection activeCell="D4" sqref="D4"/>
    </sheetView>
  </sheetViews>
  <sheetFormatPr baseColWidth="10" defaultColWidth="11.44140625" defaultRowHeight="10.199999999999999" x14ac:dyDescent="0.2"/>
  <cols>
    <col min="1" max="1" width="21.44140625" style="2" customWidth="1"/>
    <col min="2" max="2" width="11" style="2" customWidth="1"/>
    <col min="3" max="7" width="17.6640625" style="2" customWidth="1"/>
    <col min="8" max="8" width="11" style="2" customWidth="1"/>
    <col min="9" max="16384" width="11.44140625" style="2"/>
  </cols>
  <sheetData>
    <row r="2" spans="1:7" ht="29.25" customHeight="1" x14ac:dyDescent="0.2">
      <c r="A2" s="620" t="s">
        <v>1096</v>
      </c>
      <c r="B2" s="620"/>
      <c r="C2" s="620"/>
      <c r="D2" s="620"/>
      <c r="E2" s="620"/>
      <c r="F2" s="620"/>
      <c r="G2" s="620"/>
    </row>
    <row r="4" spans="1:7" ht="15" customHeight="1" x14ac:dyDescent="0.2">
      <c r="A4" s="298" t="s">
        <v>0</v>
      </c>
      <c r="B4" s="298">
        <v>2012</v>
      </c>
      <c r="C4" s="298"/>
      <c r="D4" s="298"/>
      <c r="E4" s="298">
        <v>2013</v>
      </c>
      <c r="F4" s="298"/>
      <c r="G4" s="298"/>
    </row>
    <row r="5" spans="1:7" ht="49.5" customHeight="1" x14ac:dyDescent="0.2">
      <c r="A5" s="298"/>
      <c r="B5" s="644" t="s">
        <v>42</v>
      </c>
      <c r="C5" s="644" t="s">
        <v>1410</v>
      </c>
      <c r="D5" s="644" t="s">
        <v>1411</v>
      </c>
      <c r="E5" s="644" t="s">
        <v>42</v>
      </c>
      <c r="F5" s="644" t="s">
        <v>1410</v>
      </c>
      <c r="G5" s="644" t="s">
        <v>1411</v>
      </c>
    </row>
    <row r="6" spans="1:7" s="24" customFormat="1" x14ac:dyDescent="0.2">
      <c r="A6" s="24" t="s">
        <v>3</v>
      </c>
      <c r="B6" s="622">
        <f t="shared" ref="B6:G6" si="0">SUM(B7:B21)</f>
        <v>65462</v>
      </c>
      <c r="C6" s="622">
        <f t="shared" si="0"/>
        <v>49583</v>
      </c>
      <c r="D6" s="622">
        <f t="shared" si="0"/>
        <v>15879</v>
      </c>
      <c r="E6" s="622">
        <f t="shared" si="0"/>
        <v>77241</v>
      </c>
      <c r="F6" s="622">
        <f t="shared" si="0"/>
        <v>60489</v>
      </c>
      <c r="G6" s="622">
        <f t="shared" si="0"/>
        <v>16752</v>
      </c>
    </row>
    <row r="7" spans="1:7" x14ac:dyDescent="0.2">
      <c r="A7" s="2" t="s">
        <v>4</v>
      </c>
      <c r="B7" s="315">
        <v>717</v>
      </c>
      <c r="C7" s="315">
        <v>587</v>
      </c>
      <c r="D7" s="315">
        <v>130</v>
      </c>
      <c r="E7" s="315">
        <v>97</v>
      </c>
      <c r="F7" s="315">
        <v>44</v>
      </c>
      <c r="G7" s="315">
        <v>53</v>
      </c>
    </row>
    <row r="8" spans="1:7" x14ac:dyDescent="0.2">
      <c r="A8" s="2" t="s">
        <v>5</v>
      </c>
      <c r="B8" s="315">
        <f>SUM(C8:D8)</f>
        <v>1033</v>
      </c>
      <c r="C8" s="315">
        <v>897</v>
      </c>
      <c r="D8" s="315">
        <v>136</v>
      </c>
      <c r="E8" s="315">
        <f>SUM(F8:G8)</f>
        <v>410</v>
      </c>
      <c r="F8" s="315">
        <v>400</v>
      </c>
      <c r="G8" s="315">
        <v>10</v>
      </c>
    </row>
    <row r="9" spans="1:7" x14ac:dyDescent="0.2">
      <c r="A9" s="2" t="s">
        <v>6</v>
      </c>
      <c r="B9" s="315">
        <f t="shared" ref="B9:B17" si="1">SUM(C9:D9)</f>
        <v>4620</v>
      </c>
      <c r="C9" s="315">
        <v>2717</v>
      </c>
      <c r="D9" s="315">
        <v>1903</v>
      </c>
      <c r="E9" s="315">
        <f t="shared" ref="E9:E20" si="2">SUM(F9:G9)</f>
        <v>3515</v>
      </c>
      <c r="F9" s="315">
        <v>2007</v>
      </c>
      <c r="G9" s="315">
        <v>1508</v>
      </c>
    </row>
    <row r="10" spans="1:7" x14ac:dyDescent="0.2">
      <c r="A10" s="2" t="s">
        <v>7</v>
      </c>
      <c r="B10" s="315">
        <f t="shared" si="1"/>
        <v>3793</v>
      </c>
      <c r="C10" s="315">
        <v>3667</v>
      </c>
      <c r="D10" s="315">
        <v>126</v>
      </c>
      <c r="E10" s="315">
        <f t="shared" si="2"/>
        <v>755</v>
      </c>
      <c r="F10" s="315">
        <v>679</v>
      </c>
      <c r="G10" s="315">
        <v>76</v>
      </c>
    </row>
    <row r="11" spans="1:7" x14ac:dyDescent="0.2">
      <c r="A11" s="2" t="s">
        <v>8</v>
      </c>
      <c r="B11" s="315">
        <f t="shared" si="1"/>
        <v>5135</v>
      </c>
      <c r="C11" s="315">
        <v>5124</v>
      </c>
      <c r="D11" s="315">
        <v>11</v>
      </c>
      <c r="E11" s="315">
        <f t="shared" si="2"/>
        <v>14159</v>
      </c>
      <c r="F11" s="315">
        <v>13869</v>
      </c>
      <c r="G11" s="315">
        <v>290</v>
      </c>
    </row>
    <row r="12" spans="1:7" x14ac:dyDescent="0.2">
      <c r="A12" s="2" t="s">
        <v>9</v>
      </c>
      <c r="B12" s="315">
        <f t="shared" si="1"/>
        <v>10566</v>
      </c>
      <c r="C12" s="315">
        <v>5734</v>
      </c>
      <c r="D12" s="315">
        <v>4832</v>
      </c>
      <c r="E12" s="315">
        <f t="shared" si="2"/>
        <v>19137</v>
      </c>
      <c r="F12" s="315">
        <v>13829</v>
      </c>
      <c r="G12" s="315">
        <v>5308</v>
      </c>
    </row>
    <row r="13" spans="1:7" x14ac:dyDescent="0.2">
      <c r="A13" s="2" t="s">
        <v>10</v>
      </c>
      <c r="B13" s="315">
        <f t="shared" si="1"/>
        <v>1831</v>
      </c>
      <c r="C13" s="315">
        <v>1415</v>
      </c>
      <c r="D13" s="315">
        <v>416</v>
      </c>
      <c r="E13" s="315">
        <f t="shared" si="2"/>
        <v>1694</v>
      </c>
      <c r="F13" s="315">
        <v>1263</v>
      </c>
      <c r="G13" s="315">
        <v>431</v>
      </c>
    </row>
    <row r="14" spans="1:7" x14ac:dyDescent="0.2">
      <c r="A14" s="2" t="s">
        <v>134</v>
      </c>
      <c r="B14" s="315">
        <f t="shared" si="1"/>
        <v>3075</v>
      </c>
      <c r="C14" s="315">
        <v>2911</v>
      </c>
      <c r="D14" s="315">
        <v>164</v>
      </c>
      <c r="E14" s="315">
        <f t="shared" si="2"/>
        <v>5220</v>
      </c>
      <c r="F14" s="315">
        <v>4280</v>
      </c>
      <c r="G14" s="315">
        <v>940</v>
      </c>
    </row>
    <row r="15" spans="1:7" x14ac:dyDescent="0.2">
      <c r="A15" s="2" t="s">
        <v>12</v>
      </c>
      <c r="B15" s="315">
        <f t="shared" si="1"/>
        <v>6173</v>
      </c>
      <c r="C15" s="315">
        <v>4095</v>
      </c>
      <c r="D15" s="315">
        <v>2078</v>
      </c>
      <c r="E15" s="315">
        <f t="shared" si="2"/>
        <v>8378</v>
      </c>
      <c r="F15" s="315">
        <v>5273</v>
      </c>
      <c r="G15" s="315">
        <v>3105</v>
      </c>
    </row>
    <row r="16" spans="1:7" x14ac:dyDescent="0.2">
      <c r="A16" s="2" t="s">
        <v>13</v>
      </c>
      <c r="B16" s="315">
        <f t="shared" si="1"/>
        <v>4181</v>
      </c>
      <c r="C16" s="315">
        <v>2867</v>
      </c>
      <c r="D16" s="315">
        <v>1314</v>
      </c>
      <c r="E16" s="315">
        <f t="shared" si="2"/>
        <v>1695</v>
      </c>
      <c r="F16" s="315">
        <v>1372</v>
      </c>
      <c r="G16" s="315">
        <v>323</v>
      </c>
    </row>
    <row r="17" spans="1:7" x14ac:dyDescent="0.2">
      <c r="A17" s="2" t="s">
        <v>47</v>
      </c>
      <c r="B17" s="315">
        <f t="shared" si="1"/>
        <v>7807</v>
      </c>
      <c r="C17" s="315">
        <v>5560</v>
      </c>
      <c r="D17" s="315">
        <v>2247</v>
      </c>
      <c r="E17" s="315">
        <f t="shared" si="2"/>
        <v>8322</v>
      </c>
      <c r="F17" s="315">
        <v>6787</v>
      </c>
      <c r="G17" s="315">
        <v>1535</v>
      </c>
    </row>
    <row r="18" spans="1:7" x14ac:dyDescent="0.2">
      <c r="A18" s="2" t="s">
        <v>135</v>
      </c>
      <c r="B18" s="315">
        <v>100</v>
      </c>
      <c r="C18" s="315">
        <v>78</v>
      </c>
      <c r="D18" s="315">
        <v>22</v>
      </c>
      <c r="E18" s="315">
        <v>1003</v>
      </c>
      <c r="F18" s="315">
        <v>170</v>
      </c>
      <c r="G18" s="315">
        <v>833</v>
      </c>
    </row>
    <row r="19" spans="1:7" x14ac:dyDescent="0.2">
      <c r="A19" s="2" t="s">
        <v>136</v>
      </c>
      <c r="B19" s="315">
        <f>SUM(C19:D19)</f>
        <v>10850</v>
      </c>
      <c r="C19" s="315">
        <v>10850</v>
      </c>
      <c r="D19" s="315">
        <v>0</v>
      </c>
      <c r="E19" s="315">
        <f t="shared" si="2"/>
        <v>9114</v>
      </c>
      <c r="F19" s="315">
        <v>8207</v>
      </c>
      <c r="G19" s="315">
        <v>907</v>
      </c>
    </row>
    <row r="20" spans="1:7" x14ac:dyDescent="0.2">
      <c r="A20" s="2" t="s">
        <v>17</v>
      </c>
      <c r="B20" s="315">
        <f>SUM(C20:D20)</f>
        <v>3859</v>
      </c>
      <c r="C20" s="315">
        <v>2489</v>
      </c>
      <c r="D20" s="315">
        <v>1370</v>
      </c>
      <c r="E20" s="315">
        <f t="shared" si="2"/>
        <v>2789</v>
      </c>
      <c r="F20" s="315">
        <v>1705</v>
      </c>
      <c r="G20" s="315">
        <v>1084</v>
      </c>
    </row>
    <row r="21" spans="1:7" x14ac:dyDescent="0.2">
      <c r="A21" s="2" t="s">
        <v>18</v>
      </c>
      <c r="B21" s="315">
        <f>SUM(C21:D21)</f>
        <v>1722</v>
      </c>
      <c r="C21" s="315">
        <v>592</v>
      </c>
      <c r="D21" s="315">
        <v>1130</v>
      </c>
      <c r="E21" s="315">
        <f>SUM(F21:G21)</f>
        <v>953</v>
      </c>
      <c r="F21" s="315">
        <v>604</v>
      </c>
      <c r="G21" s="315">
        <v>349</v>
      </c>
    </row>
    <row r="23" spans="1:7" ht="9" customHeight="1" x14ac:dyDescent="0.2">
      <c r="A23" s="669" t="s">
        <v>19</v>
      </c>
    </row>
    <row r="24" spans="1:7" ht="12.75" customHeight="1" x14ac:dyDescent="0.2">
      <c r="A24" s="2" t="s">
        <v>1412</v>
      </c>
    </row>
    <row r="27" spans="1:7" x14ac:dyDescent="0.2">
      <c r="A27" s="24" t="s">
        <v>547</v>
      </c>
      <c r="B27" s="24"/>
      <c r="C27" s="24"/>
    </row>
    <row r="28" spans="1:7" x14ac:dyDescent="0.2">
      <c r="A28" s="640" t="s">
        <v>1413</v>
      </c>
      <c r="B28" s="640">
        <v>2012</v>
      </c>
      <c r="C28" s="640">
        <v>2013</v>
      </c>
    </row>
    <row r="29" spans="1:7" x14ac:dyDescent="0.2">
      <c r="A29" s="640" t="s">
        <v>3</v>
      </c>
      <c r="B29" s="670">
        <v>65462</v>
      </c>
      <c r="C29" s="670">
        <v>77241</v>
      </c>
    </row>
    <row r="30" spans="1:7" x14ac:dyDescent="0.2">
      <c r="A30" s="641" t="s">
        <v>4</v>
      </c>
      <c r="B30" s="642">
        <v>717</v>
      </c>
      <c r="C30" s="642">
        <v>97</v>
      </c>
    </row>
    <row r="31" spans="1:7" x14ac:dyDescent="0.2">
      <c r="A31" s="641" t="s">
        <v>5</v>
      </c>
      <c r="B31" s="642">
        <v>1033</v>
      </c>
      <c r="C31" s="642">
        <v>410</v>
      </c>
    </row>
    <row r="32" spans="1:7" x14ac:dyDescent="0.2">
      <c r="A32" s="641" t="s">
        <v>6</v>
      </c>
      <c r="B32" s="642">
        <v>4620</v>
      </c>
      <c r="C32" s="642">
        <v>3515</v>
      </c>
    </row>
    <row r="33" spans="1:3" x14ac:dyDescent="0.2">
      <c r="A33" s="641" t="s">
        <v>7</v>
      </c>
      <c r="B33" s="642">
        <v>3793</v>
      </c>
      <c r="C33" s="642">
        <v>755</v>
      </c>
    </row>
    <row r="34" spans="1:3" x14ac:dyDescent="0.2">
      <c r="A34" s="641" t="s">
        <v>8</v>
      </c>
      <c r="B34" s="642">
        <v>5135</v>
      </c>
      <c r="C34" s="642">
        <v>14159</v>
      </c>
    </row>
    <row r="35" spans="1:3" x14ac:dyDescent="0.2">
      <c r="A35" s="641" t="s">
        <v>9</v>
      </c>
      <c r="B35" s="642">
        <v>10566</v>
      </c>
      <c r="C35" s="642">
        <v>19137</v>
      </c>
    </row>
    <row r="36" spans="1:3" x14ac:dyDescent="0.2">
      <c r="A36" s="641" t="s">
        <v>10</v>
      </c>
      <c r="B36" s="642">
        <v>1831</v>
      </c>
      <c r="C36" s="642">
        <v>1694</v>
      </c>
    </row>
    <row r="37" spans="1:3" x14ac:dyDescent="0.2">
      <c r="A37" s="641" t="s">
        <v>134</v>
      </c>
      <c r="B37" s="642">
        <v>3075</v>
      </c>
      <c r="C37" s="642">
        <v>5220</v>
      </c>
    </row>
    <row r="38" spans="1:3" x14ac:dyDescent="0.2">
      <c r="A38" s="641" t="s">
        <v>12</v>
      </c>
      <c r="B38" s="642">
        <v>6173</v>
      </c>
      <c r="C38" s="642">
        <v>8378</v>
      </c>
    </row>
    <row r="39" spans="1:3" x14ac:dyDescent="0.2">
      <c r="A39" s="641" t="s">
        <v>13</v>
      </c>
      <c r="B39" s="642">
        <v>4181</v>
      </c>
      <c r="C39" s="642">
        <v>1695</v>
      </c>
    </row>
    <row r="40" spans="1:3" x14ac:dyDescent="0.2">
      <c r="A40" s="641" t="s">
        <v>47</v>
      </c>
      <c r="B40" s="642">
        <v>7807</v>
      </c>
      <c r="C40" s="642">
        <v>8322</v>
      </c>
    </row>
    <row r="41" spans="1:3" x14ac:dyDescent="0.2">
      <c r="A41" s="641" t="s">
        <v>135</v>
      </c>
      <c r="B41" s="642">
        <v>100</v>
      </c>
      <c r="C41" s="642">
        <v>1003</v>
      </c>
    </row>
    <row r="42" spans="1:3" x14ac:dyDescent="0.2">
      <c r="A42" s="641" t="s">
        <v>136</v>
      </c>
      <c r="B42" s="642">
        <v>10850</v>
      </c>
      <c r="C42" s="642">
        <v>9114</v>
      </c>
    </row>
    <row r="43" spans="1:3" x14ac:dyDescent="0.2">
      <c r="A43" s="641" t="s">
        <v>17</v>
      </c>
      <c r="B43" s="642">
        <v>3859</v>
      </c>
      <c r="C43" s="642">
        <v>2789</v>
      </c>
    </row>
    <row r="44" spans="1:3" x14ac:dyDescent="0.2">
      <c r="A44" s="641" t="s">
        <v>18</v>
      </c>
      <c r="B44" s="642">
        <v>1722</v>
      </c>
      <c r="C44" s="642">
        <v>953</v>
      </c>
    </row>
  </sheetData>
  <mergeCells count="4">
    <mergeCell ref="A2:G2"/>
    <mergeCell ref="A4:A5"/>
    <mergeCell ref="B4:D4"/>
    <mergeCell ref="E4:G4"/>
  </mergeCells>
  <pageMargins left="0.70866141732283472" right="0.70866141732283472" top="0.74803149606299213" bottom="0.74803149606299213" header="0.31496062992125984" footer="0.31496062992125984"/>
  <pageSetup paperSize="14" scale="85"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968E79-68B5-43F4-8AF9-EB42AABA28AE}">
  <sheetPr codeName="Hoja96"/>
  <dimension ref="A2:C10"/>
  <sheetViews>
    <sheetView workbookViewId="0">
      <selection activeCell="D4" sqref="D4"/>
    </sheetView>
  </sheetViews>
  <sheetFormatPr baseColWidth="10" defaultColWidth="11.44140625" defaultRowHeight="10.199999999999999" x14ac:dyDescent="0.2"/>
  <cols>
    <col min="1" max="1" width="25" style="2" customWidth="1"/>
    <col min="2" max="2" width="14.5546875" style="2" customWidth="1"/>
    <col min="3" max="3" width="16.6640625" style="2" bestFit="1" customWidth="1"/>
    <col min="4" max="16384" width="11.44140625" style="2"/>
  </cols>
  <sheetData>
    <row r="2" spans="1:3" s="624" customFormat="1" ht="34.5" customHeight="1" x14ac:dyDescent="0.2">
      <c r="A2" s="620" t="s">
        <v>1097</v>
      </c>
      <c r="B2" s="620"/>
      <c r="C2" s="620"/>
    </row>
    <row r="4" spans="1:3" ht="23.25" customHeight="1" x14ac:dyDescent="0.2">
      <c r="A4" s="644" t="s">
        <v>1414</v>
      </c>
      <c r="B4" s="644" t="s">
        <v>1415</v>
      </c>
      <c r="C4" s="644" t="s">
        <v>1416</v>
      </c>
    </row>
    <row r="5" spans="1:3" s="24" customFormat="1" x14ac:dyDescent="0.2">
      <c r="A5" s="24" t="s">
        <v>3</v>
      </c>
      <c r="B5" s="655">
        <f>SUM(B6:B8)</f>
        <v>102</v>
      </c>
      <c r="C5" s="655">
        <f>SUM(C6:C8)</f>
        <v>14603738.370000001</v>
      </c>
    </row>
    <row r="6" spans="1:3" x14ac:dyDescent="0.2">
      <c r="A6" s="2" t="s">
        <v>1417</v>
      </c>
      <c r="B6" s="643">
        <v>36</v>
      </c>
      <c r="C6" s="643">
        <v>9140330.0500000007</v>
      </c>
    </row>
    <row r="7" spans="1:3" x14ac:dyDescent="0.2">
      <c r="A7" s="2" t="s">
        <v>1418</v>
      </c>
      <c r="B7" s="643">
        <v>50</v>
      </c>
      <c r="C7" s="643">
        <v>5428979.9100000001</v>
      </c>
    </row>
    <row r="8" spans="1:3" x14ac:dyDescent="0.2">
      <c r="A8" s="2" t="s">
        <v>1419</v>
      </c>
      <c r="B8" s="643">
        <v>16</v>
      </c>
      <c r="C8" s="643">
        <v>34428.410000000003</v>
      </c>
    </row>
    <row r="10" spans="1:3" ht="24.75" customHeight="1" x14ac:dyDescent="0.2">
      <c r="A10" s="639" t="s">
        <v>1420</v>
      </c>
      <c r="B10" s="639"/>
      <c r="C10" s="639"/>
    </row>
  </sheetData>
  <mergeCells count="2">
    <mergeCell ref="A2:C2"/>
    <mergeCell ref="A10:C10"/>
  </mergeCells>
  <pageMargins left="0.7" right="0.7" top="0.75" bottom="0.75" header="0.3" footer="0.3"/>
  <pageSetup paperSize="14"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B0495-2881-4968-BD4E-6F0BF30CE770}">
  <sheetPr codeName="Hoja97"/>
  <dimension ref="A2:E76"/>
  <sheetViews>
    <sheetView workbookViewId="0">
      <selection activeCell="D4" sqref="D4"/>
    </sheetView>
  </sheetViews>
  <sheetFormatPr baseColWidth="10" defaultColWidth="11.5546875" defaultRowHeight="10.199999999999999" x14ac:dyDescent="0.2"/>
  <cols>
    <col min="1" max="1" width="21.88671875" style="2" customWidth="1"/>
    <col min="2" max="2" width="27.88671875" style="2" customWidth="1"/>
    <col min="3" max="3" width="19.6640625" style="2" customWidth="1"/>
    <col min="4" max="4" width="36.33203125" style="2" customWidth="1"/>
    <col min="5" max="5" width="19.33203125" style="2" customWidth="1"/>
    <col min="6" max="16384" width="11.5546875" style="2"/>
  </cols>
  <sheetData>
    <row r="2" spans="1:5" s="24" customFormat="1" x14ac:dyDescent="0.2">
      <c r="A2" s="659" t="s">
        <v>1098</v>
      </c>
      <c r="B2" s="659"/>
      <c r="C2" s="659"/>
      <c r="D2" s="659"/>
      <c r="E2" s="659"/>
    </row>
    <row r="4" spans="1:5" ht="30.75" customHeight="1" x14ac:dyDescent="0.2">
      <c r="A4" s="621" t="s">
        <v>1421</v>
      </c>
      <c r="B4" s="621" t="s">
        <v>1422</v>
      </c>
      <c r="C4" s="621" t="s">
        <v>1423</v>
      </c>
      <c r="D4" s="621" t="s">
        <v>1424</v>
      </c>
      <c r="E4" s="621" t="s">
        <v>1416</v>
      </c>
    </row>
    <row r="5" spans="1:5" s="24" customFormat="1" x14ac:dyDescent="0.2">
      <c r="A5" s="24" t="s">
        <v>3</v>
      </c>
      <c r="E5" s="655">
        <f>SUM(E6:E46)</f>
        <v>9140330.0500000007</v>
      </c>
    </row>
    <row r="6" spans="1:5" x14ac:dyDescent="0.2">
      <c r="A6" s="324" t="s">
        <v>4</v>
      </c>
      <c r="B6" s="2" t="s">
        <v>1425</v>
      </c>
      <c r="C6" s="2" t="s">
        <v>1426</v>
      </c>
      <c r="D6" s="2" t="s">
        <v>1427</v>
      </c>
      <c r="E6" s="643">
        <v>137883</v>
      </c>
    </row>
    <row r="7" spans="1:5" x14ac:dyDescent="0.2">
      <c r="A7" s="671" t="s">
        <v>5</v>
      </c>
      <c r="B7" s="2" t="s">
        <v>1428</v>
      </c>
      <c r="C7" s="2" t="s">
        <v>1429</v>
      </c>
      <c r="D7" s="2" t="s">
        <v>1430</v>
      </c>
      <c r="E7" s="643">
        <v>110962.46</v>
      </c>
    </row>
    <row r="8" spans="1:5" x14ac:dyDescent="0.2">
      <c r="A8" s="671"/>
      <c r="B8" s="2" t="s">
        <v>1431</v>
      </c>
      <c r="C8" s="2" t="s">
        <v>1429</v>
      </c>
      <c r="D8" s="2" t="s">
        <v>1432</v>
      </c>
      <c r="E8" s="643">
        <v>174744</v>
      </c>
    </row>
    <row r="9" spans="1:5" x14ac:dyDescent="0.2">
      <c r="A9" s="671" t="s">
        <v>6</v>
      </c>
      <c r="B9" s="2" t="s">
        <v>1433</v>
      </c>
      <c r="C9" s="2" t="s">
        <v>6</v>
      </c>
      <c r="D9" s="2" t="s">
        <v>6</v>
      </c>
      <c r="E9" s="643">
        <v>268671</v>
      </c>
    </row>
    <row r="10" spans="1:5" x14ac:dyDescent="0.2">
      <c r="A10" s="671"/>
      <c r="B10" s="2" t="s">
        <v>1434</v>
      </c>
      <c r="C10" s="2" t="s">
        <v>6</v>
      </c>
      <c r="D10" s="2" t="s">
        <v>1435</v>
      </c>
      <c r="E10" s="643">
        <v>7313.89</v>
      </c>
    </row>
    <row r="11" spans="1:5" x14ac:dyDescent="0.2">
      <c r="A11" s="671" t="s">
        <v>7</v>
      </c>
      <c r="B11" s="2" t="s">
        <v>1436</v>
      </c>
      <c r="C11" s="2" t="s">
        <v>1437</v>
      </c>
      <c r="D11" s="2" t="s">
        <v>1438</v>
      </c>
      <c r="E11" s="643">
        <v>43754</v>
      </c>
    </row>
    <row r="12" spans="1:5" x14ac:dyDescent="0.2">
      <c r="A12" s="671"/>
      <c r="B12" s="2" t="s">
        <v>1439</v>
      </c>
      <c r="C12" s="2" t="s">
        <v>876</v>
      </c>
      <c r="D12" s="2" t="s">
        <v>1440</v>
      </c>
      <c r="E12" s="643">
        <v>59082</v>
      </c>
    </row>
    <row r="13" spans="1:5" x14ac:dyDescent="0.2">
      <c r="A13" s="671"/>
      <c r="B13" s="2" t="s">
        <v>1441</v>
      </c>
      <c r="C13" s="2" t="s">
        <v>1442</v>
      </c>
      <c r="D13" s="2" t="s">
        <v>1442</v>
      </c>
      <c r="E13" s="643">
        <v>45708</v>
      </c>
    </row>
    <row r="14" spans="1:5" x14ac:dyDescent="0.2">
      <c r="A14" s="324" t="s">
        <v>8</v>
      </c>
      <c r="B14" s="2" t="s">
        <v>1443</v>
      </c>
      <c r="C14" s="2" t="s">
        <v>1444</v>
      </c>
      <c r="D14" s="2" t="s">
        <v>878</v>
      </c>
      <c r="E14" s="643">
        <v>9959</v>
      </c>
    </row>
    <row r="15" spans="1:5" x14ac:dyDescent="0.2">
      <c r="A15" s="671" t="s">
        <v>9</v>
      </c>
      <c r="B15" s="2" t="s">
        <v>1445</v>
      </c>
      <c r="C15" s="2" t="s">
        <v>9</v>
      </c>
      <c r="D15" s="2" t="s">
        <v>1446</v>
      </c>
      <c r="E15" s="643">
        <v>9571</v>
      </c>
    </row>
    <row r="16" spans="1:5" x14ac:dyDescent="0.2">
      <c r="A16" s="671"/>
      <c r="B16" s="2" t="s">
        <v>1447</v>
      </c>
      <c r="C16" s="2" t="s">
        <v>883</v>
      </c>
      <c r="D16" s="2" t="s">
        <v>1448</v>
      </c>
      <c r="E16" s="643">
        <v>8000</v>
      </c>
    </row>
    <row r="17" spans="1:5" x14ac:dyDescent="0.2">
      <c r="A17" s="671"/>
      <c r="B17" s="2" t="s">
        <v>1449</v>
      </c>
      <c r="C17" s="2" t="s">
        <v>888</v>
      </c>
      <c r="D17" s="2" t="s">
        <v>888</v>
      </c>
      <c r="E17" s="643">
        <v>7130</v>
      </c>
    </row>
    <row r="18" spans="1:5" x14ac:dyDescent="0.2">
      <c r="A18" s="324" t="s">
        <v>11</v>
      </c>
      <c r="B18" s="2" t="s">
        <v>1450</v>
      </c>
      <c r="C18" s="2" t="s">
        <v>1451</v>
      </c>
      <c r="D18" s="2" t="s">
        <v>1452</v>
      </c>
      <c r="E18" s="643">
        <v>3709</v>
      </c>
    </row>
    <row r="19" spans="1:5" x14ac:dyDescent="0.2">
      <c r="A19" s="324" t="s">
        <v>12</v>
      </c>
      <c r="B19" s="2" t="s">
        <v>1453</v>
      </c>
      <c r="C19" s="2" t="s">
        <v>1454</v>
      </c>
      <c r="D19" s="2" t="s">
        <v>919</v>
      </c>
      <c r="E19" s="643">
        <v>4138.24</v>
      </c>
    </row>
    <row r="20" spans="1:5" x14ac:dyDescent="0.2">
      <c r="A20" s="324" t="s">
        <v>13</v>
      </c>
      <c r="B20" s="2" t="s">
        <v>1455</v>
      </c>
      <c r="C20" s="2" t="s">
        <v>1456</v>
      </c>
      <c r="D20" s="2" t="s">
        <v>1457</v>
      </c>
      <c r="E20" s="643">
        <v>11600</v>
      </c>
    </row>
    <row r="21" spans="1:5" x14ac:dyDescent="0.2">
      <c r="A21" s="671" t="s">
        <v>47</v>
      </c>
      <c r="B21" s="2" t="s">
        <v>1458</v>
      </c>
      <c r="C21" s="2" t="s">
        <v>1459</v>
      </c>
      <c r="D21" s="2" t="s">
        <v>1460</v>
      </c>
      <c r="E21" s="643">
        <v>6832</v>
      </c>
    </row>
    <row r="22" spans="1:5" x14ac:dyDescent="0.2">
      <c r="A22" s="671"/>
      <c r="B22" s="2" t="s">
        <v>1461</v>
      </c>
      <c r="C22" s="2" t="s">
        <v>1462</v>
      </c>
      <c r="D22" s="2" t="s">
        <v>1463</v>
      </c>
      <c r="E22" s="643">
        <v>6374</v>
      </c>
    </row>
    <row r="23" spans="1:5" x14ac:dyDescent="0.2">
      <c r="A23" s="671"/>
      <c r="B23" s="2" t="s">
        <v>1464</v>
      </c>
      <c r="C23" s="2" t="s">
        <v>1465</v>
      </c>
      <c r="D23" s="2" t="s">
        <v>1466</v>
      </c>
      <c r="E23" s="643">
        <v>60832</v>
      </c>
    </row>
    <row r="24" spans="1:5" x14ac:dyDescent="0.2">
      <c r="A24" s="671"/>
      <c r="B24" s="2" t="s">
        <v>1467</v>
      </c>
      <c r="C24" s="2" t="s">
        <v>1468</v>
      </c>
      <c r="D24" s="2" t="s">
        <v>1469</v>
      </c>
      <c r="E24" s="643">
        <v>12500</v>
      </c>
    </row>
    <row r="25" spans="1:5" x14ac:dyDescent="0.2">
      <c r="A25" s="671"/>
      <c r="B25" s="2" t="s">
        <v>1470</v>
      </c>
      <c r="C25" s="2" t="s">
        <v>1471</v>
      </c>
      <c r="D25" s="2" t="s">
        <v>1472</v>
      </c>
      <c r="E25" s="643">
        <v>53000</v>
      </c>
    </row>
    <row r="26" spans="1:5" x14ac:dyDescent="0.2">
      <c r="A26" s="671" t="s">
        <v>15</v>
      </c>
      <c r="B26" s="2" t="s">
        <v>1473</v>
      </c>
      <c r="C26" s="2" t="s">
        <v>1474</v>
      </c>
      <c r="D26" s="2" t="s">
        <v>1475</v>
      </c>
      <c r="E26" s="643">
        <v>13974.56</v>
      </c>
    </row>
    <row r="27" spans="1:5" x14ac:dyDescent="0.2">
      <c r="A27" s="671"/>
      <c r="B27" s="2" t="s">
        <v>1476</v>
      </c>
      <c r="C27" s="2" t="s">
        <v>1477</v>
      </c>
      <c r="D27" s="2" t="s">
        <v>1478</v>
      </c>
      <c r="E27" s="643">
        <v>107000</v>
      </c>
    </row>
    <row r="28" spans="1:5" x14ac:dyDescent="0.2">
      <c r="A28" s="671" t="s">
        <v>16</v>
      </c>
      <c r="B28" s="2" t="s">
        <v>1479</v>
      </c>
      <c r="C28" s="2" t="s">
        <v>1480</v>
      </c>
      <c r="D28" s="2" t="s">
        <v>1481</v>
      </c>
      <c r="E28" s="643">
        <v>253780</v>
      </c>
    </row>
    <row r="29" spans="1:5" x14ac:dyDescent="0.2">
      <c r="A29" s="671"/>
      <c r="B29" s="2" t="s">
        <v>1482</v>
      </c>
      <c r="C29" s="2" t="s">
        <v>1483</v>
      </c>
      <c r="D29" s="2" t="s">
        <v>1484</v>
      </c>
      <c r="E29" s="643">
        <v>39255</v>
      </c>
    </row>
    <row r="30" spans="1:5" x14ac:dyDescent="0.2">
      <c r="A30" s="671"/>
      <c r="B30" s="2" t="s">
        <v>1485</v>
      </c>
      <c r="C30" s="2" t="s">
        <v>1486</v>
      </c>
      <c r="D30" s="2" t="s">
        <v>1487</v>
      </c>
      <c r="E30" s="643">
        <v>48232</v>
      </c>
    </row>
    <row r="31" spans="1:5" x14ac:dyDescent="0.2">
      <c r="A31" s="671"/>
      <c r="B31" s="2" t="s">
        <v>1488</v>
      </c>
      <c r="C31" s="2" t="s">
        <v>1489</v>
      </c>
      <c r="D31" s="2" t="s">
        <v>1490</v>
      </c>
      <c r="E31" s="643">
        <v>293986</v>
      </c>
    </row>
    <row r="32" spans="1:5" x14ac:dyDescent="0.2">
      <c r="A32" s="671"/>
      <c r="B32" s="2" t="s">
        <v>1491</v>
      </c>
      <c r="C32" s="2" t="s">
        <v>1491</v>
      </c>
      <c r="D32" s="2" t="s">
        <v>1492</v>
      </c>
      <c r="E32" s="643">
        <v>42567</v>
      </c>
    </row>
    <row r="33" spans="1:5" x14ac:dyDescent="0.2">
      <c r="A33" s="671" t="s">
        <v>17</v>
      </c>
      <c r="B33" s="2" t="s">
        <v>1493</v>
      </c>
      <c r="C33" s="2" t="s">
        <v>1494</v>
      </c>
      <c r="D33" s="2" t="s">
        <v>1495</v>
      </c>
      <c r="E33" s="643">
        <v>154093</v>
      </c>
    </row>
    <row r="34" spans="1:5" x14ac:dyDescent="0.2">
      <c r="A34" s="671"/>
      <c r="B34" s="2" t="s">
        <v>1496</v>
      </c>
      <c r="C34" s="2" t="s">
        <v>17</v>
      </c>
      <c r="D34" s="2" t="s">
        <v>1497</v>
      </c>
      <c r="E34" s="643">
        <v>10625</v>
      </c>
    </row>
    <row r="35" spans="1:5" x14ac:dyDescent="0.2">
      <c r="A35" s="671"/>
      <c r="B35" s="2" t="s">
        <v>1498</v>
      </c>
      <c r="C35" s="2" t="s">
        <v>17</v>
      </c>
      <c r="D35" s="2" t="s">
        <v>1497</v>
      </c>
      <c r="E35" s="643">
        <v>157615.9</v>
      </c>
    </row>
    <row r="36" spans="1:5" x14ac:dyDescent="0.2">
      <c r="A36" s="671"/>
      <c r="B36" s="623" t="s">
        <v>1499</v>
      </c>
      <c r="C36" s="2" t="s">
        <v>17</v>
      </c>
      <c r="D36" s="2" t="s">
        <v>17</v>
      </c>
      <c r="E36" s="672">
        <v>1742000</v>
      </c>
    </row>
    <row r="37" spans="1:5" ht="12.75" customHeight="1" x14ac:dyDescent="0.2">
      <c r="A37" s="671"/>
      <c r="B37" s="623"/>
      <c r="C37" s="638" t="s">
        <v>1500</v>
      </c>
      <c r="D37" s="2" t="s">
        <v>1501</v>
      </c>
      <c r="E37" s="672"/>
    </row>
    <row r="38" spans="1:5" x14ac:dyDescent="0.2">
      <c r="A38" s="671"/>
      <c r="B38" s="623"/>
      <c r="C38" s="638"/>
      <c r="D38" s="2" t="s">
        <v>1502</v>
      </c>
      <c r="E38" s="672"/>
    </row>
    <row r="39" spans="1:5" x14ac:dyDescent="0.2">
      <c r="A39" s="671"/>
      <c r="B39" s="623" t="s">
        <v>1503</v>
      </c>
      <c r="C39" s="2" t="s">
        <v>1504</v>
      </c>
      <c r="D39" s="2" t="s">
        <v>1505</v>
      </c>
      <c r="E39" s="672">
        <v>3525901</v>
      </c>
    </row>
    <row r="40" spans="1:5" x14ac:dyDescent="0.2">
      <c r="A40" s="671"/>
      <c r="B40" s="623"/>
      <c r="C40" s="2" t="s">
        <v>1506</v>
      </c>
      <c r="D40" s="2" t="s">
        <v>933</v>
      </c>
      <c r="E40" s="672"/>
    </row>
    <row r="41" spans="1:5" x14ac:dyDescent="0.2">
      <c r="A41" s="671" t="s">
        <v>18</v>
      </c>
      <c r="B41" s="2" t="s">
        <v>1507</v>
      </c>
      <c r="C41" s="2" t="s">
        <v>1506</v>
      </c>
      <c r="D41" s="2" t="s">
        <v>1507</v>
      </c>
      <c r="E41" s="643">
        <v>181414</v>
      </c>
    </row>
    <row r="42" spans="1:5" x14ac:dyDescent="0.2">
      <c r="A42" s="671"/>
      <c r="B42" s="2" t="s">
        <v>1508</v>
      </c>
      <c r="C42" s="2" t="s">
        <v>18</v>
      </c>
      <c r="D42" s="2" t="s">
        <v>1509</v>
      </c>
      <c r="E42" s="643">
        <v>5030</v>
      </c>
    </row>
    <row r="43" spans="1:5" x14ac:dyDescent="0.2">
      <c r="A43" s="671"/>
      <c r="B43" s="623" t="s">
        <v>1510</v>
      </c>
      <c r="C43" s="2" t="s">
        <v>18</v>
      </c>
      <c r="D43" s="2" t="s">
        <v>934</v>
      </c>
      <c r="E43" s="672">
        <v>1460000</v>
      </c>
    </row>
    <row r="44" spans="1:5" x14ac:dyDescent="0.2">
      <c r="A44" s="671"/>
      <c r="B44" s="623"/>
      <c r="C44" s="2" t="s">
        <v>1511</v>
      </c>
      <c r="D44" s="2" t="s">
        <v>1512</v>
      </c>
      <c r="E44" s="672"/>
    </row>
    <row r="45" spans="1:5" x14ac:dyDescent="0.2">
      <c r="A45" s="671"/>
      <c r="B45" s="623"/>
      <c r="C45" s="2" t="s">
        <v>1513</v>
      </c>
      <c r="D45" s="2" t="s">
        <v>1514</v>
      </c>
      <c r="E45" s="672"/>
    </row>
    <row r="46" spans="1:5" x14ac:dyDescent="0.2">
      <c r="A46" s="671"/>
      <c r="B46" s="2" t="s">
        <v>1514</v>
      </c>
      <c r="C46" s="2" t="s">
        <v>1513</v>
      </c>
      <c r="D46" s="2" t="s">
        <v>1514</v>
      </c>
      <c r="E46" s="643">
        <v>63093</v>
      </c>
    </row>
    <row r="48" spans="1:5" ht="12.75" customHeight="1" x14ac:dyDescent="0.2">
      <c r="A48" s="623" t="s">
        <v>1412</v>
      </c>
      <c r="B48" s="623"/>
      <c r="C48" s="623"/>
      <c r="D48" s="623"/>
      <c r="E48" s="623"/>
    </row>
    <row r="76" ht="22.5" customHeight="1" x14ac:dyDescent="0.2"/>
  </sheetData>
  <mergeCells count="18">
    <mergeCell ref="A41:A46"/>
    <mergeCell ref="B43:B45"/>
    <mergeCell ref="E43:E45"/>
    <mergeCell ref="A48:E48"/>
    <mergeCell ref="A26:A27"/>
    <mergeCell ref="A28:A32"/>
    <mergeCell ref="A33:A40"/>
    <mergeCell ref="B36:B38"/>
    <mergeCell ref="E36:E38"/>
    <mergeCell ref="C37:C38"/>
    <mergeCell ref="B39:B40"/>
    <mergeCell ref="E39:E40"/>
    <mergeCell ref="A2:E2"/>
    <mergeCell ref="A7:A8"/>
    <mergeCell ref="A9:A10"/>
    <mergeCell ref="A11:A13"/>
    <mergeCell ref="A15:A17"/>
    <mergeCell ref="A21:A25"/>
  </mergeCells>
  <printOptions horizontalCentered="1" verticalCentered="1"/>
  <pageMargins left="0.78740157480314965" right="0.78740157480314965" top="0.70866141732283472" bottom="0.98425196850393704" header="0.59055118110236227" footer="0.98425196850393704"/>
  <pageSetup paperSize="14" scale="95" orientation="landscape" horizontalDpi="300" verticalDpi="300"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605A34-ADEC-4392-927E-68CF2714935E}">
  <sheetPr codeName="Hoja98"/>
  <dimension ref="A2:E76"/>
  <sheetViews>
    <sheetView workbookViewId="0">
      <selection activeCell="D4" sqref="D4"/>
    </sheetView>
  </sheetViews>
  <sheetFormatPr baseColWidth="10" defaultColWidth="11.44140625" defaultRowHeight="15" customHeight="1" x14ac:dyDescent="0.2"/>
  <cols>
    <col min="1" max="1" width="23.6640625" style="2" customWidth="1"/>
    <col min="2" max="3" width="24.109375" style="2" customWidth="1"/>
    <col min="4" max="4" width="31.5546875" style="2" customWidth="1"/>
    <col min="5" max="5" width="16.33203125" style="646" customWidth="1"/>
    <col min="6" max="16384" width="11.44140625" style="2"/>
  </cols>
  <sheetData>
    <row r="2" spans="1:5" s="24" customFormat="1" ht="15" customHeight="1" x14ac:dyDescent="0.2">
      <c r="A2" s="24" t="s">
        <v>1099</v>
      </c>
      <c r="E2" s="645"/>
    </row>
    <row r="4" spans="1:5" ht="20.399999999999999" customHeight="1" x14ac:dyDescent="0.2">
      <c r="A4" s="621" t="s">
        <v>0</v>
      </c>
      <c r="B4" s="621" t="s">
        <v>1422</v>
      </c>
      <c r="C4" s="621" t="s">
        <v>1423</v>
      </c>
      <c r="D4" s="621" t="s">
        <v>1424</v>
      </c>
      <c r="E4" s="621" t="s">
        <v>1416</v>
      </c>
    </row>
    <row r="5" spans="1:5" s="24" customFormat="1" ht="15" customHeight="1" x14ac:dyDescent="0.2">
      <c r="A5" s="24" t="s">
        <v>3</v>
      </c>
      <c r="E5" s="658">
        <f>SUM(E6:E55)</f>
        <v>5428979.9100000001</v>
      </c>
    </row>
    <row r="6" spans="1:5" ht="10.199999999999999" x14ac:dyDescent="0.2">
      <c r="A6" s="2" t="s">
        <v>4</v>
      </c>
      <c r="B6" s="2" t="s">
        <v>1515</v>
      </c>
      <c r="C6" s="2" t="s">
        <v>1426</v>
      </c>
      <c r="D6" s="2" t="s">
        <v>1427</v>
      </c>
      <c r="E6" s="650">
        <v>209131</v>
      </c>
    </row>
    <row r="7" spans="1:5" ht="15" customHeight="1" x14ac:dyDescent="0.2">
      <c r="A7" s="2" t="s">
        <v>1516</v>
      </c>
      <c r="B7" s="2" t="s">
        <v>1517</v>
      </c>
      <c r="C7" s="2" t="s">
        <v>1429</v>
      </c>
      <c r="D7" s="2" t="s">
        <v>1518</v>
      </c>
      <c r="E7" s="650">
        <v>127149</v>
      </c>
    </row>
    <row r="8" spans="1:5" ht="15" customHeight="1" x14ac:dyDescent="0.2">
      <c r="A8" s="623" t="s">
        <v>6</v>
      </c>
      <c r="B8" s="2" t="s">
        <v>1519</v>
      </c>
      <c r="C8" s="2" t="s">
        <v>6</v>
      </c>
      <c r="D8" s="2" t="s">
        <v>6</v>
      </c>
      <c r="E8" s="650">
        <v>2583</v>
      </c>
    </row>
    <row r="9" spans="1:5" ht="15" customHeight="1" x14ac:dyDescent="0.2">
      <c r="A9" s="623"/>
      <c r="B9" s="2" t="s">
        <v>1520</v>
      </c>
      <c r="C9" s="2" t="s">
        <v>1521</v>
      </c>
      <c r="D9" s="2" t="s">
        <v>1522</v>
      </c>
      <c r="E9" s="650">
        <v>73987</v>
      </c>
    </row>
    <row r="10" spans="1:5" ht="15" customHeight="1" x14ac:dyDescent="0.2">
      <c r="A10" s="2" t="s">
        <v>7</v>
      </c>
      <c r="B10" s="2" t="s">
        <v>1523</v>
      </c>
      <c r="C10" s="2" t="s">
        <v>1524</v>
      </c>
      <c r="D10" s="2" t="s">
        <v>1525</v>
      </c>
      <c r="E10" s="650" t="s">
        <v>193</v>
      </c>
    </row>
    <row r="11" spans="1:5" ht="15" customHeight="1" x14ac:dyDescent="0.2">
      <c r="A11" s="623" t="s">
        <v>8</v>
      </c>
      <c r="B11" s="2" t="s">
        <v>1523</v>
      </c>
      <c r="C11" s="2" t="s">
        <v>1526</v>
      </c>
      <c r="D11" s="2" t="s">
        <v>1527</v>
      </c>
      <c r="E11" s="650">
        <v>859</v>
      </c>
    </row>
    <row r="12" spans="1:5" ht="15" customHeight="1" x14ac:dyDescent="0.2">
      <c r="A12" s="623"/>
      <c r="B12" s="2" t="s">
        <v>1528</v>
      </c>
      <c r="C12" s="2" t="s">
        <v>1529</v>
      </c>
      <c r="D12" s="2" t="s">
        <v>1530</v>
      </c>
      <c r="E12" s="650">
        <v>4229</v>
      </c>
    </row>
    <row r="13" spans="1:5" ht="15" customHeight="1" x14ac:dyDescent="0.2">
      <c r="A13" s="623" t="s">
        <v>9</v>
      </c>
      <c r="B13" s="2" t="s">
        <v>1531</v>
      </c>
      <c r="C13" s="2" t="s">
        <v>881</v>
      </c>
      <c r="D13" s="2" t="s">
        <v>881</v>
      </c>
      <c r="E13" s="650">
        <v>10175</v>
      </c>
    </row>
    <row r="14" spans="1:5" ht="15" customHeight="1" x14ac:dyDescent="0.2">
      <c r="A14" s="623"/>
      <c r="B14" s="2" t="s">
        <v>1532</v>
      </c>
      <c r="C14" s="2" t="s">
        <v>9</v>
      </c>
      <c r="D14" s="2" t="s">
        <v>9</v>
      </c>
      <c r="E14" s="650">
        <v>9094</v>
      </c>
    </row>
    <row r="15" spans="1:5" ht="15" customHeight="1" x14ac:dyDescent="0.2">
      <c r="A15" s="623"/>
      <c r="B15" s="2" t="s">
        <v>1533</v>
      </c>
      <c r="C15" s="2" t="s">
        <v>887</v>
      </c>
      <c r="D15" s="2" t="s">
        <v>887</v>
      </c>
      <c r="E15" s="650">
        <v>520</v>
      </c>
    </row>
    <row r="16" spans="1:5" ht="15" customHeight="1" x14ac:dyDescent="0.2">
      <c r="A16" s="2" t="s">
        <v>10</v>
      </c>
      <c r="B16" s="2" t="s">
        <v>1534</v>
      </c>
      <c r="C16" s="2" t="s">
        <v>1535</v>
      </c>
      <c r="D16" s="2" t="s">
        <v>1536</v>
      </c>
      <c r="E16" s="650">
        <v>10185</v>
      </c>
    </row>
    <row r="17" spans="1:5" ht="15" customHeight="1" x14ac:dyDescent="0.2">
      <c r="A17" s="623" t="s">
        <v>134</v>
      </c>
      <c r="B17" s="2" t="s">
        <v>1537</v>
      </c>
      <c r="C17" s="2" t="s">
        <v>916</v>
      </c>
      <c r="D17" s="2" t="s">
        <v>1538</v>
      </c>
      <c r="E17" s="650">
        <v>5870</v>
      </c>
    </row>
    <row r="18" spans="1:5" ht="15" customHeight="1" x14ac:dyDescent="0.2">
      <c r="A18" s="623"/>
      <c r="B18" s="2" t="s">
        <v>1539</v>
      </c>
      <c r="C18" s="2" t="s">
        <v>1451</v>
      </c>
      <c r="D18" s="2" t="s">
        <v>1540</v>
      </c>
      <c r="E18" s="650">
        <v>36882</v>
      </c>
    </row>
    <row r="19" spans="1:5" ht="15" customHeight="1" x14ac:dyDescent="0.2">
      <c r="A19" s="623" t="s">
        <v>12</v>
      </c>
      <c r="B19" s="2" t="s">
        <v>1541</v>
      </c>
      <c r="C19" s="2" t="s">
        <v>1454</v>
      </c>
      <c r="D19" s="2" t="s">
        <v>1542</v>
      </c>
      <c r="E19" s="650">
        <v>604</v>
      </c>
    </row>
    <row r="20" spans="1:5" ht="15" customHeight="1" x14ac:dyDescent="0.2">
      <c r="A20" s="623"/>
      <c r="B20" s="2" t="s">
        <v>1453</v>
      </c>
      <c r="C20" s="2" t="s">
        <v>1454</v>
      </c>
      <c r="D20" s="2" t="s">
        <v>919</v>
      </c>
      <c r="E20" s="650">
        <v>1009.34</v>
      </c>
    </row>
    <row r="21" spans="1:5" ht="15" customHeight="1" x14ac:dyDescent="0.2">
      <c r="A21" s="623"/>
      <c r="B21" s="2" t="s">
        <v>1543</v>
      </c>
      <c r="C21" s="2" t="s">
        <v>920</v>
      </c>
      <c r="D21" s="2" t="s">
        <v>1544</v>
      </c>
      <c r="E21" s="650">
        <v>12163</v>
      </c>
    </row>
    <row r="22" spans="1:5" ht="15" customHeight="1" x14ac:dyDescent="0.2">
      <c r="A22" s="623"/>
      <c r="B22" s="2" t="s">
        <v>1545</v>
      </c>
      <c r="C22" s="2" t="s">
        <v>1546</v>
      </c>
      <c r="D22" s="2" t="s">
        <v>1547</v>
      </c>
      <c r="E22" s="650">
        <f>29+16</f>
        <v>45</v>
      </c>
    </row>
    <row r="23" spans="1:5" ht="15" customHeight="1" x14ac:dyDescent="0.2">
      <c r="A23" s="623"/>
      <c r="B23" s="2" t="s">
        <v>1548</v>
      </c>
      <c r="C23" s="2" t="s">
        <v>1549</v>
      </c>
      <c r="D23" s="2" t="s">
        <v>1550</v>
      </c>
      <c r="E23" s="650">
        <v>417</v>
      </c>
    </row>
    <row r="24" spans="1:5" ht="15" customHeight="1" x14ac:dyDescent="0.2">
      <c r="A24" s="623"/>
      <c r="B24" s="2" t="s">
        <v>1551</v>
      </c>
      <c r="C24" s="2" t="s">
        <v>1552</v>
      </c>
      <c r="D24" s="2" t="s">
        <v>1553</v>
      </c>
      <c r="E24" s="650">
        <v>145</v>
      </c>
    </row>
    <row r="25" spans="1:5" ht="15" customHeight="1" x14ac:dyDescent="0.2">
      <c r="A25" s="623"/>
      <c r="B25" s="2" t="s">
        <v>1554</v>
      </c>
      <c r="C25" s="2" t="s">
        <v>1552</v>
      </c>
      <c r="D25" s="2" t="s">
        <v>1555</v>
      </c>
      <c r="E25" s="650">
        <v>147</v>
      </c>
    </row>
    <row r="26" spans="1:5" ht="15" customHeight="1" x14ac:dyDescent="0.2">
      <c r="A26" s="623" t="s">
        <v>13</v>
      </c>
      <c r="B26" s="2" t="s">
        <v>1556</v>
      </c>
      <c r="C26" s="2" t="s">
        <v>1557</v>
      </c>
      <c r="D26" s="2" t="s">
        <v>1558</v>
      </c>
      <c r="E26" s="650">
        <v>2181.66</v>
      </c>
    </row>
    <row r="27" spans="1:5" ht="15" customHeight="1" x14ac:dyDescent="0.2">
      <c r="A27" s="623"/>
      <c r="B27" s="2" t="s">
        <v>1559</v>
      </c>
      <c r="C27" s="2" t="s">
        <v>1560</v>
      </c>
      <c r="D27" s="2" t="s">
        <v>1561</v>
      </c>
      <c r="E27" s="650">
        <v>2020.8</v>
      </c>
    </row>
    <row r="28" spans="1:5" ht="15" customHeight="1" x14ac:dyDescent="0.2">
      <c r="A28" s="623"/>
      <c r="B28" s="2" t="s">
        <v>1560</v>
      </c>
      <c r="C28" s="2" t="s">
        <v>1562</v>
      </c>
      <c r="D28" s="2" t="s">
        <v>1563</v>
      </c>
      <c r="E28" s="650">
        <v>55948</v>
      </c>
    </row>
    <row r="29" spans="1:5" ht="15" customHeight="1" x14ac:dyDescent="0.2">
      <c r="A29" s="623"/>
      <c r="B29" s="2" t="s">
        <v>1564</v>
      </c>
      <c r="C29" s="2" t="s">
        <v>1565</v>
      </c>
      <c r="D29" s="2" t="s">
        <v>1566</v>
      </c>
      <c r="E29" s="650">
        <v>12421</v>
      </c>
    </row>
    <row r="30" spans="1:5" ht="15" customHeight="1" x14ac:dyDescent="0.2">
      <c r="A30" s="623"/>
      <c r="B30" s="2" t="s">
        <v>1567</v>
      </c>
      <c r="C30" s="2" t="s">
        <v>1568</v>
      </c>
      <c r="D30" s="2" t="s">
        <v>1569</v>
      </c>
      <c r="E30" s="650">
        <v>18855.71</v>
      </c>
    </row>
    <row r="31" spans="1:5" ht="15" customHeight="1" x14ac:dyDescent="0.2">
      <c r="A31" s="623"/>
      <c r="B31" s="2" t="s">
        <v>1570</v>
      </c>
      <c r="C31" s="2" t="s">
        <v>889</v>
      </c>
      <c r="D31" s="2" t="s">
        <v>1571</v>
      </c>
      <c r="E31" s="650">
        <v>3036.9</v>
      </c>
    </row>
    <row r="32" spans="1:5" ht="15" customHeight="1" x14ac:dyDescent="0.2">
      <c r="A32" s="623" t="s">
        <v>47</v>
      </c>
      <c r="B32" s="2" t="s">
        <v>1462</v>
      </c>
      <c r="C32" s="2" t="s">
        <v>1462</v>
      </c>
      <c r="D32" s="2" t="s">
        <v>1572</v>
      </c>
      <c r="E32" s="650">
        <v>16625</v>
      </c>
    </row>
    <row r="33" spans="1:5" ht="15" customHeight="1" x14ac:dyDescent="0.2">
      <c r="A33" s="623"/>
      <c r="B33" s="2" t="s">
        <v>1573</v>
      </c>
      <c r="C33" s="2" t="s">
        <v>1462</v>
      </c>
      <c r="D33" s="2" t="s">
        <v>1574</v>
      </c>
      <c r="E33" s="650">
        <v>33050</v>
      </c>
    </row>
    <row r="34" spans="1:5" ht="15" customHeight="1" x14ac:dyDescent="0.2">
      <c r="A34" s="623"/>
      <c r="B34" s="2" t="s">
        <v>1575</v>
      </c>
      <c r="C34" s="2" t="s">
        <v>1462</v>
      </c>
      <c r="D34" s="2" t="s">
        <v>1574</v>
      </c>
      <c r="E34" s="650">
        <v>17530</v>
      </c>
    </row>
    <row r="35" spans="1:5" ht="15" customHeight="1" x14ac:dyDescent="0.2">
      <c r="A35" s="623"/>
      <c r="B35" s="2" t="s">
        <v>1576</v>
      </c>
      <c r="C35" s="2" t="s">
        <v>1462</v>
      </c>
      <c r="D35" s="2" t="s">
        <v>1577</v>
      </c>
      <c r="E35" s="650">
        <v>12789</v>
      </c>
    </row>
    <row r="36" spans="1:5" ht="15" customHeight="1" x14ac:dyDescent="0.2">
      <c r="A36" s="623"/>
      <c r="B36" s="2" t="s">
        <v>1578</v>
      </c>
      <c r="C36" s="2" t="s">
        <v>1468</v>
      </c>
      <c r="D36" s="2" t="s">
        <v>1579</v>
      </c>
      <c r="E36" s="650">
        <v>12825</v>
      </c>
    </row>
    <row r="37" spans="1:5" ht="15" customHeight="1" x14ac:dyDescent="0.2">
      <c r="A37" s="623"/>
      <c r="B37" s="2" t="s">
        <v>1470</v>
      </c>
      <c r="C37" s="2" t="s">
        <v>1468</v>
      </c>
      <c r="D37" s="2" t="s">
        <v>1580</v>
      </c>
      <c r="E37" s="650">
        <v>72462</v>
      </c>
    </row>
    <row r="38" spans="1:5" ht="15" customHeight="1" x14ac:dyDescent="0.2">
      <c r="A38" s="2" t="s">
        <v>15</v>
      </c>
      <c r="B38" s="2" t="s">
        <v>1581</v>
      </c>
      <c r="C38" s="2" t="s">
        <v>928</v>
      </c>
      <c r="D38" s="2" t="s">
        <v>1582</v>
      </c>
      <c r="E38" s="650">
        <v>7537</v>
      </c>
    </row>
    <row r="39" spans="1:5" ht="15" customHeight="1" x14ac:dyDescent="0.2">
      <c r="A39" s="623" t="s">
        <v>16</v>
      </c>
      <c r="B39" s="2" t="s">
        <v>1483</v>
      </c>
      <c r="C39" s="2" t="s">
        <v>1483</v>
      </c>
      <c r="D39" s="2" t="s">
        <v>1583</v>
      </c>
      <c r="E39" s="650">
        <v>33972</v>
      </c>
    </row>
    <row r="40" spans="1:5" ht="15" customHeight="1" x14ac:dyDescent="0.2">
      <c r="A40" s="623"/>
      <c r="B40" s="2" t="s">
        <v>1584</v>
      </c>
      <c r="C40" s="2" t="s">
        <v>1489</v>
      </c>
      <c r="D40" s="2" t="s">
        <v>1584</v>
      </c>
      <c r="E40" s="650">
        <v>12065</v>
      </c>
    </row>
    <row r="41" spans="1:5" ht="15" customHeight="1" x14ac:dyDescent="0.2">
      <c r="A41" s="623"/>
      <c r="B41" s="2" t="s">
        <v>1585</v>
      </c>
      <c r="C41" s="2" t="s">
        <v>1586</v>
      </c>
      <c r="D41" s="2" t="s">
        <v>1587</v>
      </c>
      <c r="E41" s="650">
        <v>49415</v>
      </c>
    </row>
    <row r="42" spans="1:5" ht="15" customHeight="1" x14ac:dyDescent="0.2">
      <c r="A42" s="623" t="s">
        <v>17</v>
      </c>
      <c r="B42" s="2" t="s">
        <v>1588</v>
      </c>
      <c r="C42" s="2" t="s">
        <v>1031</v>
      </c>
      <c r="D42" s="2" t="s">
        <v>1589</v>
      </c>
      <c r="E42" s="650">
        <v>18060</v>
      </c>
    </row>
    <row r="43" spans="1:5" ht="15" customHeight="1" x14ac:dyDescent="0.2">
      <c r="A43" s="623"/>
      <c r="B43" s="2" t="s">
        <v>1590</v>
      </c>
      <c r="C43" s="2" t="s">
        <v>1031</v>
      </c>
      <c r="D43" s="2" t="s">
        <v>1591</v>
      </c>
      <c r="E43" s="650">
        <v>16516</v>
      </c>
    </row>
    <row r="44" spans="1:5" ht="15" customHeight="1" x14ac:dyDescent="0.2">
      <c r="A44" s="623"/>
      <c r="B44" s="2" t="s">
        <v>1592</v>
      </c>
      <c r="C44" s="2" t="s">
        <v>17</v>
      </c>
      <c r="D44" s="2" t="s">
        <v>1497</v>
      </c>
      <c r="E44" s="650">
        <v>12725</v>
      </c>
    </row>
    <row r="45" spans="1:5" ht="15" customHeight="1" x14ac:dyDescent="0.2">
      <c r="A45" s="623"/>
      <c r="B45" s="2" t="s">
        <v>1593</v>
      </c>
      <c r="C45" s="2" t="s">
        <v>17</v>
      </c>
      <c r="D45" s="2" t="s">
        <v>1594</v>
      </c>
      <c r="E45" s="650">
        <v>1097975</v>
      </c>
    </row>
    <row r="46" spans="1:5" ht="15" customHeight="1" x14ac:dyDescent="0.2">
      <c r="A46" s="623"/>
      <c r="B46" s="2" t="s">
        <v>1595</v>
      </c>
      <c r="C46" s="2" t="s">
        <v>1596</v>
      </c>
      <c r="D46" s="2" t="s">
        <v>1596</v>
      </c>
      <c r="E46" s="650">
        <v>41620.5</v>
      </c>
    </row>
    <row r="47" spans="1:5" ht="15" customHeight="1" x14ac:dyDescent="0.2">
      <c r="A47" s="623"/>
      <c r="B47" s="2" t="s">
        <v>1031</v>
      </c>
      <c r="C47" s="2" t="s">
        <v>1031</v>
      </c>
      <c r="D47" s="2" t="s">
        <v>1031</v>
      </c>
      <c r="E47" s="650">
        <v>2150</v>
      </c>
    </row>
    <row r="48" spans="1:5" ht="15" customHeight="1" x14ac:dyDescent="0.2">
      <c r="A48" s="623"/>
      <c r="B48" s="2" t="s">
        <v>1597</v>
      </c>
      <c r="C48" s="2" t="s">
        <v>1031</v>
      </c>
      <c r="D48" s="2" t="s">
        <v>1031</v>
      </c>
      <c r="E48" s="650">
        <v>2305</v>
      </c>
    </row>
    <row r="49" spans="1:5" ht="15" customHeight="1" x14ac:dyDescent="0.2">
      <c r="A49" s="623"/>
      <c r="B49" s="2" t="s">
        <v>1598</v>
      </c>
      <c r="C49" s="2" t="s">
        <v>1599</v>
      </c>
      <c r="D49" s="2" t="s">
        <v>1600</v>
      </c>
      <c r="E49" s="650">
        <v>179550</v>
      </c>
    </row>
    <row r="50" spans="1:5" ht="15" customHeight="1" x14ac:dyDescent="0.2">
      <c r="A50" s="623"/>
      <c r="B50" s="2" t="s">
        <v>1601</v>
      </c>
      <c r="C50" s="2" t="s">
        <v>1500</v>
      </c>
      <c r="D50" s="2" t="s">
        <v>1602</v>
      </c>
      <c r="E50" s="650">
        <v>161100</v>
      </c>
    </row>
    <row r="51" spans="1:5" ht="15" customHeight="1" x14ac:dyDescent="0.2">
      <c r="A51" s="623"/>
      <c r="B51" s="2" t="s">
        <v>1603</v>
      </c>
      <c r="C51" s="2" t="s">
        <v>1504</v>
      </c>
      <c r="D51" s="2" t="s">
        <v>1604</v>
      </c>
      <c r="E51" s="650">
        <v>8361</v>
      </c>
    </row>
    <row r="52" spans="1:5" ht="15" customHeight="1" x14ac:dyDescent="0.2">
      <c r="A52" s="623"/>
      <c r="B52" s="2" t="s">
        <v>1605</v>
      </c>
      <c r="C52" s="2" t="s">
        <v>1504</v>
      </c>
      <c r="D52" s="2" t="s">
        <v>1606</v>
      </c>
      <c r="E52" s="650">
        <v>674500</v>
      </c>
    </row>
    <row r="53" spans="1:5" ht="15" customHeight="1" x14ac:dyDescent="0.2">
      <c r="A53" s="623" t="s">
        <v>18</v>
      </c>
      <c r="B53" s="2" t="s">
        <v>1607</v>
      </c>
      <c r="C53" s="2" t="s">
        <v>1608</v>
      </c>
      <c r="D53" s="2" t="s">
        <v>1609</v>
      </c>
      <c r="E53" s="650">
        <v>2313875</v>
      </c>
    </row>
    <row r="54" spans="1:5" ht="15" customHeight="1" x14ac:dyDescent="0.2">
      <c r="A54" s="623"/>
      <c r="B54" s="2" t="s">
        <v>1610</v>
      </c>
      <c r="C54" s="2" t="s">
        <v>18</v>
      </c>
      <c r="D54" s="2" t="s">
        <v>934</v>
      </c>
      <c r="E54" s="650">
        <v>18814</v>
      </c>
    </row>
    <row r="55" spans="1:5" ht="15" customHeight="1" x14ac:dyDescent="0.2">
      <c r="A55" s="623"/>
      <c r="B55" s="2" t="s">
        <v>18</v>
      </c>
      <c r="C55" s="2" t="s">
        <v>18</v>
      </c>
      <c r="D55" s="2" t="s">
        <v>934</v>
      </c>
      <c r="E55" s="650">
        <v>13500</v>
      </c>
    </row>
    <row r="57" spans="1:5" ht="25.5" customHeight="1" x14ac:dyDescent="0.2">
      <c r="A57" s="638" t="s">
        <v>1611</v>
      </c>
      <c r="B57" s="638"/>
      <c r="C57" s="638"/>
      <c r="D57" s="638"/>
      <c r="E57" s="638"/>
    </row>
    <row r="58" spans="1:5" ht="15" customHeight="1" x14ac:dyDescent="0.2">
      <c r="A58" s="2" t="s">
        <v>1612</v>
      </c>
    </row>
    <row r="59" spans="1:5" ht="15" customHeight="1" x14ac:dyDescent="0.2">
      <c r="A59" s="2" t="s">
        <v>1412</v>
      </c>
    </row>
    <row r="76" ht="22.5" customHeight="1" x14ac:dyDescent="0.2"/>
  </sheetData>
  <mergeCells count="11">
    <mergeCell ref="A32:A37"/>
    <mergeCell ref="A39:A41"/>
    <mergeCell ref="A42:A52"/>
    <mergeCell ref="A53:A55"/>
    <mergeCell ref="A57:E57"/>
    <mergeCell ref="A8:A9"/>
    <mergeCell ref="A11:A12"/>
    <mergeCell ref="A13:A15"/>
    <mergeCell ref="A17:A18"/>
    <mergeCell ref="A19:A25"/>
    <mergeCell ref="A26:A31"/>
  </mergeCells>
  <printOptions horizontalCentered="1" verticalCentered="1"/>
  <pageMargins left="0.43" right="0.38" top="0.19685039370078741" bottom="0.98425196850393704" header="0.19685039370078741" footer="0.51181102362204722"/>
  <pageSetup paperSize="14" scale="80" orientation="portrait" horizontalDpi="300" verticalDpi="300"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D3020-C91F-4B3A-A1D3-3A836C36ABA5}">
  <sheetPr codeName="Hoja99"/>
  <dimension ref="A2:E37"/>
  <sheetViews>
    <sheetView workbookViewId="0">
      <selection activeCell="D4" sqref="D4"/>
    </sheetView>
  </sheetViews>
  <sheetFormatPr baseColWidth="10" defaultColWidth="11.44140625" defaultRowHeight="15" customHeight="1" x14ac:dyDescent="0.2"/>
  <cols>
    <col min="1" max="1" width="23.6640625" style="2" customWidth="1"/>
    <col min="2" max="2" width="27.88671875" style="2" customWidth="1"/>
    <col min="3" max="3" width="17" style="2" customWidth="1"/>
    <col min="4" max="4" width="18.33203125" style="2" customWidth="1"/>
    <col min="5" max="5" width="19.5546875" style="2" customWidth="1"/>
    <col min="6" max="16384" width="11.44140625" style="2"/>
  </cols>
  <sheetData>
    <row r="2" spans="1:5" s="24" customFormat="1" ht="15" customHeight="1" x14ac:dyDescent="0.2">
      <c r="A2" s="24" t="s">
        <v>1100</v>
      </c>
    </row>
    <row r="3" spans="1:5" ht="10.199999999999999" x14ac:dyDescent="0.2"/>
    <row r="4" spans="1:5" ht="23.25" customHeight="1" x14ac:dyDescent="0.2">
      <c r="A4" s="621" t="s">
        <v>1421</v>
      </c>
      <c r="B4" s="621" t="s">
        <v>1422</v>
      </c>
      <c r="C4" s="621" t="s">
        <v>1423</v>
      </c>
      <c r="D4" s="621" t="s">
        <v>1424</v>
      </c>
      <c r="E4" s="621" t="s">
        <v>1416</v>
      </c>
    </row>
    <row r="5" spans="1:5" s="24" customFormat="1" ht="10.199999999999999" x14ac:dyDescent="0.2">
      <c r="A5" s="24" t="s">
        <v>3</v>
      </c>
      <c r="E5" s="655">
        <f>SUM(E6:E21)</f>
        <v>34428.410000000003</v>
      </c>
    </row>
    <row r="6" spans="1:5" ht="10.199999999999999" x14ac:dyDescent="0.2">
      <c r="A6" s="623" t="s">
        <v>4</v>
      </c>
      <c r="B6" s="2" t="s">
        <v>1613</v>
      </c>
      <c r="C6" s="2" t="s">
        <v>1426</v>
      </c>
      <c r="D6" s="2" t="s">
        <v>1427</v>
      </c>
      <c r="E6" s="643">
        <v>11298</v>
      </c>
    </row>
    <row r="7" spans="1:5" ht="10.199999999999999" x14ac:dyDescent="0.2">
      <c r="A7" s="623"/>
      <c r="B7" s="2" t="s">
        <v>1614</v>
      </c>
      <c r="C7" s="2" t="s">
        <v>871</v>
      </c>
      <c r="D7" s="2" t="s">
        <v>871</v>
      </c>
      <c r="E7" s="643">
        <v>11325.71</v>
      </c>
    </row>
    <row r="8" spans="1:5" ht="10.199999999999999" x14ac:dyDescent="0.2">
      <c r="A8" s="623" t="s">
        <v>6</v>
      </c>
      <c r="B8" s="2" t="s">
        <v>1615</v>
      </c>
      <c r="C8" s="2" t="s">
        <v>6</v>
      </c>
      <c r="D8" s="2" t="s">
        <v>6</v>
      </c>
      <c r="E8" s="643">
        <v>31</v>
      </c>
    </row>
    <row r="9" spans="1:5" ht="10.199999999999999" x14ac:dyDescent="0.2">
      <c r="A9" s="623"/>
      <c r="B9" s="2" t="s">
        <v>1616</v>
      </c>
      <c r="C9" s="2" t="s">
        <v>6</v>
      </c>
      <c r="D9" s="2" t="s">
        <v>1617</v>
      </c>
      <c r="E9" s="643">
        <v>7532.56</v>
      </c>
    </row>
    <row r="10" spans="1:5" ht="10.199999999999999" x14ac:dyDescent="0.2">
      <c r="A10" s="2" t="s">
        <v>8</v>
      </c>
      <c r="B10" s="2" t="s">
        <v>1618</v>
      </c>
      <c r="C10" s="2" t="s">
        <v>1444</v>
      </c>
      <c r="D10" s="2" t="s">
        <v>1619</v>
      </c>
      <c r="E10" s="643">
        <v>128</v>
      </c>
    </row>
    <row r="11" spans="1:5" ht="10.199999999999999" x14ac:dyDescent="0.2">
      <c r="A11" s="2" t="s">
        <v>9</v>
      </c>
      <c r="B11" s="2" t="s">
        <v>1620</v>
      </c>
      <c r="C11" s="2" t="s">
        <v>1621</v>
      </c>
      <c r="D11" s="2" t="s">
        <v>1622</v>
      </c>
      <c r="E11" s="643">
        <v>4.5</v>
      </c>
    </row>
    <row r="12" spans="1:5" ht="10.199999999999999" x14ac:dyDescent="0.2">
      <c r="A12" s="2" t="s">
        <v>10</v>
      </c>
      <c r="B12" s="2" t="s">
        <v>1623</v>
      </c>
      <c r="C12" s="2" t="s">
        <v>1535</v>
      </c>
      <c r="D12" s="2" t="s">
        <v>1624</v>
      </c>
      <c r="E12" s="643">
        <v>3009</v>
      </c>
    </row>
    <row r="13" spans="1:5" ht="10.199999999999999" x14ac:dyDescent="0.2">
      <c r="A13" s="623" t="s">
        <v>1625</v>
      </c>
      <c r="B13" s="2" t="s">
        <v>1626</v>
      </c>
      <c r="C13" s="2" t="s">
        <v>1462</v>
      </c>
      <c r="D13" s="2" t="s">
        <v>1627</v>
      </c>
      <c r="E13" s="643">
        <v>82</v>
      </c>
    </row>
    <row r="14" spans="1:5" ht="10.199999999999999" x14ac:dyDescent="0.2">
      <c r="A14" s="623"/>
      <c r="B14" s="2" t="s">
        <v>1628</v>
      </c>
      <c r="C14" s="2" t="s">
        <v>1468</v>
      </c>
      <c r="D14" s="2" t="s">
        <v>895</v>
      </c>
      <c r="E14" s="643">
        <v>89</v>
      </c>
    </row>
    <row r="15" spans="1:5" ht="10.199999999999999" x14ac:dyDescent="0.2">
      <c r="A15" s="623" t="s">
        <v>16</v>
      </c>
      <c r="B15" s="2" t="s">
        <v>1629</v>
      </c>
      <c r="C15" s="2" t="s">
        <v>1483</v>
      </c>
      <c r="D15" s="2" t="s">
        <v>1030</v>
      </c>
      <c r="E15" s="643">
        <v>200</v>
      </c>
    </row>
    <row r="16" spans="1:5" ht="10.199999999999999" x14ac:dyDescent="0.2">
      <c r="A16" s="623"/>
      <c r="B16" s="2" t="s">
        <v>1630</v>
      </c>
      <c r="C16" s="2" t="s">
        <v>1491</v>
      </c>
      <c r="D16" s="2" t="s">
        <v>1631</v>
      </c>
      <c r="E16" s="643">
        <v>8.64</v>
      </c>
    </row>
    <row r="17" spans="1:5" ht="10.199999999999999" x14ac:dyDescent="0.2">
      <c r="A17" s="623" t="s">
        <v>17</v>
      </c>
      <c r="B17" s="2" t="s">
        <v>1632</v>
      </c>
      <c r="C17" s="2" t="s">
        <v>17</v>
      </c>
      <c r="D17" s="2" t="s">
        <v>17</v>
      </c>
      <c r="E17" s="643">
        <v>228</v>
      </c>
    </row>
    <row r="18" spans="1:5" ht="10.199999999999999" x14ac:dyDescent="0.2">
      <c r="A18" s="623"/>
      <c r="B18" s="2" t="s">
        <v>1633</v>
      </c>
      <c r="C18" s="2" t="s">
        <v>1031</v>
      </c>
      <c r="D18" s="2" t="s">
        <v>1031</v>
      </c>
      <c r="E18" s="643">
        <v>181</v>
      </c>
    </row>
    <row r="19" spans="1:5" ht="10.199999999999999" x14ac:dyDescent="0.2">
      <c r="A19" s="623" t="s">
        <v>18</v>
      </c>
      <c r="B19" s="2" t="s">
        <v>1634</v>
      </c>
      <c r="C19" s="2" t="s">
        <v>1506</v>
      </c>
      <c r="D19" s="2" t="s">
        <v>1635</v>
      </c>
      <c r="E19" s="643">
        <v>189</v>
      </c>
    </row>
    <row r="20" spans="1:5" ht="10.199999999999999" x14ac:dyDescent="0.2">
      <c r="A20" s="623"/>
      <c r="B20" s="2" t="s">
        <v>1636</v>
      </c>
      <c r="C20" s="2" t="s">
        <v>18</v>
      </c>
      <c r="D20" s="2" t="s">
        <v>934</v>
      </c>
      <c r="E20" s="643">
        <v>97</v>
      </c>
    </row>
    <row r="21" spans="1:5" ht="10.199999999999999" x14ac:dyDescent="0.2">
      <c r="A21" s="623"/>
      <c r="B21" s="2" t="s">
        <v>1637</v>
      </c>
      <c r="C21" s="2" t="s">
        <v>1511</v>
      </c>
      <c r="D21" s="2" t="s">
        <v>1638</v>
      </c>
      <c r="E21" s="643">
        <v>25</v>
      </c>
    </row>
    <row r="22" spans="1:5" ht="10.199999999999999" x14ac:dyDescent="0.2"/>
    <row r="23" spans="1:5" ht="10.199999999999999" x14ac:dyDescent="0.2">
      <c r="A23" s="623" t="s">
        <v>1412</v>
      </c>
      <c r="B23" s="623"/>
      <c r="C23" s="623"/>
      <c r="D23" s="623"/>
      <c r="E23" s="623"/>
    </row>
    <row r="24" spans="1:5" ht="10.199999999999999" x14ac:dyDescent="0.2"/>
    <row r="25" spans="1:5" ht="10.199999999999999" x14ac:dyDescent="0.2"/>
    <row r="26" spans="1:5" ht="10.199999999999999" x14ac:dyDescent="0.2"/>
    <row r="27" spans="1:5" ht="10.199999999999999" x14ac:dyDescent="0.2"/>
    <row r="28" spans="1:5" ht="10.199999999999999" x14ac:dyDescent="0.2"/>
    <row r="29" spans="1:5" ht="10.199999999999999" x14ac:dyDescent="0.2"/>
    <row r="30" spans="1:5" ht="10.199999999999999" x14ac:dyDescent="0.2"/>
    <row r="31" spans="1:5" ht="10.199999999999999" x14ac:dyDescent="0.2"/>
    <row r="32" spans="1:5" ht="10.199999999999999" x14ac:dyDescent="0.2"/>
    <row r="33" ht="10.199999999999999" x14ac:dyDescent="0.2"/>
    <row r="34" ht="10.199999999999999" x14ac:dyDescent="0.2"/>
    <row r="35" ht="10.199999999999999" x14ac:dyDescent="0.2"/>
    <row r="37" ht="20.25" customHeight="1" x14ac:dyDescent="0.2"/>
  </sheetData>
  <mergeCells count="7">
    <mergeCell ref="A23:E23"/>
    <mergeCell ref="A6:A7"/>
    <mergeCell ref="A8:A9"/>
    <mergeCell ref="A13:A14"/>
    <mergeCell ref="A15:A16"/>
    <mergeCell ref="A17:A18"/>
    <mergeCell ref="A19:A21"/>
  </mergeCells>
  <pageMargins left="0.74803149606299213" right="0.51181102362204722" top="0.78740157480314965" bottom="0.59055118110236227" header="0.51181102362204722" footer="0.51181102362204722"/>
  <pageSetup paperSize="14" orientation="landscape"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321</vt:i4>
      </vt:variant>
      <vt:variant>
        <vt:lpstr>Rangos con nombre</vt:lpstr>
      </vt:variant>
      <vt:variant>
        <vt:i4>68</vt:i4>
      </vt:variant>
    </vt:vector>
  </HeadingPairs>
  <TitlesOfParts>
    <vt:vector size="389" baseType="lpstr">
      <vt:lpstr>2.1</vt:lpstr>
      <vt:lpstr>2.1-01</vt:lpstr>
      <vt:lpstr>2.1-02</vt:lpstr>
      <vt:lpstr>2.1-03</vt:lpstr>
      <vt:lpstr>2.1-04</vt:lpstr>
      <vt:lpstr>2.2</vt:lpstr>
      <vt:lpstr>2.2-01</vt:lpstr>
      <vt:lpstr>2.2-02</vt:lpstr>
      <vt:lpstr>2.2-03</vt:lpstr>
      <vt:lpstr>2.2-04</vt:lpstr>
      <vt:lpstr>2.2-05</vt:lpstr>
      <vt:lpstr>2.2-06</vt:lpstr>
      <vt:lpstr>2.3</vt:lpstr>
      <vt:lpstr>2.3-01</vt:lpstr>
      <vt:lpstr>2.3-02</vt:lpstr>
      <vt:lpstr>2.3-03</vt:lpstr>
      <vt:lpstr>2.4</vt:lpstr>
      <vt:lpstr>2.4-01</vt:lpstr>
      <vt:lpstr>2.4-02</vt:lpstr>
      <vt:lpstr>2.4-03</vt:lpstr>
      <vt:lpstr>2.4-04</vt:lpstr>
      <vt:lpstr>2.4-05</vt:lpstr>
      <vt:lpstr>2.4-06</vt:lpstr>
      <vt:lpstr>2.4-07</vt:lpstr>
      <vt:lpstr>2.4-08</vt:lpstr>
      <vt:lpstr>2.4-09</vt:lpstr>
      <vt:lpstr>2.5</vt:lpstr>
      <vt:lpstr>2.5-01</vt:lpstr>
      <vt:lpstr>2.5-02</vt:lpstr>
      <vt:lpstr>2.5-03</vt:lpstr>
      <vt:lpstr>2.5-04</vt:lpstr>
      <vt:lpstr>2.5-05</vt:lpstr>
      <vt:lpstr>2.5-06</vt:lpstr>
      <vt:lpstr>2.5-07</vt:lpstr>
      <vt:lpstr>2.5-08</vt:lpstr>
      <vt:lpstr>2.6</vt:lpstr>
      <vt:lpstr>2.6-01</vt:lpstr>
      <vt:lpstr>2.6-02</vt:lpstr>
      <vt:lpstr>2.6-03</vt:lpstr>
      <vt:lpstr>2.6-04</vt:lpstr>
      <vt:lpstr>2.6-05</vt:lpstr>
      <vt:lpstr>2.7</vt:lpstr>
      <vt:lpstr>2.7-01</vt:lpstr>
      <vt:lpstr>2.7-02</vt:lpstr>
      <vt:lpstr>2.7-03</vt:lpstr>
      <vt:lpstr>2.7-04</vt:lpstr>
      <vt:lpstr>2.7-05</vt:lpstr>
      <vt:lpstr>2.7-06</vt:lpstr>
      <vt:lpstr>2.7-07</vt:lpstr>
      <vt:lpstr>2.7-08</vt:lpstr>
      <vt:lpstr>2.7-09</vt:lpstr>
      <vt:lpstr>2.7-10</vt:lpstr>
      <vt:lpstr>2-7-11</vt:lpstr>
      <vt:lpstr>2.7-12</vt:lpstr>
      <vt:lpstr>2.7-13</vt:lpstr>
      <vt:lpstr>2.7-14</vt:lpstr>
      <vt:lpstr>2.7-15</vt:lpstr>
      <vt:lpstr>2.7-16</vt:lpstr>
      <vt:lpstr>2.7-17</vt:lpstr>
      <vt:lpstr>2.7-18</vt:lpstr>
      <vt:lpstr>2.7-19</vt:lpstr>
      <vt:lpstr>3.1</vt:lpstr>
      <vt:lpstr>3.1-01</vt:lpstr>
      <vt:lpstr>3.1-02</vt:lpstr>
      <vt:lpstr>3.1.1.1</vt:lpstr>
      <vt:lpstr>3.1.1.1-01</vt:lpstr>
      <vt:lpstr>3.1.1.1-02</vt:lpstr>
      <vt:lpstr>3.1.1.1-03</vt:lpstr>
      <vt:lpstr>3.1.1.1-04</vt:lpstr>
      <vt:lpstr>3.1.1.2</vt:lpstr>
      <vt:lpstr>3.1.1.2-01</vt:lpstr>
      <vt:lpstr>3.1.1.2-02</vt:lpstr>
      <vt:lpstr>3.1.1.2-03</vt:lpstr>
      <vt:lpstr>3.1.1.2-04</vt:lpstr>
      <vt:lpstr>3.1.1.2-05</vt:lpstr>
      <vt:lpstr>3.1.1.2-06</vt:lpstr>
      <vt:lpstr>3.1.1.2-07</vt:lpstr>
      <vt:lpstr>3.1.1.2-08</vt:lpstr>
      <vt:lpstr>3.1.1.2-09</vt:lpstr>
      <vt:lpstr>3.1.1.2-10</vt:lpstr>
      <vt:lpstr>3.1.1.2-11</vt:lpstr>
      <vt:lpstr>3.1.1.2-12</vt:lpstr>
      <vt:lpstr>3.1.2.1</vt:lpstr>
      <vt:lpstr>3.1.2.1-01</vt:lpstr>
      <vt:lpstr>3.1.2.1-02</vt:lpstr>
      <vt:lpstr>3.1.2.1-03</vt:lpstr>
      <vt:lpstr>3.1.2.1-04</vt:lpstr>
      <vt:lpstr>3.1.2.1-05</vt:lpstr>
      <vt:lpstr>3.1.2.1-06</vt:lpstr>
      <vt:lpstr>3.1.2.1-07</vt:lpstr>
      <vt:lpstr>3.1.2.2</vt:lpstr>
      <vt:lpstr>3.1.2.2-01</vt:lpstr>
      <vt:lpstr>3.1.2.2-02</vt:lpstr>
      <vt:lpstr>3.1.2.3</vt:lpstr>
      <vt:lpstr>3.1.2.3-01</vt:lpstr>
      <vt:lpstr>3.1.2.3-02</vt:lpstr>
      <vt:lpstr>3.1.2.3-03</vt:lpstr>
      <vt:lpstr>3.1.2.3-04</vt:lpstr>
      <vt:lpstr>3.1.2.3-05</vt:lpstr>
      <vt:lpstr>3.1.2.3-06</vt:lpstr>
      <vt:lpstr>3.1.2.3-07</vt:lpstr>
      <vt:lpstr>3.1.2.3-08</vt:lpstr>
      <vt:lpstr>3.1.2.3-09</vt:lpstr>
      <vt:lpstr>3.1.2.3-10</vt:lpstr>
      <vt:lpstr>3.1.2.3-11</vt:lpstr>
      <vt:lpstr>3.1.2.3-12</vt:lpstr>
      <vt:lpstr>3.1.2.3-13</vt:lpstr>
      <vt:lpstr>3.1.2.3-14</vt:lpstr>
      <vt:lpstr>3.1.2.3-15</vt:lpstr>
      <vt:lpstr>3.1.2.3-16</vt:lpstr>
      <vt:lpstr>3.1.2.3-17</vt:lpstr>
      <vt:lpstr>3.1.2.3-18</vt:lpstr>
      <vt:lpstr>3.1.2.3-19</vt:lpstr>
      <vt:lpstr>3.1.3</vt:lpstr>
      <vt:lpstr>3.1.3-01</vt:lpstr>
      <vt:lpstr>3.1.3-02</vt:lpstr>
      <vt:lpstr>3.1.3-03</vt:lpstr>
      <vt:lpstr>3.1.3-04</vt:lpstr>
      <vt:lpstr>3.1.3-05</vt:lpstr>
      <vt:lpstr>3.1.3-06</vt:lpstr>
      <vt:lpstr>3.1.3-07</vt:lpstr>
      <vt:lpstr>3.1.3-08</vt:lpstr>
      <vt:lpstr>3.1.3-09</vt:lpstr>
      <vt:lpstr>3.1.3-10</vt:lpstr>
      <vt:lpstr>3.1.3-11</vt:lpstr>
      <vt:lpstr>3.2</vt:lpstr>
      <vt:lpstr>3.2-01</vt:lpstr>
      <vt:lpstr>3.2-02</vt:lpstr>
      <vt:lpstr>3.2-03</vt:lpstr>
      <vt:lpstr>3.2-04</vt:lpstr>
      <vt:lpstr>3.2-05</vt:lpstr>
      <vt:lpstr>3.3</vt:lpstr>
      <vt:lpstr>3.3-01</vt:lpstr>
      <vt:lpstr>3.3-02</vt:lpstr>
      <vt:lpstr>3.3-03</vt:lpstr>
      <vt:lpstr>3.3-04</vt:lpstr>
      <vt:lpstr>3.3-05</vt:lpstr>
      <vt:lpstr>3.3-06</vt:lpstr>
      <vt:lpstr>3.4</vt:lpstr>
      <vt:lpstr>3.4-01</vt:lpstr>
      <vt:lpstr>3.4-02</vt:lpstr>
      <vt:lpstr>3.4-03</vt:lpstr>
      <vt:lpstr>3.4-04</vt:lpstr>
      <vt:lpstr>3.4-05</vt:lpstr>
      <vt:lpstr>3.4-06</vt:lpstr>
      <vt:lpstr>3.4-07</vt:lpstr>
      <vt:lpstr>3.4-08</vt:lpstr>
      <vt:lpstr>3.4-09</vt:lpstr>
      <vt:lpstr>3.4-10</vt:lpstr>
      <vt:lpstr>3.4-11</vt:lpstr>
      <vt:lpstr>3.4-12</vt:lpstr>
      <vt:lpstr>3.4-13</vt:lpstr>
      <vt:lpstr>3.4-14</vt:lpstr>
      <vt:lpstr>3.4-15</vt:lpstr>
      <vt:lpstr>3.4-16</vt:lpstr>
      <vt:lpstr>3.4-17</vt:lpstr>
      <vt:lpstr>3.4-18</vt:lpstr>
      <vt:lpstr>3.4-19</vt:lpstr>
      <vt:lpstr>3.5</vt:lpstr>
      <vt:lpstr>3.5-01</vt:lpstr>
      <vt:lpstr>3.5-02</vt:lpstr>
      <vt:lpstr>3.5-03</vt:lpstr>
      <vt:lpstr>3.5-04</vt:lpstr>
      <vt:lpstr>3.5-05</vt:lpstr>
      <vt:lpstr>3.5-06</vt:lpstr>
      <vt:lpstr>3.5-07</vt:lpstr>
      <vt:lpstr>3.5-08</vt:lpstr>
      <vt:lpstr>3.5-09</vt:lpstr>
      <vt:lpstr>3.5-10</vt:lpstr>
      <vt:lpstr>3.5-11</vt:lpstr>
      <vt:lpstr>3.5-12</vt:lpstr>
      <vt:lpstr>3.5-13</vt:lpstr>
      <vt:lpstr>3.5-14</vt:lpstr>
      <vt:lpstr>3.5-15</vt:lpstr>
      <vt:lpstr>3.5-16</vt:lpstr>
      <vt:lpstr>3.5-17</vt:lpstr>
      <vt:lpstr>3.5-18</vt:lpstr>
      <vt:lpstr>3.5-19</vt:lpstr>
      <vt:lpstr>3.5-20</vt:lpstr>
      <vt:lpstr>3.5-21</vt:lpstr>
      <vt:lpstr>3.5-22</vt:lpstr>
      <vt:lpstr>3.5-23</vt:lpstr>
      <vt:lpstr>3.5-24</vt:lpstr>
      <vt:lpstr>3.5-25</vt:lpstr>
      <vt:lpstr>3.5-26</vt:lpstr>
      <vt:lpstr>3.5-27</vt:lpstr>
      <vt:lpstr>3.5-28</vt:lpstr>
      <vt:lpstr>3.5-29</vt:lpstr>
      <vt:lpstr>3.6.1</vt:lpstr>
      <vt:lpstr>3.6.1-01</vt:lpstr>
      <vt:lpstr>3.6.1-02</vt:lpstr>
      <vt:lpstr>3.6.1-03</vt:lpstr>
      <vt:lpstr>3.6.1-04</vt:lpstr>
      <vt:lpstr>3.6.1-05</vt:lpstr>
      <vt:lpstr>3.6.1-06</vt:lpstr>
      <vt:lpstr>3.6.1-07</vt:lpstr>
      <vt:lpstr>3.6.1-08</vt:lpstr>
      <vt:lpstr>3.6.1-09</vt:lpstr>
      <vt:lpstr>3.6.1-10</vt:lpstr>
      <vt:lpstr>3.6.1-11</vt:lpstr>
      <vt:lpstr>3.6.1-12</vt:lpstr>
      <vt:lpstr>3.6.1-13</vt:lpstr>
      <vt:lpstr>3.6.1-14</vt:lpstr>
      <vt:lpstr>3.6.1-15</vt:lpstr>
      <vt:lpstr>3.6.1-16</vt:lpstr>
      <vt:lpstr>3.6.1-17</vt:lpstr>
      <vt:lpstr>3.6.1-18</vt:lpstr>
      <vt:lpstr>3.6.2</vt:lpstr>
      <vt:lpstr>3.6.2-01</vt:lpstr>
      <vt:lpstr>3.6.2-02</vt:lpstr>
      <vt:lpstr>3.6.2-03</vt:lpstr>
      <vt:lpstr>3.6.2-04</vt:lpstr>
      <vt:lpstr>3.6.2-05</vt:lpstr>
      <vt:lpstr>3.6.2-06</vt:lpstr>
      <vt:lpstr>3.6.2-07</vt:lpstr>
      <vt:lpstr>3.6.2-08</vt:lpstr>
      <vt:lpstr>3.6.2-09</vt:lpstr>
      <vt:lpstr>3.6.2-10</vt:lpstr>
      <vt:lpstr>3.6.2-11</vt:lpstr>
      <vt:lpstr>3.6.2-12</vt:lpstr>
      <vt:lpstr>3.6.2-13</vt:lpstr>
      <vt:lpstr>3.6.2-14</vt:lpstr>
      <vt:lpstr>3.6.2-15</vt:lpstr>
      <vt:lpstr>3.6.2-16</vt:lpstr>
      <vt:lpstr>3.6.2-17</vt:lpstr>
      <vt:lpstr>3.6.3</vt:lpstr>
      <vt:lpstr>3.6.3-01</vt:lpstr>
      <vt:lpstr>3.6.3-02</vt:lpstr>
      <vt:lpstr>3.6.3-03</vt:lpstr>
      <vt:lpstr>3.7.1</vt:lpstr>
      <vt:lpstr>3.7.1-01</vt:lpstr>
      <vt:lpstr>3.7.1-02</vt:lpstr>
      <vt:lpstr>3.7.1-03</vt:lpstr>
      <vt:lpstr>3.7.1-04</vt:lpstr>
      <vt:lpstr>3.7.1-05</vt:lpstr>
      <vt:lpstr>3.7.1-06</vt:lpstr>
      <vt:lpstr>3.7.1-07</vt:lpstr>
      <vt:lpstr>3.7.1-08</vt:lpstr>
      <vt:lpstr>3.7.1-09</vt:lpstr>
      <vt:lpstr>3.7.1-10</vt:lpstr>
      <vt:lpstr>3.7.1-11</vt:lpstr>
      <vt:lpstr>3.7.1-12</vt:lpstr>
      <vt:lpstr>3.7.1-13</vt:lpstr>
      <vt:lpstr>3.7.1-14</vt:lpstr>
      <vt:lpstr>3.7.1-15</vt:lpstr>
      <vt:lpstr>3.7.2</vt:lpstr>
      <vt:lpstr>3.7.2-01</vt:lpstr>
      <vt:lpstr>3.7.2-02</vt:lpstr>
      <vt:lpstr>3.7.2-03</vt:lpstr>
      <vt:lpstr>3.7.2-04</vt:lpstr>
      <vt:lpstr>3.7.2-05</vt:lpstr>
      <vt:lpstr>3.7.2-06</vt:lpstr>
      <vt:lpstr>3.7.2-07</vt:lpstr>
      <vt:lpstr>3.7.2-08</vt:lpstr>
      <vt:lpstr>3.7.2-09</vt:lpstr>
      <vt:lpstr>3.7.2-10</vt:lpstr>
      <vt:lpstr>3.7.2-11</vt:lpstr>
      <vt:lpstr>3.7.2-12</vt:lpstr>
      <vt:lpstr>3.7.2-13</vt:lpstr>
      <vt:lpstr>3.7.2-14</vt:lpstr>
      <vt:lpstr>3.7.2-15</vt:lpstr>
      <vt:lpstr>3.7.2-16</vt:lpstr>
      <vt:lpstr>3.7.2-17</vt:lpstr>
      <vt:lpstr>3.7.3</vt:lpstr>
      <vt:lpstr>3.7.3-01</vt:lpstr>
      <vt:lpstr>3.7.3-02</vt:lpstr>
      <vt:lpstr>3.7.3-03</vt:lpstr>
      <vt:lpstr>3.7.3-04</vt:lpstr>
      <vt:lpstr>3.7.3-05</vt:lpstr>
      <vt:lpstr>3.7.3-06</vt:lpstr>
      <vt:lpstr>3.7.3-07</vt:lpstr>
      <vt:lpstr>3.7.3-08</vt:lpstr>
      <vt:lpstr>3.7.3-09</vt:lpstr>
      <vt:lpstr>3.7.3-10</vt:lpstr>
      <vt:lpstr>3.7.3-11_Corregido</vt:lpstr>
      <vt:lpstr>3.7.3-12_Corregido</vt:lpstr>
      <vt:lpstr>3.7.3-13</vt:lpstr>
      <vt:lpstr>3.7.3-14</vt:lpstr>
      <vt:lpstr>3.7.3-15</vt:lpstr>
      <vt:lpstr>3.7.3-16</vt:lpstr>
      <vt:lpstr>3.7.3-17</vt:lpstr>
      <vt:lpstr>3.8</vt:lpstr>
      <vt:lpstr>3.8.1-01</vt:lpstr>
      <vt:lpstr>3.8.1-02</vt:lpstr>
      <vt:lpstr>3.8.1-03</vt:lpstr>
      <vt:lpstr>3.8.1-04</vt:lpstr>
      <vt:lpstr>3.8.1-05</vt:lpstr>
      <vt:lpstr>3.8.1-06</vt:lpstr>
      <vt:lpstr>3.8.1-07</vt:lpstr>
      <vt:lpstr>3.8.1-08</vt:lpstr>
      <vt:lpstr>4.1</vt:lpstr>
      <vt:lpstr>4.1-01</vt:lpstr>
      <vt:lpstr>4.1-02</vt:lpstr>
      <vt:lpstr>4.1-03</vt:lpstr>
      <vt:lpstr>4.1-04</vt:lpstr>
      <vt:lpstr>4.1-05</vt:lpstr>
      <vt:lpstr>4.1-06</vt:lpstr>
      <vt:lpstr>4.1-07</vt:lpstr>
      <vt:lpstr>4.1-08</vt:lpstr>
      <vt:lpstr>4.1-09</vt:lpstr>
      <vt:lpstr>4.1-10</vt:lpstr>
      <vt:lpstr>4.1-11</vt:lpstr>
      <vt:lpstr>4.2</vt:lpstr>
      <vt:lpstr>4.2-01</vt:lpstr>
      <vt:lpstr>4.2-02</vt:lpstr>
      <vt:lpstr>4.2-03</vt:lpstr>
      <vt:lpstr>4.2-04</vt:lpstr>
      <vt:lpstr>4.2-05</vt:lpstr>
      <vt:lpstr>4.2-06</vt:lpstr>
      <vt:lpstr>4.2-07</vt:lpstr>
      <vt:lpstr>4.2-08</vt:lpstr>
      <vt:lpstr>4.2-09</vt:lpstr>
      <vt:lpstr>4.2-10</vt:lpstr>
      <vt:lpstr>4.2-11</vt:lpstr>
      <vt:lpstr>4.2-12</vt:lpstr>
      <vt:lpstr>4.2-13</vt:lpstr>
      <vt:lpstr>4.2-14</vt:lpstr>
      <vt:lpstr>4.2-15</vt:lpstr>
      <vt:lpstr>4.2-16</vt:lpstr>
      <vt:lpstr>4.2-17</vt:lpstr>
      <vt:lpstr>4.2-18</vt:lpstr>
      <vt:lpstr>'2.1'!Área_de_impresión</vt:lpstr>
      <vt:lpstr>'2.1-03'!Área_de_impresión</vt:lpstr>
      <vt:lpstr>'2.2-01'!Área_de_impresión</vt:lpstr>
      <vt:lpstr>'2.3-02'!Área_de_impresión</vt:lpstr>
      <vt:lpstr>'2.4-05'!Área_de_impresión</vt:lpstr>
      <vt:lpstr>'2.5-01'!Área_de_impresión</vt:lpstr>
      <vt:lpstr>'3.1'!Área_de_impresión</vt:lpstr>
      <vt:lpstr>'3.1.1.1-02'!Área_de_impresión</vt:lpstr>
      <vt:lpstr>'3.1.1.1-03'!Área_de_impresión</vt:lpstr>
      <vt:lpstr>'3.1.1.2-11'!Área_de_impresión</vt:lpstr>
      <vt:lpstr>'3.1.2.1-07'!Área_de_impresión</vt:lpstr>
      <vt:lpstr>'3.1.2.2'!Área_de_impresión</vt:lpstr>
      <vt:lpstr>'3.1.2.3-01'!Área_de_impresión</vt:lpstr>
      <vt:lpstr>'3.1.2.3-03'!Área_de_impresión</vt:lpstr>
      <vt:lpstr>'3.1.2.3-04'!Área_de_impresión</vt:lpstr>
      <vt:lpstr>'3.1.2.3-05'!Área_de_impresión</vt:lpstr>
      <vt:lpstr>'3.1.2.3-07'!Área_de_impresión</vt:lpstr>
      <vt:lpstr>'3.1.2.3-08'!Área_de_impresión</vt:lpstr>
      <vt:lpstr>'3.1.2.3-09'!Área_de_impresión</vt:lpstr>
      <vt:lpstr>'3.1.2.3-10'!Área_de_impresión</vt:lpstr>
      <vt:lpstr>'3.1.2.3-11'!Área_de_impresión</vt:lpstr>
      <vt:lpstr>'3.1.2.3-12'!Área_de_impresión</vt:lpstr>
      <vt:lpstr>'3.1.2.3-13'!Área_de_impresión</vt:lpstr>
      <vt:lpstr>'3.1.2.3-14'!Área_de_impresión</vt:lpstr>
      <vt:lpstr>'3.1.2.3-15'!Área_de_impresión</vt:lpstr>
      <vt:lpstr>'3.1.2.3-16'!Área_de_impresión</vt:lpstr>
      <vt:lpstr>'3.1.2.3-19'!Área_de_impresión</vt:lpstr>
      <vt:lpstr>'3.1.3-01'!Área_de_impresión</vt:lpstr>
      <vt:lpstr>'3.1.3-02'!Área_de_impresión</vt:lpstr>
      <vt:lpstr>'3.1.3-03'!Área_de_impresión</vt:lpstr>
      <vt:lpstr>'3.1.3-11'!Área_de_impresión</vt:lpstr>
      <vt:lpstr>'3.1-01'!Área_de_impresión</vt:lpstr>
      <vt:lpstr>'3.2-04'!Área_de_impresión</vt:lpstr>
      <vt:lpstr>'3.2-05'!Área_de_impresión</vt:lpstr>
      <vt:lpstr>'3.3-02'!Área_de_impresión</vt:lpstr>
      <vt:lpstr>'3.4-05'!Área_de_impresión</vt:lpstr>
      <vt:lpstr>'3.4-06'!Área_de_impresión</vt:lpstr>
      <vt:lpstr>'3.4-09'!Área_de_impresión</vt:lpstr>
      <vt:lpstr>'3.5-02'!Área_de_impresión</vt:lpstr>
      <vt:lpstr>'3.5-03'!Área_de_impresión</vt:lpstr>
      <vt:lpstr>'3.5-12'!Área_de_impresión</vt:lpstr>
      <vt:lpstr>'3.5-16'!Área_de_impresión</vt:lpstr>
      <vt:lpstr>'3.6.1-13'!Área_de_impresión</vt:lpstr>
      <vt:lpstr>'3.6.1-18'!Área_de_impresión</vt:lpstr>
      <vt:lpstr>'3.6.2-03'!Área_de_impresión</vt:lpstr>
      <vt:lpstr>'3.6.2-04'!Área_de_impresión</vt:lpstr>
      <vt:lpstr>'3.6.2-10'!Área_de_impresión</vt:lpstr>
      <vt:lpstr>'3.6.2-13'!Área_de_impresión</vt:lpstr>
      <vt:lpstr>'3.7.2-06'!Área_de_impresión</vt:lpstr>
      <vt:lpstr>'3.7.2-07'!Área_de_impresión</vt:lpstr>
      <vt:lpstr>'3.7.3-01'!Área_de_impresión</vt:lpstr>
      <vt:lpstr>'3.7.3-03'!Área_de_impresión</vt:lpstr>
      <vt:lpstr>'3.7.3-08'!Área_de_impresión</vt:lpstr>
      <vt:lpstr>'3.7.3-13'!Área_de_impresión</vt:lpstr>
      <vt:lpstr>'3.7.3-14'!Área_de_impresión</vt:lpstr>
      <vt:lpstr>'3.7.3-17'!Área_de_impresión</vt:lpstr>
      <vt:lpstr>'4.1-03'!Área_de_impresión</vt:lpstr>
      <vt:lpstr>'4.1-07'!Área_de_impresión</vt:lpstr>
      <vt:lpstr>'4.1-08'!Área_de_impresión</vt:lpstr>
      <vt:lpstr>'4.1-11'!Área_de_impresión</vt:lpstr>
      <vt:lpstr>'4.2-09'!Área_de_impresión</vt:lpstr>
      <vt:lpstr>'4.2-12'!Área_de_impresión</vt:lpstr>
      <vt:lpstr>'2.5-02'!Títulos_a_imprimir</vt:lpstr>
      <vt:lpstr>'2.5-03'!Títulos_a_imprimir</vt:lpstr>
      <vt:lpstr>'2.5-06'!Títulos_a_imprimir</vt:lpstr>
      <vt:lpstr>'2.7-08'!Títulos_a_imprimir</vt:lpstr>
      <vt:lpstr>'2.7-12'!Títulos_a_imprimir</vt:lpstr>
      <vt:lpstr>'3.7.3-14'!Títulos_a_imprimir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Marisol Rakela Toro</dc:creator>
  <cp:lastModifiedBy>AG</cp:lastModifiedBy>
  <cp:lastPrinted>2014-09-23T14:47:26Z</cp:lastPrinted>
  <dcterms:created xsi:type="dcterms:W3CDTF">2014-08-29T21:10:53Z</dcterms:created>
  <dcterms:modified xsi:type="dcterms:W3CDTF">2020-08-07T17:40:48Z</dcterms:modified>
</cp:coreProperties>
</file>